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7C4F936-18E7-4CC9-9D1C-F269D42978A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3" sheetId="176" r:id="rId31"/>
    <sheet name="Finding 2020-001" sheetId="175" r:id="rId32"/>
    <sheet name="SSPAF" sheetId="177" r:id="rId33"/>
    <sheet name=" CAP 2020-001" sheetId="186" r:id="rId34"/>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3">#REF!</definedName>
    <definedName name="SCHADDRS" localSheetId="27">#REF!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2">#REF!</definedName>
    <definedName name="SCHADDRS">#REF!</definedName>
    <definedName name="SCHCTY" localSheetId="33">#REF!</definedName>
    <definedName name="SCHCTY" localSheetId="27">#REF!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2">#REF!</definedName>
    <definedName name="SCHCTY">#REF!</definedName>
    <definedName name="SCHNMBR" localSheetId="33">#REF!</definedName>
    <definedName name="SCHNMBR" localSheetId="27">#REF!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2">#REF!</definedName>
    <definedName name="SCHNMBR">#REF!</definedName>
    <definedName name="SCHNME" localSheetId="33">#REF!</definedName>
    <definedName name="SCHNME" localSheetId="27">#REF!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2">#REF!</definedName>
    <definedName name="SCHNME">#REF!</definedName>
    <definedName name="SUPT" localSheetId="33">#REF!</definedName>
    <definedName name="SUPT" localSheetId="27">#REF!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J33" i="8"/>
  <c r="J31" i="8"/>
  <c r="B4" i="18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3" i="106" l="1"/>
  <c r="D7883" i="106"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L22" i="37"/>
  <c r="H28" i="118" l="1"/>
  <c r="D24" i="37"/>
  <c r="B4270" i="106" s="1"/>
  <c r="D4270" i="106" s="1"/>
  <c r="H33" i="118"/>
  <c r="D22" i="37"/>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K28" i="118" l="1"/>
  <c r="O27" i="118" s="1"/>
  <c r="O29" i="118" s="1"/>
  <c r="L16" i="1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0" i="106" l="1"/>
  <c r="D7810" i="106" s="1"/>
  <c r="B7814" i="106"/>
  <c r="D7814" i="106" s="1"/>
  <c r="B7811" i="106"/>
  <c r="D7811" i="106" s="1"/>
  <c r="B7815" i="106"/>
  <c r="D7815" i="106" s="1"/>
  <c r="B7812" i="106"/>
  <c r="D7812" i="106" s="1"/>
  <c r="B7816" i="106"/>
  <c r="D7816" i="106" s="1"/>
  <c r="F167" i="34" l="1"/>
  <c r="B7809" i="106"/>
  <c r="D7809" i="106" s="1"/>
  <c r="F168" i="34"/>
  <c r="B7813" i="106"/>
  <c r="D7813" i="106" s="1"/>
  <c r="L334" i="29" l="1"/>
  <c r="H334" i="29"/>
  <c r="B7789" i="106" s="1"/>
  <c r="D7789" i="106" s="1"/>
  <c r="K332" i="29"/>
  <c r="B7785" i="106"/>
  <c r="D7785" i="106" s="1"/>
  <c r="B7783" i="106"/>
  <c r="D7783" i="106" s="1"/>
  <c r="K282" i="29"/>
  <c r="B7774" i="106"/>
  <c r="D7774" i="106" s="1"/>
  <c r="K133" i="29"/>
  <c r="B7775" i="106"/>
  <c r="D7775" i="106" s="1"/>
  <c r="K354" i="29"/>
  <c r="B7791" i="106"/>
  <c r="D7791" i="106" s="1"/>
  <c r="B7787" i="106"/>
  <c r="D7787" i="106" s="1"/>
  <c r="K333" i="29"/>
  <c r="B7788" i="106" s="1"/>
  <c r="D7788" i="106" s="1"/>
  <c r="K158" i="29"/>
  <c r="B7780" i="106" s="1"/>
  <c r="D7780" i="106" s="1"/>
  <c r="B7779" i="106"/>
  <c r="D7779" i="106" s="1"/>
  <c r="K355" i="29"/>
  <c r="B7794" i="106" s="1"/>
  <c r="D7794" i="106" s="1"/>
  <c r="B7793" i="106"/>
  <c r="D7793" i="106" s="1"/>
  <c r="K159" i="29"/>
  <c r="B7782" i="106" s="1"/>
  <c r="D7782" i="106" s="1"/>
  <c r="B7781" i="106"/>
  <c r="D7781" i="106" s="1"/>
  <c r="B7776" i="106" l="1"/>
  <c r="D7776" i="106" s="1"/>
  <c r="B7784" i="106"/>
  <c r="D7784" i="106" s="1"/>
  <c r="B7786" i="106"/>
  <c r="D7786" i="106" s="1"/>
  <c r="K334" i="29"/>
  <c r="B7792" i="106"/>
  <c r="D7792" i="106" s="1"/>
  <c r="F74" i="34" l="1"/>
  <c r="J15" i="4"/>
  <c r="B7796" i="106" s="1"/>
  <c r="D7796" i="106" s="1"/>
  <c r="B7790" i="106"/>
  <c r="D7790"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168" i="29" l="1"/>
  <c r="B3546" i="106"/>
  <c r="D3546" i="106" s="1"/>
  <c r="L100" i="29"/>
  <c r="B5986" i="106"/>
  <c r="D5986" i="106" s="1"/>
  <c r="L285" i="29"/>
  <c r="B7043" i="106"/>
  <c r="D7043" i="106" s="1"/>
  <c r="B5333" i="106"/>
  <c r="D5333" i="106" s="1"/>
  <c r="B5328" i="106"/>
  <c r="D5328" i="106" s="1"/>
  <c r="D34" i="36"/>
  <c r="L243" i="29"/>
  <c r="B5555" i="106"/>
  <c r="D5555" i="106" s="1"/>
  <c r="B6132" i="106"/>
  <c r="D6132" i="106" s="1"/>
  <c r="K308" i="29"/>
  <c r="B4100" i="106" s="1"/>
  <c r="D4100" i="106" s="1"/>
  <c r="B7110" i="106"/>
  <c r="D7110" i="106" s="1"/>
  <c r="B1522" i="106"/>
  <c r="D1522" i="106" s="1"/>
  <c r="K302" i="29"/>
  <c r="B1558" i="106" s="1"/>
  <c r="D1558" i="106" s="1"/>
  <c r="B6619" i="106"/>
  <c r="D6619" i="106" s="1"/>
  <c r="H252" i="5"/>
  <c r="B7004" i="106"/>
  <c r="D7004" i="106" s="1"/>
  <c r="K97" i="29"/>
  <c r="B7005" i="106" s="1"/>
  <c r="D7005" i="106" s="1"/>
  <c r="J72" i="29"/>
  <c r="B6974" i="106" s="1"/>
  <c r="D6974" i="106" s="1"/>
  <c r="B6964" i="106"/>
  <c r="D6964" i="106" s="1"/>
  <c r="B6905" i="106"/>
  <c r="D6905" i="106" s="1"/>
  <c r="J42" i="29"/>
  <c r="B705" i="106"/>
  <c r="D705" i="106" s="1"/>
  <c r="C33" i="29"/>
  <c r="B4165" i="106"/>
  <c r="D4165" i="106" s="1"/>
  <c r="K284" i="29"/>
  <c r="B4166" i="106" s="1"/>
  <c r="D4166" i="106" s="1"/>
  <c r="K234" i="29"/>
  <c r="B1477" i="106" s="1"/>
  <c r="D1477" i="106" s="1"/>
  <c r="B1413" i="106"/>
  <c r="D1413" i="106" s="1"/>
  <c r="K219" i="29"/>
  <c r="B3065" i="106" s="1"/>
  <c r="D3065" i="106" s="1"/>
  <c r="B3064" i="106"/>
  <c r="D3064" i="106" s="1"/>
  <c r="B5742" i="106"/>
  <c r="D5742" i="106" s="1"/>
  <c r="G122" i="5"/>
  <c r="B5748" i="106" s="1"/>
  <c r="D5748" i="106" s="1"/>
  <c r="B5573" i="106"/>
  <c r="D5573" i="106" s="1"/>
  <c r="F92" i="34"/>
  <c r="B4364" i="106"/>
  <c r="D4364" i="106" s="1"/>
  <c r="E175" i="5"/>
  <c r="K136" i="29"/>
  <c r="B2988" i="106" s="1"/>
  <c r="D2988" i="106" s="1"/>
  <c r="B4201" i="106"/>
  <c r="D4201" i="106" s="1"/>
  <c r="B2797" i="106"/>
  <c r="D2797" i="106" s="1"/>
  <c r="K130" i="29"/>
  <c r="B7024" i="106"/>
  <c r="D7024" i="106" s="1"/>
  <c r="I127" i="29"/>
  <c r="B7033" i="106" s="1"/>
  <c r="D7033" i="106" s="1"/>
  <c r="B5361" i="106"/>
  <c r="D5361" i="106" s="1"/>
  <c r="D122" i="5"/>
  <c r="K325" i="29"/>
  <c r="B7172" i="106"/>
  <c r="D7172" i="106" s="1"/>
  <c r="B7145" i="106"/>
  <c r="D7145" i="106" s="1"/>
  <c r="K322" i="29"/>
  <c r="K319" i="29"/>
  <c r="C330" i="29"/>
  <c r="B7118" i="106"/>
  <c r="D7118" i="106" s="1"/>
  <c r="B5691" i="106"/>
  <c r="D5691" i="106" s="1"/>
  <c r="F217" i="5"/>
  <c r="B5703" i="106" s="1"/>
  <c r="D5703" i="106" s="1"/>
  <c r="L293" i="29"/>
  <c r="B7100" i="106"/>
  <c r="D7100" i="106" s="1"/>
  <c r="J303" i="29"/>
  <c r="C76" i="4"/>
  <c r="B3231" i="106" s="1"/>
  <c r="D3231" i="106" s="1"/>
  <c r="B5022" i="106"/>
  <c r="D5022" i="106" s="1"/>
  <c r="B7016" i="106"/>
  <c r="D7016" i="106" s="1"/>
  <c r="K111" i="29"/>
  <c r="B7017" i="106" s="1"/>
  <c r="D7017" i="106" s="1"/>
  <c r="B7002" i="106"/>
  <c r="D7002" i="106" s="1"/>
  <c r="K96" i="29"/>
  <c r="B7003" i="106" s="1"/>
  <c r="D7003" i="106" s="1"/>
  <c r="B2954" i="106"/>
  <c r="D2954" i="106" s="1"/>
  <c r="K83" i="29"/>
  <c r="B2978" i="106" s="1"/>
  <c r="D2978" i="106" s="1"/>
  <c r="I72" i="29"/>
  <c r="B6973" i="106" s="1"/>
  <c r="D6973" i="106" s="1"/>
  <c r="B6963" i="106"/>
  <c r="D6963" i="106" s="1"/>
  <c r="I65" i="29"/>
  <c r="B6961" i="106" s="1"/>
  <c r="D6961" i="106" s="1"/>
  <c r="B6950" i="106"/>
  <c r="D6950" i="106" s="1"/>
  <c r="B6926" i="106"/>
  <c r="D6926" i="106" s="1"/>
  <c r="I53" i="29"/>
  <c r="B6942" i="106" s="1"/>
  <c r="D6942" i="106" s="1"/>
  <c r="I47" i="29"/>
  <c r="B6924" i="106" s="1"/>
  <c r="D6924" i="106" s="1"/>
  <c r="B6918" i="106"/>
  <c r="D6918" i="106" s="1"/>
  <c r="B6904" i="106"/>
  <c r="D6904" i="106" s="1"/>
  <c r="I42" i="29"/>
  <c r="B6890" i="106"/>
  <c r="D6890" i="106" s="1"/>
  <c r="K27" i="29"/>
  <c r="D78" i="36"/>
  <c r="B4113" i="106"/>
  <c r="D4113" i="106" s="1"/>
  <c r="C18" i="4"/>
  <c r="B4131" i="106" s="1"/>
  <c r="D4131" i="106" s="1"/>
  <c r="B6817" i="106"/>
  <c r="D6817" i="106" s="1"/>
  <c r="F156" i="34"/>
  <c r="B6720" i="106"/>
  <c r="D6720" i="106" s="1"/>
  <c r="F145" i="34"/>
  <c r="K363" i="29"/>
  <c r="B7241" i="106" s="1"/>
  <c r="D7241" i="106" s="1"/>
  <c r="B7240" i="106"/>
  <c r="D7240" i="106" s="1"/>
  <c r="B3638" i="106"/>
  <c r="D3638" i="106" s="1"/>
  <c r="F350" i="29"/>
  <c r="B5988" i="106"/>
  <c r="D5988" i="106" s="1"/>
  <c r="K18" i="5"/>
  <c r="B5992" i="106" s="1"/>
  <c r="D5992" i="106" s="1"/>
  <c r="K283" i="29"/>
  <c r="B3721" i="106"/>
  <c r="D3721" i="106" s="1"/>
  <c r="D285" i="29"/>
  <c r="B3722" i="106" s="1"/>
  <c r="D3722" i="106" s="1"/>
  <c r="K265" i="29"/>
  <c r="B1494" i="106" s="1"/>
  <c r="D1494" i="106" s="1"/>
  <c r="B1430" i="106"/>
  <c r="D1430" i="106" s="1"/>
  <c r="K249" i="29"/>
  <c r="B7084" i="106" s="1"/>
  <c r="D7084" i="106" s="1"/>
  <c r="B7083" i="106"/>
  <c r="D7083" i="106" s="1"/>
  <c r="B1412" i="106"/>
  <c r="D1412" i="106" s="1"/>
  <c r="K233" i="29"/>
  <c r="B1476" i="106" s="1"/>
  <c r="D1476" i="106" s="1"/>
  <c r="K218" i="29"/>
  <c r="B7075" i="106"/>
  <c r="D7075" i="106" s="1"/>
  <c r="B5754" i="106"/>
  <c r="D5754" i="106" s="1"/>
  <c r="G145" i="5"/>
  <c r="B5756" i="106" s="1"/>
  <c r="D5756" i="106" s="1"/>
  <c r="B7751" i="106"/>
  <c r="D7751" i="106" s="1"/>
  <c r="K193" i="29"/>
  <c r="B3012" i="106" s="1"/>
  <c r="D3012" i="106" s="1"/>
  <c r="B2994" i="106"/>
  <c r="D2994" i="106" s="1"/>
  <c r="B7057" i="106"/>
  <c r="D7057" i="106" s="1"/>
  <c r="I184" i="29"/>
  <c r="B6314" i="106"/>
  <c r="D6314" i="106" s="1"/>
  <c r="F91" i="34"/>
  <c r="B5563" i="106"/>
  <c r="D5563" i="106" s="1"/>
  <c r="F85" i="34"/>
  <c r="B1313" i="106"/>
  <c r="D1313" i="106" s="1"/>
  <c r="K167" i="29"/>
  <c r="B1327" i="106" s="1"/>
  <c r="D1327" i="106" s="1"/>
  <c r="H127" i="29"/>
  <c r="B1264" i="106" s="1"/>
  <c r="D1264" i="106" s="1"/>
  <c r="B1260" i="106"/>
  <c r="D1260" i="106" s="1"/>
  <c r="B4075" i="106"/>
  <c r="D4075" i="106" s="1"/>
  <c r="B5110" i="106"/>
  <c r="D5110" i="106" s="1"/>
  <c r="F100" i="34"/>
  <c r="B5118" i="106"/>
  <c r="D5118" i="106" s="1"/>
  <c r="F105" i="34"/>
  <c r="B6402" i="106"/>
  <c r="D6402" i="106" s="1"/>
  <c r="G198" i="5"/>
  <c r="B6409" i="106" s="1"/>
  <c r="D6409" i="106" s="1"/>
  <c r="G217" i="5"/>
  <c r="B5829" i="106" s="1"/>
  <c r="D5829" i="106" s="1"/>
  <c r="B5817" i="106"/>
  <c r="D5817" i="106" s="1"/>
  <c r="C34" i="3"/>
  <c r="B6125" i="106"/>
  <c r="D6125" i="106" s="1"/>
  <c r="B6371" i="106"/>
  <c r="D6371" i="106" s="1"/>
  <c r="H169" i="5"/>
  <c r="B5899" i="106" s="1"/>
  <c r="D5899" i="106" s="1"/>
  <c r="B6927" i="106"/>
  <c r="D6927" i="106" s="1"/>
  <c r="J53" i="29"/>
  <c r="B6943" i="106" s="1"/>
  <c r="D6943" i="106" s="1"/>
  <c r="J47" i="29"/>
  <c r="B6925" i="106" s="1"/>
  <c r="D6925" i="106" s="1"/>
  <c r="B6919" i="106"/>
  <c r="D6919" i="106" s="1"/>
  <c r="B6892" i="106"/>
  <c r="D6892" i="106" s="1"/>
  <c r="K28" i="29"/>
  <c r="K18" i="29"/>
  <c r="B1100" i="106" s="1"/>
  <c r="D1100" i="106" s="1"/>
  <c r="B712" i="106"/>
  <c r="D712" i="106" s="1"/>
  <c r="K15" i="29"/>
  <c r="B719" i="106"/>
  <c r="D719" i="106" s="1"/>
  <c r="B716" i="106"/>
  <c r="D716" i="106" s="1"/>
  <c r="B7251" i="106"/>
  <c r="D7251" i="106" s="1"/>
  <c r="K44" i="4"/>
  <c r="B7755" i="106"/>
  <c r="D7755" i="106" s="1"/>
  <c r="B3620" i="106"/>
  <c r="D3620" i="106" s="1"/>
  <c r="K351" i="29"/>
  <c r="B3671" i="106" s="1"/>
  <c r="D3671" i="106" s="1"/>
  <c r="B3645" i="106"/>
  <c r="D3645" i="106" s="1"/>
  <c r="G350" i="29"/>
  <c r="B3259" i="106"/>
  <c r="D3259" i="106" s="1"/>
  <c r="G76" i="4"/>
  <c r="B3260" i="106" s="1"/>
  <c r="D3260" i="106" s="1"/>
  <c r="K250" i="29"/>
  <c r="B7086" i="106" s="1"/>
  <c r="D7086" i="106" s="1"/>
  <c r="B7085" i="106"/>
  <c r="D7085" i="106" s="1"/>
  <c r="B4076" i="106"/>
  <c r="D4076" i="106" s="1"/>
  <c r="D204" i="5"/>
  <c r="B5444" i="106" s="1"/>
  <c r="D5444" i="106" s="1"/>
  <c r="B5431" i="106"/>
  <c r="D5431" i="106" s="1"/>
  <c r="B6316" i="106"/>
  <c r="D6316" i="106" s="1"/>
  <c r="L238" i="29"/>
  <c r="L261" i="29"/>
  <c r="L362" i="29"/>
  <c r="L365" i="29" s="1"/>
  <c r="I34" i="3"/>
  <c r="B6139" i="106"/>
  <c r="D6139" i="106" s="1"/>
  <c r="K307" i="29"/>
  <c r="B4099" i="106" s="1"/>
  <c r="D4099" i="106" s="1"/>
  <c r="B7108" i="106"/>
  <c r="D7108" i="106" s="1"/>
  <c r="B7099" i="106"/>
  <c r="D7099" i="106" s="1"/>
  <c r="I303" i="29"/>
  <c r="B5872" i="106"/>
  <c r="D5872" i="106" s="1"/>
  <c r="K109" i="29"/>
  <c r="B1149" i="106" s="1"/>
  <c r="D1149" i="106" s="1"/>
  <c r="B1051" i="106"/>
  <c r="D1051" i="106" s="1"/>
  <c r="K95" i="29"/>
  <c r="B7001" i="106" s="1"/>
  <c r="D7001" i="106" s="1"/>
  <c r="B7000" i="106"/>
  <c r="D7000" i="106" s="1"/>
  <c r="B1031" i="106"/>
  <c r="D1031" i="106" s="1"/>
  <c r="K59" i="29"/>
  <c r="B794" i="106"/>
  <c r="D794" i="106" s="1"/>
  <c r="B1022" i="106"/>
  <c r="D1022" i="106" s="1"/>
  <c r="H53" i="29"/>
  <c r="B1024" i="106" s="1"/>
  <c r="D1024" i="106" s="1"/>
  <c r="B1018" i="106"/>
  <c r="D1018" i="106" s="1"/>
  <c r="H47" i="29"/>
  <c r="B1021" i="106" s="1"/>
  <c r="D1021" i="106" s="1"/>
  <c r="B784" i="106"/>
  <c r="D784" i="106" s="1"/>
  <c r="B1011" i="106"/>
  <c r="D1011" i="106" s="1"/>
  <c r="H42" i="29"/>
  <c r="B6888" i="106"/>
  <c r="D6888" i="106" s="1"/>
  <c r="K26" i="29"/>
  <c r="B6809" i="106"/>
  <c r="D6809" i="106" s="1"/>
  <c r="F155" i="34"/>
  <c r="B6712" i="106"/>
  <c r="D6712" i="106" s="1"/>
  <c r="F144" i="34"/>
  <c r="B5072" i="106"/>
  <c r="D5072" i="106" s="1"/>
  <c r="K361" i="29"/>
  <c r="B7239" i="106" s="1"/>
  <c r="D7239" i="106" s="1"/>
  <c r="B7238" i="106"/>
  <c r="D7238" i="106" s="1"/>
  <c r="B3631" i="106"/>
  <c r="D3631" i="106" s="1"/>
  <c r="E350" i="29"/>
  <c r="K169" i="5"/>
  <c r="B5000" i="106" s="1"/>
  <c r="D5000" i="106" s="1"/>
  <c r="B6374" i="106"/>
  <c r="D6374" i="106" s="1"/>
  <c r="B1447" i="106"/>
  <c r="D1447" i="106" s="1"/>
  <c r="K280" i="29"/>
  <c r="B1429" i="106"/>
  <c r="D1429" i="106" s="1"/>
  <c r="K264" i="29"/>
  <c r="B1493" i="106" s="1"/>
  <c r="D1493" i="106" s="1"/>
  <c r="K248" i="29"/>
  <c r="B7082" i="106" s="1"/>
  <c r="D7082" i="106" s="1"/>
  <c r="B7081" i="106"/>
  <c r="D7081" i="106" s="1"/>
  <c r="B1411" i="106"/>
  <c r="D1411" i="106" s="1"/>
  <c r="D238" i="29"/>
  <c r="K232" i="29"/>
  <c r="K217" i="29"/>
  <c r="B3391" i="106" s="1"/>
  <c r="D3391" i="106" s="1"/>
  <c r="B3388" i="106"/>
  <c r="D3388" i="106" s="1"/>
  <c r="B5791" i="106"/>
  <c r="D5791" i="106" s="1"/>
  <c r="K207" i="29"/>
  <c r="B7070" i="106" s="1"/>
  <c r="D7070" i="106" s="1"/>
  <c r="B7069" i="106"/>
  <c r="D7069" i="106" s="1"/>
  <c r="B4086" i="106"/>
  <c r="D4086" i="106" s="1"/>
  <c r="B5589" i="106"/>
  <c r="D5589" i="106" s="1"/>
  <c r="F114" i="5"/>
  <c r="B5572" i="106"/>
  <c r="D5572" i="106" s="1"/>
  <c r="F90" i="34"/>
  <c r="K166" i="29"/>
  <c r="B2819" i="106" s="1"/>
  <c r="D2819" i="106" s="1"/>
  <c r="B2813" i="106"/>
  <c r="D2813" i="106" s="1"/>
  <c r="K135" i="29"/>
  <c r="B2987" i="106" s="1"/>
  <c r="D2987" i="106" s="1"/>
  <c r="B4200" i="106"/>
  <c r="D4200" i="106" s="1"/>
  <c r="B1221" i="106"/>
  <c r="D1221" i="106" s="1"/>
  <c r="K124" i="29"/>
  <c r="B1276" i="106" s="1"/>
  <c r="D1276" i="106" s="1"/>
  <c r="B1251" i="106"/>
  <c r="D1251" i="106" s="1"/>
  <c r="G127" i="29"/>
  <c r="B1256" i="106" s="1"/>
  <c r="D1256" i="106" s="1"/>
  <c r="K120" i="29"/>
  <c r="B4074" i="106"/>
  <c r="D4074" i="106" s="1"/>
  <c r="B6615" i="106"/>
  <c r="D6615" i="106" s="1"/>
  <c r="D252" i="5"/>
  <c r="B6834" i="106" s="1"/>
  <c r="D6834" i="106" s="1"/>
  <c r="B5335" i="106"/>
  <c r="D5335" i="106" s="1"/>
  <c r="D18" i="5"/>
  <c r="B5339" i="106" s="1"/>
  <c r="D5339" i="106" s="1"/>
  <c r="B5330" i="106"/>
  <c r="D5330" i="106" s="1"/>
  <c r="B6398" i="106"/>
  <c r="D6398" i="106" s="1"/>
  <c r="J175" i="5"/>
  <c r="B5924" i="106"/>
  <c r="D5924" i="106" s="1"/>
  <c r="B5996" i="106"/>
  <c r="D5996" i="106" s="1"/>
  <c r="K108" i="5"/>
  <c r="B5999" i="106" s="1"/>
  <c r="D5999" i="106" s="1"/>
  <c r="B4340" i="106"/>
  <c r="D4340" i="106" s="1"/>
  <c r="F132" i="34"/>
  <c r="B7864" i="106" s="1"/>
  <c r="D7864" i="106" s="1"/>
  <c r="B5278" i="106"/>
  <c r="D5278" i="106" s="1"/>
  <c r="F129" i="34"/>
  <c r="B7861" i="106" s="1"/>
  <c r="D7861" i="106" s="1"/>
  <c r="J65" i="29"/>
  <c r="B6962" i="106" s="1"/>
  <c r="D6962" i="106" s="1"/>
  <c r="B6951" i="106"/>
  <c r="D6951" i="106" s="1"/>
  <c r="B5083" i="106"/>
  <c r="D5083" i="106" s="1"/>
  <c r="B5064" i="106"/>
  <c r="D5064" i="106" s="1"/>
  <c r="B17" i="7"/>
  <c r="K266" i="29"/>
  <c r="B1495" i="106" s="1"/>
  <c r="D1495" i="106" s="1"/>
  <c r="B1431" i="106"/>
  <c r="D1431" i="106" s="1"/>
  <c r="B7058" i="106"/>
  <c r="D7058" i="106" s="1"/>
  <c r="J184" i="29"/>
  <c r="B4795" i="106"/>
  <c r="D4795" i="106" s="1"/>
  <c r="B5564" i="106"/>
  <c r="D5564" i="106" s="1"/>
  <c r="F18" i="34"/>
  <c r="B1312" i="106"/>
  <c r="D1312" i="106" s="1"/>
  <c r="K169" i="29"/>
  <c r="B1326" i="106" s="1"/>
  <c r="D1326" i="106" s="1"/>
  <c r="B7688" i="106"/>
  <c r="D7688" i="106" s="1"/>
  <c r="K328" i="29"/>
  <c r="B5916" i="106"/>
  <c r="D5916" i="106" s="1"/>
  <c r="B10" i="7"/>
  <c r="H310" i="29"/>
  <c r="B7115" i="106" s="1"/>
  <c r="D7115" i="106" s="1"/>
  <c r="B7106" i="106"/>
  <c r="D7106" i="106" s="1"/>
  <c r="B1549" i="106"/>
  <c r="D1549" i="106" s="1"/>
  <c r="H303" i="29"/>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B2953" i="106"/>
  <c r="D2953" i="106" s="1"/>
  <c r="K82" i="29"/>
  <c r="B2977" i="106" s="1"/>
  <c r="D2977" i="106" s="1"/>
  <c r="B754" i="106"/>
  <c r="D754" i="106" s="1"/>
  <c r="K73" i="29"/>
  <c r="B748" i="106"/>
  <c r="D748" i="106" s="1"/>
  <c r="K69" i="29"/>
  <c r="B978" i="106"/>
  <c r="D978" i="106" s="1"/>
  <c r="B743" i="106"/>
  <c r="D743" i="106" s="1"/>
  <c r="B973" i="106"/>
  <c r="D973" i="106" s="1"/>
  <c r="B740" i="106"/>
  <c r="D740" i="106" s="1"/>
  <c r="B970" i="106"/>
  <c r="D970" i="106" s="1"/>
  <c r="B736" i="106"/>
  <c r="D736" i="106" s="1"/>
  <c r="K51" i="29"/>
  <c r="B2718" i="106"/>
  <c r="D2718" i="106" s="1"/>
  <c r="B964" i="106"/>
  <c r="D964" i="106" s="1"/>
  <c r="G53" i="29"/>
  <c r="B966" i="106" s="1"/>
  <c r="D966" i="106" s="1"/>
  <c r="B730" i="106"/>
  <c r="D730" i="106" s="1"/>
  <c r="K46" i="29"/>
  <c r="B1118" i="106" s="1"/>
  <c r="D1118" i="106" s="1"/>
  <c r="B960" i="106"/>
  <c r="D960" i="106" s="1"/>
  <c r="G47" i="29"/>
  <c r="B963" i="106" s="1"/>
  <c r="D963" i="106" s="1"/>
  <c r="B726" i="106"/>
  <c r="D726" i="106" s="1"/>
  <c r="K38" i="29"/>
  <c r="B1111" i="106" s="1"/>
  <c r="D1111" i="106" s="1"/>
  <c r="B723" i="106"/>
  <c r="D723" i="106" s="1"/>
  <c r="G42" i="29"/>
  <c r="B953" i="106"/>
  <c r="D953" i="106" s="1"/>
  <c r="B6886" i="106"/>
  <c r="D6886" i="106" s="1"/>
  <c r="K25" i="29"/>
  <c r="D17" i="171"/>
  <c r="B4362" i="106"/>
  <c r="D4362" i="106" s="1"/>
  <c r="F170" i="34"/>
  <c r="B7875" i="106" s="1"/>
  <c r="D7875" i="106" s="1"/>
  <c r="F134" i="34"/>
  <c r="B6622" i="106"/>
  <c r="D6622" i="106" s="1"/>
  <c r="B5168" i="106"/>
  <c r="D5168" i="106" s="1"/>
  <c r="F111" i="34"/>
  <c r="B7846" i="106" s="1"/>
  <c r="D7846" i="106" s="1"/>
  <c r="B3657" i="106"/>
  <c r="D3657" i="106" s="1"/>
  <c r="H362" i="29"/>
  <c r="K360" i="29"/>
  <c r="B3624" i="106"/>
  <c r="D3624" i="106" s="1"/>
  <c r="D350" i="29"/>
  <c r="B1445" i="106"/>
  <c r="D1445" i="106" s="1"/>
  <c r="K278" i="29"/>
  <c r="B1509" i="106" s="1"/>
  <c r="D1509" i="106" s="1"/>
  <c r="D270" i="29"/>
  <c r="B1436" i="106" s="1"/>
  <c r="D1436" i="106" s="1"/>
  <c r="B1428" i="106"/>
  <c r="D1428" i="106" s="1"/>
  <c r="K263" i="29"/>
  <c r="B2725" i="106"/>
  <c r="D2725" i="106" s="1"/>
  <c r="K247" i="29"/>
  <c r="B2726" i="106" s="1"/>
  <c r="D2726" i="106" s="1"/>
  <c r="B3389" i="106"/>
  <c r="D3389" i="106" s="1"/>
  <c r="K228" i="29"/>
  <c r="B3392" i="106" s="1"/>
  <c r="D3392" i="106" s="1"/>
  <c r="K216" i="29"/>
  <c r="B7073" i="106"/>
  <c r="D7073" i="106" s="1"/>
  <c r="B5790" i="106"/>
  <c r="D5790" i="106" s="1"/>
  <c r="B5738" i="106"/>
  <c r="D5738" i="106" s="1"/>
  <c r="G114" i="5"/>
  <c r="B5024" i="106"/>
  <c r="D5024" i="106" s="1"/>
  <c r="K206" i="29"/>
  <c r="B4210" i="106"/>
  <c r="D4210" i="106" s="1"/>
  <c r="K192" i="29"/>
  <c r="B3011" i="106" s="1"/>
  <c r="D3011" i="106" s="1"/>
  <c r="B2993" i="106"/>
  <c r="D2993" i="106" s="1"/>
  <c r="B1338" i="106"/>
  <c r="D1338" i="106" s="1"/>
  <c r="B4085" i="106"/>
  <c r="D4085" i="106" s="1"/>
  <c r="B5664" i="106"/>
  <c r="D5664" i="106" s="1"/>
  <c r="F204" i="5"/>
  <c r="B5677" i="106" s="1"/>
  <c r="D5677" i="106" s="1"/>
  <c r="F23" i="34"/>
  <c r="B5571" i="106"/>
  <c r="D5571" i="106" s="1"/>
  <c r="K165" i="29"/>
  <c r="B2818" i="106" s="1"/>
  <c r="D2818" i="106" s="1"/>
  <c r="B2812" i="106"/>
  <c r="D2812" i="106" s="1"/>
  <c r="B5023" i="106"/>
  <c r="D5023" i="106" s="1"/>
  <c r="D76" i="4"/>
  <c r="B3237" i="106" s="1"/>
  <c r="D3237" i="106" s="1"/>
  <c r="D44" i="4"/>
  <c r="B7749" i="106"/>
  <c r="D7749" i="106" s="1"/>
  <c r="B2979" i="106"/>
  <c r="D2979" i="106" s="1"/>
  <c r="H137" i="29"/>
  <c r="F127" i="29"/>
  <c r="B1247" i="106" s="1"/>
  <c r="D1247" i="106" s="1"/>
  <c r="B1243" i="106"/>
  <c r="D1243" i="106" s="1"/>
  <c r="B5494" i="106"/>
  <c r="D5494" i="106" s="1"/>
  <c r="F33" i="34"/>
  <c r="B5357" i="106"/>
  <c r="D5357" i="106" s="1"/>
  <c r="D114" i="5"/>
  <c r="B6319" i="106"/>
  <c r="D6319" i="106" s="1"/>
  <c r="J108" i="5"/>
  <c r="B6351" i="106" s="1"/>
  <c r="D6351" i="106" s="1"/>
  <c r="L270" i="29"/>
  <c r="E310" i="29"/>
  <c r="B7114" i="106" s="1"/>
  <c r="D7114" i="106" s="1"/>
  <c r="K306" i="29"/>
  <c r="B7105" i="106"/>
  <c r="D7105" i="106" s="1"/>
  <c r="B1543" i="106"/>
  <c r="D1543" i="106" s="1"/>
  <c r="G303" i="29"/>
  <c r="B7882" i="106"/>
  <c r="D7882" i="106" s="1"/>
  <c r="H122" i="5"/>
  <c r="B2791" i="106"/>
  <c r="D2791" i="106" s="1"/>
  <c r="K107" i="29"/>
  <c r="B2795" i="106" s="1"/>
  <c r="D2795" i="106" s="1"/>
  <c r="H100" i="29"/>
  <c r="B7012" i="106" s="1"/>
  <c r="D7012" i="106" s="1"/>
  <c r="K93" i="29"/>
  <c r="B6996" i="106"/>
  <c r="D6996" i="106" s="1"/>
  <c r="B920" i="106"/>
  <c r="D920" i="106" s="1"/>
  <c r="F72" i="29"/>
  <c r="B927" i="106" s="1"/>
  <c r="D927" i="106" s="1"/>
  <c r="F65" i="29"/>
  <c r="B919" i="106" s="1"/>
  <c r="D919" i="106" s="1"/>
  <c r="B912" i="106"/>
  <c r="D912" i="106" s="1"/>
  <c r="J57" i="29"/>
  <c r="B6949" i="106" s="1"/>
  <c r="D6949" i="106" s="1"/>
  <c r="B6945" i="106"/>
  <c r="D6945" i="106" s="1"/>
  <c r="B906" i="106"/>
  <c r="D906" i="106" s="1"/>
  <c r="F53" i="29"/>
  <c r="B908" i="106" s="1"/>
  <c r="D908" i="106" s="1"/>
  <c r="F47" i="29"/>
  <c r="B905" i="106" s="1"/>
  <c r="D905" i="106" s="1"/>
  <c r="B902" i="106"/>
  <c r="D902" i="106" s="1"/>
  <c r="B895" i="106"/>
  <c r="D895" i="106" s="1"/>
  <c r="F42" i="29"/>
  <c r="B6884" i="106"/>
  <c r="D6884" i="106" s="1"/>
  <c r="K24" i="29"/>
  <c r="B3367" i="106"/>
  <c r="D3367" i="106" s="1"/>
  <c r="K19" i="29"/>
  <c r="B3381" i="106" s="1"/>
  <c r="D3381" i="106" s="1"/>
  <c r="B706" i="106"/>
  <c r="D706" i="106" s="1"/>
  <c r="B717" i="106"/>
  <c r="D717" i="106" s="1"/>
  <c r="K13" i="29"/>
  <c r="B1105" i="106" s="1"/>
  <c r="D1105" i="106" s="1"/>
  <c r="B3055" i="106"/>
  <c r="D3055" i="106" s="1"/>
  <c r="K10" i="29"/>
  <c r="B3062" i="106" s="1"/>
  <c r="D3062" i="106" s="1"/>
  <c r="B6727" i="106"/>
  <c r="D6727" i="106" s="1"/>
  <c r="K7" i="29"/>
  <c r="B4358" i="106"/>
  <c r="D4358" i="106" s="1"/>
  <c r="F169" i="34"/>
  <c r="B7874" i="106" s="1"/>
  <c r="D7874" i="106" s="1"/>
  <c r="B6793" i="106"/>
  <c r="D6793" i="106" s="1"/>
  <c r="F153" i="34"/>
  <c r="B4351" i="106"/>
  <c r="D4351" i="106" s="1"/>
  <c r="F110" i="34"/>
  <c r="B7845" i="106" s="1"/>
  <c r="D7845" i="106" s="1"/>
  <c r="B6031" i="106"/>
  <c r="D6031" i="106" s="1"/>
  <c r="B5080" i="106"/>
  <c r="D5080" i="106" s="1"/>
  <c r="B7236" i="106"/>
  <c r="D7236" i="106" s="1"/>
  <c r="K356" i="29"/>
  <c r="H357" i="29"/>
  <c r="B7237" i="106" s="1"/>
  <c r="D7237" i="106" s="1"/>
  <c r="C350" i="29"/>
  <c r="K348" i="29"/>
  <c r="B3617" i="106"/>
  <c r="D3617" i="106" s="1"/>
  <c r="D261" i="29"/>
  <c r="B1427" i="106" s="1"/>
  <c r="D1427" i="106" s="1"/>
  <c r="B1423" i="106"/>
  <c r="D1423" i="106" s="1"/>
  <c r="K246" i="29"/>
  <c r="B1487" i="106" s="1"/>
  <c r="D1487" i="106" s="1"/>
  <c r="B1402" i="106"/>
  <c r="D1402" i="106" s="1"/>
  <c r="K227" i="29"/>
  <c r="B1466" i="106" s="1"/>
  <c r="D1466" i="106" s="1"/>
  <c r="D229" i="29"/>
  <c r="B1410" i="106" s="1"/>
  <c r="D1410" i="106" s="1"/>
  <c r="K215" i="29"/>
  <c r="B3387" i="106"/>
  <c r="D3387" i="106" s="1"/>
  <c r="K205" i="29"/>
  <c r="B7068" i="106" s="1"/>
  <c r="D7068" i="106" s="1"/>
  <c r="B7067" i="106"/>
  <c r="D7067" i="106" s="1"/>
  <c r="F184" i="29"/>
  <c r="B4084" i="106"/>
  <c r="D4084" i="106" s="1"/>
  <c r="B5580" i="106"/>
  <c r="D5580" i="106" s="1"/>
  <c r="F89" i="34"/>
  <c r="B5570" i="106"/>
  <c r="D5570" i="106" s="1"/>
  <c r="K164" i="29"/>
  <c r="B1325" i="106" s="1"/>
  <c r="D1325" i="106" s="1"/>
  <c r="B1311" i="106"/>
  <c r="D1311" i="106" s="1"/>
  <c r="B5514" i="106"/>
  <c r="D5514" i="106" s="1"/>
  <c r="E18" i="5"/>
  <c r="B5518" i="106" s="1"/>
  <c r="D5518" i="106" s="1"/>
  <c r="K148" i="29"/>
  <c r="B7050" i="106" s="1"/>
  <c r="D7050" i="106" s="1"/>
  <c r="B7049" i="106"/>
  <c r="D7049" i="106" s="1"/>
  <c r="K134" i="29"/>
  <c r="B4199" i="106"/>
  <c r="D4199" i="106" s="1"/>
  <c r="E137" i="29"/>
  <c r="K122" i="29"/>
  <c r="B5426" i="106"/>
  <c r="D5426" i="106" s="1"/>
  <c r="D188" i="5"/>
  <c r="B5347" i="106"/>
  <c r="D5347" i="106" s="1"/>
  <c r="K329" i="29"/>
  <c r="B7697" i="106"/>
  <c r="D7697" i="106" s="1"/>
  <c r="B7181" i="106"/>
  <c r="D7181" i="106" s="1"/>
  <c r="K326" i="29"/>
  <c r="K323" i="29"/>
  <c r="B7154" i="106"/>
  <c r="D7154" i="106" s="1"/>
  <c r="B7127" i="106"/>
  <c r="D7127" i="106" s="1"/>
  <c r="K320" i="29"/>
  <c r="B6302" i="106"/>
  <c r="D6302" i="106" s="1"/>
  <c r="J18" i="5"/>
  <c r="B6306" i="106" s="1"/>
  <c r="D6306" i="106" s="1"/>
  <c r="B5107" i="106"/>
  <c r="D5107" i="106" s="1"/>
  <c r="F99" i="34"/>
  <c r="B5115" i="106"/>
  <c r="D5115" i="106" s="1"/>
  <c r="F103" i="34"/>
  <c r="B7840" i="106" s="1"/>
  <c r="D7840" i="106" s="1"/>
  <c r="B5927" i="106"/>
  <c r="D5927" i="106" s="1"/>
  <c r="I108" i="5"/>
  <c r="B5930" i="106" s="1"/>
  <c r="D5930" i="106" s="1"/>
  <c r="B1537" i="106"/>
  <c r="D1537" i="106" s="1"/>
  <c r="F303" i="29"/>
  <c r="E72" i="29"/>
  <c r="B869" i="106" s="1"/>
  <c r="D869" i="106" s="1"/>
  <c r="B862" i="106"/>
  <c r="D862" i="106" s="1"/>
  <c r="E65" i="29"/>
  <c r="B861" i="106" s="1"/>
  <c r="D861" i="106" s="1"/>
  <c r="B854" i="106"/>
  <c r="D854" i="106" s="1"/>
  <c r="B1440" i="106"/>
  <c r="D1440" i="106" s="1"/>
  <c r="K275" i="29"/>
  <c r="B1504" i="106" s="1"/>
  <c r="D1504" i="106" s="1"/>
  <c r="B1422" i="106"/>
  <c r="D1422" i="106" s="1"/>
  <c r="D257" i="29"/>
  <c r="B1424" i="106" s="1"/>
  <c r="D1424" i="106" s="1"/>
  <c r="K245" i="29"/>
  <c r="K226" i="29"/>
  <c r="B7080" i="106" s="1"/>
  <c r="D7080" i="106" s="1"/>
  <c r="B7079" i="106"/>
  <c r="D7079" i="106" s="1"/>
  <c r="B6618" i="106"/>
  <c r="D6618" i="106" s="1"/>
  <c r="G252" i="5"/>
  <c r="B6837" i="106" s="1"/>
  <c r="D6837" i="106" s="1"/>
  <c r="B5731" i="106"/>
  <c r="D5731" i="106" s="1"/>
  <c r="B1373" i="106"/>
  <c r="D1373" i="106" s="1"/>
  <c r="K203" i="29"/>
  <c r="B1385" i="106" s="1"/>
  <c r="D1385" i="106" s="1"/>
  <c r="K191" i="29"/>
  <c r="B3010" i="106" s="1"/>
  <c r="D3010" i="106" s="1"/>
  <c r="B2992" i="106"/>
  <c r="D2992" i="106" s="1"/>
  <c r="B4083" i="106"/>
  <c r="D4083" i="106" s="1"/>
  <c r="E184" i="29"/>
  <c r="B6315" i="106"/>
  <c r="D6315" i="106" s="1"/>
  <c r="F28" i="34"/>
  <c r="B6313" i="106"/>
  <c r="D6313" i="106" s="1"/>
  <c r="F22" i="34"/>
  <c r="B5558" i="106"/>
  <c r="D5558" i="106" s="1"/>
  <c r="F18" i="5"/>
  <c r="B5562" i="106" s="1"/>
  <c r="D5562" i="106" s="1"/>
  <c r="B3699" i="106"/>
  <c r="D3699" i="106" s="1"/>
  <c r="K53" i="4"/>
  <c r="B3703" i="106" s="1"/>
  <c r="D3703" i="106" s="1"/>
  <c r="H168" i="29"/>
  <c r="K163" i="29"/>
  <c r="B1310" i="106"/>
  <c r="D1310" i="106" s="1"/>
  <c r="B6368" i="106"/>
  <c r="D6368" i="106" s="1"/>
  <c r="E169" i="5"/>
  <c r="B5537" i="106" s="1"/>
  <c r="D5537" i="106" s="1"/>
  <c r="B1270" i="106"/>
  <c r="D1270" i="106" s="1"/>
  <c r="K146" i="29"/>
  <c r="B1285" i="106" s="1"/>
  <c r="D1285" i="106" s="1"/>
  <c r="D127" i="29"/>
  <c r="B1231" i="106" s="1"/>
  <c r="D1231" i="106" s="1"/>
  <c r="B1227" i="106"/>
  <c r="D1227" i="106" s="1"/>
  <c r="J330" i="29"/>
  <c r="B7125" i="106"/>
  <c r="D7125" i="106" s="1"/>
  <c r="B6373" i="106"/>
  <c r="D6373" i="106" s="1"/>
  <c r="J169" i="5"/>
  <c r="B6396" i="106" s="1"/>
  <c r="D6396" i="106" s="1"/>
  <c r="B5882" i="106"/>
  <c r="D5882" i="106" s="1"/>
  <c r="H108" i="5"/>
  <c r="B5886" i="106" s="1"/>
  <c r="D5886" i="106" s="1"/>
  <c r="B4868" i="106"/>
  <c r="D4868" i="106" s="1"/>
  <c r="K266" i="5"/>
  <c r="B4442" i="106" s="1"/>
  <c r="D4442" i="106" s="1"/>
  <c r="B1425" i="106"/>
  <c r="D1425" i="106" s="1"/>
  <c r="K259" i="29"/>
  <c r="J44" i="4"/>
  <c r="B7754" i="106"/>
  <c r="D7754" i="106" s="1"/>
  <c r="B280" i="106"/>
  <c r="D280" i="106" s="1"/>
  <c r="M41" i="3"/>
  <c r="B6131" i="106"/>
  <c r="D6131" i="106" s="1"/>
  <c r="J34" i="3"/>
  <c r="G34" i="3"/>
  <c r="B6129" i="106"/>
  <c r="D6129" i="106" s="1"/>
  <c r="E303" i="29"/>
  <c r="B1531" i="106"/>
  <c r="D1531" i="106" s="1"/>
  <c r="H110" i="29"/>
  <c r="K105" i="29"/>
  <c r="B1048" i="106"/>
  <c r="D1048" i="106" s="1"/>
  <c r="B6991" i="106"/>
  <c r="D6991" i="106" s="1"/>
  <c r="K90" i="29"/>
  <c r="B6992" i="106" s="1"/>
  <c r="D6992" i="106" s="1"/>
  <c r="D72" i="29"/>
  <c r="B811" i="106" s="1"/>
  <c r="D811" i="106" s="1"/>
  <c r="B804" i="106"/>
  <c r="D804" i="106" s="1"/>
  <c r="B796" i="106"/>
  <c r="D796" i="106" s="1"/>
  <c r="D65" i="29"/>
  <c r="B803" i="106" s="1"/>
  <c r="D803" i="106" s="1"/>
  <c r="B1025" i="106"/>
  <c r="D1025" i="106" s="1"/>
  <c r="H57" i="29"/>
  <c r="B1027" i="106" s="1"/>
  <c r="D1027" i="106" s="1"/>
  <c r="K49" i="29"/>
  <c r="B786" i="106"/>
  <c r="D786" i="106" s="1"/>
  <c r="D47" i="29"/>
  <c r="B789" i="106" s="1"/>
  <c r="D789" i="106" s="1"/>
  <c r="D42" i="29"/>
  <c r="B779" i="106"/>
  <c r="D779" i="106" s="1"/>
  <c r="B6880" i="106"/>
  <c r="D6880" i="106" s="1"/>
  <c r="K22" i="29"/>
  <c r="B6859" i="106"/>
  <c r="D6859" i="106" s="1"/>
  <c r="B6851" i="106"/>
  <c r="D6851" i="106" s="1"/>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K242" i="29"/>
  <c r="B1484" i="106" s="1"/>
  <c r="D1484" i="106" s="1"/>
  <c r="B1420" i="106"/>
  <c r="D1420" i="106" s="1"/>
  <c r="K225" i="29"/>
  <c r="B1460" i="106" s="1"/>
  <c r="D1460" i="106" s="1"/>
  <c r="B1396" i="106"/>
  <c r="D1396" i="106" s="1"/>
  <c r="B5722" i="106"/>
  <c r="D5722" i="106" s="1"/>
  <c r="K202" i="29"/>
  <c r="B2842" i="106" s="1"/>
  <c r="D2842" i="106" s="1"/>
  <c r="B2832" i="106"/>
  <c r="D2832" i="106" s="1"/>
  <c r="D184" i="29"/>
  <c r="B4082" i="106"/>
  <c r="D4082" i="106" s="1"/>
  <c r="F27" i="34"/>
  <c r="B5578" i="106"/>
  <c r="D5578" i="106" s="1"/>
  <c r="B5569" i="106"/>
  <c r="D5569" i="106" s="1"/>
  <c r="F21" i="34"/>
  <c r="E76" i="4"/>
  <c r="B3276" i="106" s="1"/>
  <c r="D3276" i="106" s="1"/>
  <c r="B2817" i="106"/>
  <c r="D2817" i="106" s="1"/>
  <c r="K157" i="29"/>
  <c r="H160" i="29"/>
  <c r="B7053" i="106" s="1"/>
  <c r="D7053" i="106" s="1"/>
  <c r="B7777" i="106"/>
  <c r="D7777" i="106" s="1"/>
  <c r="K145" i="29"/>
  <c r="B2811" i="106" s="1"/>
  <c r="D2811" i="106" s="1"/>
  <c r="B2808" i="106"/>
  <c r="D2808" i="106" s="1"/>
  <c r="K125" i="29"/>
  <c r="B3488" i="106" s="1"/>
  <c r="D3488" i="106" s="1"/>
  <c r="B3482" i="106"/>
  <c r="D3482" i="106" s="1"/>
  <c r="B1219" i="106"/>
  <c r="D1219" i="106" s="1"/>
  <c r="C127" i="29"/>
  <c r="B1223" i="106" s="1"/>
  <c r="D1223" i="106" s="1"/>
  <c r="B5370" i="106"/>
  <c r="D5370" i="106" s="1"/>
  <c r="D141" i="5"/>
  <c r="B5383" i="106" s="1"/>
  <c r="D5383" i="106" s="1"/>
  <c r="K339" i="29"/>
  <c r="B7213" i="106" s="1"/>
  <c r="D7213" i="106" s="1"/>
  <c r="B7212" i="106"/>
  <c r="D7212" i="106" s="1"/>
  <c r="I330" i="29"/>
  <c r="B7124" i="106"/>
  <c r="D7124" i="106" s="1"/>
  <c r="B5919" i="106"/>
  <c r="D5919" i="106" s="1"/>
  <c r="I18" i="5"/>
  <c r="B5923" i="106" s="1"/>
  <c r="D5923" i="106" s="1"/>
  <c r="B5734" i="106"/>
  <c r="D5734" i="106" s="1"/>
  <c r="G108" i="5"/>
  <c r="B5737" i="106" s="1"/>
  <c r="D5737" i="106" s="1"/>
  <c r="I57" i="29"/>
  <c r="B6948" i="106" s="1"/>
  <c r="D6948" i="106" s="1"/>
  <c r="B6944" i="106"/>
  <c r="D6944" i="106" s="1"/>
  <c r="B844" i="106"/>
  <c r="D844" i="106" s="1"/>
  <c r="E47" i="29"/>
  <c r="B847" i="106" s="1"/>
  <c r="D847" i="106" s="1"/>
  <c r="E42" i="29"/>
  <c r="B837" i="106"/>
  <c r="D837" i="106" s="1"/>
  <c r="E34" i="3"/>
  <c r="B6127" i="106"/>
  <c r="D6127" i="106" s="1"/>
  <c r="B179" i="106"/>
  <c r="D179" i="106" s="1"/>
  <c r="B1525" i="106"/>
  <c r="D1525" i="106" s="1"/>
  <c r="D303" i="29"/>
  <c r="B5879" i="106"/>
  <c r="D5879" i="106" s="1"/>
  <c r="H41" i="4"/>
  <c r="B6289" i="106" s="1"/>
  <c r="D6289" i="106" s="1"/>
  <c r="B6250" i="106"/>
  <c r="D6250" i="106" s="1"/>
  <c r="B6243" i="106"/>
  <c r="D6243" i="106" s="1"/>
  <c r="E38" i="4"/>
  <c r="B6286" i="106" s="1"/>
  <c r="D6286" i="106" s="1"/>
  <c r="B323" i="106"/>
  <c r="D323" i="106" s="1"/>
  <c r="D68" i="36"/>
  <c r="B6989" i="106"/>
  <c r="D6989" i="106" s="1"/>
  <c r="K89" i="29"/>
  <c r="B6990" i="106" s="1"/>
  <c r="D6990" i="106" s="1"/>
  <c r="K80" i="29"/>
  <c r="B2975" i="106" s="1"/>
  <c r="D2975" i="106" s="1"/>
  <c r="B2951" i="106"/>
  <c r="D2951" i="106" s="1"/>
  <c r="B756" i="106"/>
  <c r="D756" i="106" s="1"/>
  <c r="K75" i="29"/>
  <c r="B983" i="106"/>
  <c r="D983" i="106" s="1"/>
  <c r="B749" i="106"/>
  <c r="D749" i="106" s="1"/>
  <c r="K70" i="29"/>
  <c r="B746" i="106"/>
  <c r="D746" i="106" s="1"/>
  <c r="K67" i="29"/>
  <c r="C72" i="29"/>
  <c r="B753" i="106" s="1"/>
  <c r="D753" i="106" s="1"/>
  <c r="B741" i="106"/>
  <c r="D741" i="106" s="1"/>
  <c r="C65" i="29"/>
  <c r="B745" i="106" s="1"/>
  <c r="D745" i="106" s="1"/>
  <c r="B738" i="106"/>
  <c r="D738" i="106" s="1"/>
  <c r="B967" i="106"/>
  <c r="D967" i="106" s="1"/>
  <c r="G57" i="29"/>
  <c r="B969" i="106" s="1"/>
  <c r="D969" i="106" s="1"/>
  <c r="K52" i="29"/>
  <c r="B6940" i="106" s="1"/>
  <c r="D6940" i="106" s="1"/>
  <c r="B6932" i="106"/>
  <c r="D6932" i="106" s="1"/>
  <c r="B732" i="106"/>
  <c r="D732" i="106" s="1"/>
  <c r="C53" i="29"/>
  <c r="B734" i="106" s="1"/>
  <c r="D734" i="106" s="1"/>
  <c r="B728" i="106"/>
  <c r="D728" i="106" s="1"/>
  <c r="K44" i="29"/>
  <c r="C47" i="29"/>
  <c r="B731" i="106" s="1"/>
  <c r="D731" i="106" s="1"/>
  <c r="K39" i="29"/>
  <c r="B1112" i="106" s="1"/>
  <c r="D1112" i="106" s="1"/>
  <c r="B724" i="106"/>
  <c r="D724" i="106" s="1"/>
  <c r="K36" i="29"/>
  <c r="B721" i="106"/>
  <c r="D721" i="106" s="1"/>
  <c r="C42" i="29"/>
  <c r="B6878" i="106"/>
  <c r="D6878" i="106" s="1"/>
  <c r="K21" i="29"/>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B1409" i="106"/>
  <c r="D1409" i="106" s="1"/>
  <c r="K224" i="29"/>
  <c r="B5785" i="106"/>
  <c r="D5785" i="106" s="1"/>
  <c r="G188" i="5"/>
  <c r="K201" i="29"/>
  <c r="B2841" i="106" s="1"/>
  <c r="D2841" i="106" s="1"/>
  <c r="B2831" i="106"/>
  <c r="D2831" i="106" s="1"/>
  <c r="K190" i="29"/>
  <c r="B3009" i="106" s="1"/>
  <c r="D3009" i="106" s="1"/>
  <c r="B2991" i="106"/>
  <c r="D2991" i="106" s="1"/>
  <c r="B2820" i="106"/>
  <c r="D2820" i="106" s="1"/>
  <c r="K185" i="29"/>
  <c r="B5659" i="106"/>
  <c r="D5659" i="106" s="1"/>
  <c r="F188" i="5"/>
  <c r="F132" i="5"/>
  <c r="B5600" i="106"/>
  <c r="D5600" i="106" s="1"/>
  <c r="B5577" i="106"/>
  <c r="D5577" i="106" s="1"/>
  <c r="F26" i="34"/>
  <c r="B5568" i="106"/>
  <c r="D5568" i="106" s="1"/>
  <c r="F20" i="34"/>
  <c r="B5512" i="106"/>
  <c r="D5512" i="106" s="1"/>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H330" i="29"/>
  <c r="B7123" i="106"/>
  <c r="D7123" i="106" s="1"/>
  <c r="B6300" i="106"/>
  <c r="D6300" i="106" s="1"/>
  <c r="B5583" i="106"/>
  <c r="D5583" i="106" s="1"/>
  <c r="F108" i="5"/>
  <c r="B5587" i="106" s="1"/>
  <c r="D5587" i="106" s="1"/>
  <c r="F32" i="34"/>
  <c r="B7825" i="106" s="1"/>
  <c r="D7825" i="106" s="1"/>
  <c r="B5459" i="106"/>
  <c r="D5459" i="106" s="1"/>
  <c r="B4365" i="106"/>
  <c r="D4365" i="106" s="1"/>
  <c r="H175" i="5"/>
  <c r="K106" i="29"/>
  <c r="B1147" i="106" s="1"/>
  <c r="D1147" i="106" s="1"/>
  <c r="B1049" i="106"/>
  <c r="D1049" i="106" s="1"/>
  <c r="B848" i="106"/>
  <c r="D848" i="106" s="1"/>
  <c r="E53" i="29"/>
  <c r="B850" i="106" s="1"/>
  <c r="D850" i="106" s="1"/>
  <c r="L149" i="29"/>
  <c r="L147" i="29"/>
  <c r="L340" i="29"/>
  <c r="H34" i="3"/>
  <c r="B6130" i="106"/>
  <c r="D6130" i="106" s="1"/>
  <c r="B6219" i="106"/>
  <c r="D6219" i="106" s="1"/>
  <c r="B6117" i="106"/>
  <c r="D6117" i="106" s="1"/>
  <c r="B7753" i="106"/>
  <c r="D7753" i="106" s="1"/>
  <c r="C303" i="29"/>
  <c r="K301" i="29"/>
  <c r="B1519" i="106"/>
  <c r="D1519" i="106" s="1"/>
  <c r="B6299" i="106"/>
  <c r="D6299" i="106" s="1"/>
  <c r="K101" i="29"/>
  <c r="B7015" i="106" s="1"/>
  <c r="D7015" i="106" s="1"/>
  <c r="B2947" i="106"/>
  <c r="D2947" i="106" s="1"/>
  <c r="B6987" i="106"/>
  <c r="D6987" i="106" s="1"/>
  <c r="K88" i="29"/>
  <c r="B6988" i="106" s="1"/>
  <c r="D6988" i="106" s="1"/>
  <c r="B909" i="106"/>
  <c r="D909" i="106" s="1"/>
  <c r="F57" i="29"/>
  <c r="B911" i="106" s="1"/>
  <c r="D911" i="106" s="1"/>
  <c r="B6900" i="106"/>
  <c r="D6900" i="106" s="1"/>
  <c r="K32" i="29"/>
  <c r="B6876" i="106"/>
  <c r="D6876" i="106" s="1"/>
  <c r="K20" i="29"/>
  <c r="B7263" i="106"/>
  <c r="D7263" i="106" s="1"/>
  <c r="K17" i="29"/>
  <c r="B6871" i="106" s="1"/>
  <c r="D6871" i="106" s="1"/>
  <c r="K14" i="29"/>
  <c r="B1106" i="106" s="1"/>
  <c r="D1106" i="106" s="1"/>
  <c r="B718" i="106"/>
  <c r="D718" i="106" s="1"/>
  <c r="B7257" i="106"/>
  <c r="D7257" i="106" s="1"/>
  <c r="K11" i="29"/>
  <c r="B3366" i="106"/>
  <c r="D3366" i="106" s="1"/>
  <c r="K8" i="29"/>
  <c r="B3380" i="106" s="1"/>
  <c r="D3380" i="106" s="1"/>
  <c r="B5315" i="106"/>
  <c r="D5315" i="106" s="1"/>
  <c r="F163" i="34"/>
  <c r="B7870" i="106" s="1"/>
  <c r="D7870" i="106" s="1"/>
  <c r="B5086" i="106"/>
  <c r="D5086" i="106" s="1"/>
  <c r="K349" i="29"/>
  <c r="B3669" i="106" s="1"/>
  <c r="D3669" i="106" s="1"/>
  <c r="B3618" i="106"/>
  <c r="D3618" i="106" s="1"/>
  <c r="B4368" i="106"/>
  <c r="D4368" i="106" s="1"/>
  <c r="K175" i="5"/>
  <c r="B2844" i="106"/>
  <c r="D2844" i="106" s="1"/>
  <c r="K291" i="29"/>
  <c r="B2846" i="106" s="1"/>
  <c r="D2846" i="106" s="1"/>
  <c r="K254" i="29"/>
  <c r="B7094" i="106" s="1"/>
  <c r="D7094" i="106" s="1"/>
  <c r="B7093" i="106"/>
  <c r="D7093" i="106" s="1"/>
  <c r="D243" i="29"/>
  <c r="B1421" i="106" s="1"/>
  <c r="D1421" i="106" s="1"/>
  <c r="K240" i="29"/>
  <c r="B1418" i="106"/>
  <c r="D1418" i="106" s="1"/>
  <c r="K223" i="29"/>
  <c r="B1472" i="106" s="1"/>
  <c r="D1472" i="106" s="1"/>
  <c r="B1408" i="106"/>
  <c r="D1408" i="106" s="1"/>
  <c r="G221" i="5"/>
  <c r="B5847" i="106" s="1"/>
  <c r="D5847" i="106" s="1"/>
  <c r="B5844" i="106"/>
  <c r="D5844" i="106" s="1"/>
  <c r="B6380" i="106"/>
  <c r="D6380" i="106" s="1"/>
  <c r="G155" i="5"/>
  <c r="B4357" i="106" s="1"/>
  <c r="D4357" i="106" s="1"/>
  <c r="B5749" i="106"/>
  <c r="D5749" i="106" s="1"/>
  <c r="G141" i="5"/>
  <c r="B1372" i="106"/>
  <c r="D1372" i="106" s="1"/>
  <c r="K200" i="29"/>
  <c r="B1384" i="106" s="1"/>
  <c r="D1384" i="106" s="1"/>
  <c r="B6617" i="106"/>
  <c r="D6617" i="106" s="1"/>
  <c r="F252" i="5"/>
  <c r="B6836" i="106" s="1"/>
  <c r="D6836" i="106" s="1"/>
  <c r="B5576" i="106"/>
  <c r="D5576" i="106" s="1"/>
  <c r="F25" i="34"/>
  <c r="B5567" i="106"/>
  <c r="D5567" i="106" s="1"/>
  <c r="F19" i="34"/>
  <c r="B5556" i="106"/>
  <c r="D5556" i="106" s="1"/>
  <c r="B7750" i="106"/>
  <c r="D7750" i="106" s="1"/>
  <c r="B1269" i="106"/>
  <c r="D1269" i="106" s="1"/>
  <c r="K143" i="29"/>
  <c r="B1284" i="106" s="1"/>
  <c r="D1284" i="106" s="1"/>
  <c r="K128" i="29"/>
  <c r="B1280" i="106" s="1"/>
  <c r="D1280" i="106" s="1"/>
  <c r="B1224" i="106"/>
  <c r="D1224" i="106" s="1"/>
  <c r="B1236" i="106"/>
  <c r="D1236" i="106" s="1"/>
  <c r="B7022" i="106"/>
  <c r="D7022" i="106" s="1"/>
  <c r="I129" i="29"/>
  <c r="B5440" i="106"/>
  <c r="D5440" i="106" s="1"/>
  <c r="D209" i="5"/>
  <c r="B4412" i="106" s="1"/>
  <c r="D4412" i="106" s="1"/>
  <c r="B4313" i="106"/>
  <c r="D4313" i="106" s="1"/>
  <c r="F30" i="34"/>
  <c r="B7823" i="106" s="1"/>
  <c r="B5368" i="106"/>
  <c r="D5368" i="106" s="1"/>
  <c r="D132" i="5"/>
  <c r="B5343" i="106"/>
  <c r="D5343" i="106" s="1"/>
  <c r="D82" i="5"/>
  <c r="B5348" i="106" s="1"/>
  <c r="D5348" i="106" s="1"/>
  <c r="K337" i="29"/>
  <c r="H340" i="29"/>
  <c r="B7214" i="106" s="1"/>
  <c r="D7214" i="106" s="1"/>
  <c r="B7208" i="106"/>
  <c r="D7208" i="106" s="1"/>
  <c r="K327" i="29"/>
  <c r="B7190" i="106"/>
  <c r="D7190" i="106" s="1"/>
  <c r="B7163" i="106"/>
  <c r="D7163" i="106" s="1"/>
  <c r="K324" i="29"/>
  <c r="K321" i="29"/>
  <c r="B7136" i="106"/>
  <c r="D7136" i="106" s="1"/>
  <c r="G330" i="29"/>
  <c r="B7122" i="106"/>
  <c r="D7122" i="106" s="1"/>
  <c r="I44" i="4"/>
  <c r="B2772" i="106"/>
  <c r="D2772" i="106" s="1"/>
  <c r="E108" i="5"/>
  <c r="B5526" i="106" s="1"/>
  <c r="D5526" i="106" s="1"/>
  <c r="B5522" i="106"/>
  <c r="D5522" i="106" s="1"/>
  <c r="F160" i="34"/>
  <c r="B7867" i="106" s="1"/>
  <c r="D7867" i="106" s="1"/>
  <c r="B7765" i="106"/>
  <c r="D7765" i="106" s="1"/>
  <c r="B6882" i="106"/>
  <c r="D6882" i="106" s="1"/>
  <c r="K23" i="29"/>
  <c r="B6845" i="106"/>
  <c r="D6845" i="106" s="1"/>
  <c r="J33" i="29"/>
  <c r="B5012" i="106"/>
  <c r="D5012" i="106" s="1"/>
  <c r="D71" i="36"/>
  <c r="K87" i="29"/>
  <c r="B6986" i="106" s="1"/>
  <c r="D6986" i="106" s="1"/>
  <c r="B6985" i="106"/>
  <c r="D6985" i="106" s="1"/>
  <c r="K79" i="29"/>
  <c r="B2974" i="106" s="1"/>
  <c r="D2974" i="106" s="1"/>
  <c r="B2950" i="106"/>
  <c r="D2950" i="106" s="1"/>
  <c r="B851" i="106"/>
  <c r="D851" i="106" s="1"/>
  <c r="E57" i="29"/>
  <c r="B853" i="106" s="1"/>
  <c r="D853" i="106" s="1"/>
  <c r="B6898" i="106"/>
  <c r="D6898" i="106" s="1"/>
  <c r="K31" i="29"/>
  <c r="B879" i="106"/>
  <c r="D879" i="106" s="1"/>
  <c r="F33" i="29"/>
  <c r="B6753" i="106"/>
  <c r="D6753" i="106" s="1"/>
  <c r="F148" i="34"/>
  <c r="B6666" i="106"/>
  <c r="D6666" i="106" s="1"/>
  <c r="F140" i="34"/>
  <c r="B7227" i="106"/>
  <c r="D7227" i="106" s="1"/>
  <c r="J350" i="29"/>
  <c r="B5993" i="106"/>
  <c r="D5993" i="106" s="1"/>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B1407" i="106"/>
  <c r="D1407" i="106" s="1"/>
  <c r="K222" i="29"/>
  <c r="B1471" i="106" s="1"/>
  <c r="D1471" i="106" s="1"/>
  <c r="B4810" i="106"/>
  <c r="D4810" i="106" s="1"/>
  <c r="G181" i="5"/>
  <c r="B5784" i="106" s="1"/>
  <c r="D5784" i="106" s="1"/>
  <c r="B5726" i="106"/>
  <c r="D5726" i="106" s="1"/>
  <c r="G18" i="5"/>
  <c r="B5730" i="106" s="1"/>
  <c r="D5730" i="106" s="1"/>
  <c r="B1371" i="106"/>
  <c r="D1371" i="106" s="1"/>
  <c r="H204" i="29"/>
  <c r="K199" i="29"/>
  <c r="K189" i="29"/>
  <c r="B3008" i="106" s="1"/>
  <c r="D3008" i="106" s="1"/>
  <c r="B2990" i="106"/>
  <c r="D2990" i="106" s="1"/>
  <c r="B4804" i="106"/>
  <c r="D4804" i="106" s="1"/>
  <c r="F181" i="5"/>
  <c r="B5658" i="106" s="1"/>
  <c r="D5658" i="106" s="1"/>
  <c r="B7764" i="106"/>
  <c r="D7764" i="106" s="1"/>
  <c r="F94" i="34"/>
  <c r="F63" i="5"/>
  <c r="B5579" i="106" s="1"/>
  <c r="D5579" i="106" s="1"/>
  <c r="B5528" i="106"/>
  <c r="D5528" i="106" s="1"/>
  <c r="E122" i="5"/>
  <c r="B1268" i="106"/>
  <c r="D1268" i="106" s="1"/>
  <c r="H147" i="29"/>
  <c r="K142" i="29"/>
  <c r="B4079" i="106"/>
  <c r="D4079" i="106" s="1"/>
  <c r="H129" i="29"/>
  <c r="B5422" i="106"/>
  <c r="D5422" i="106" s="1"/>
  <c r="D175" i="5"/>
  <c r="F29" i="34"/>
  <c r="B7881" i="106" s="1"/>
  <c r="D7881" i="106" s="1"/>
  <c r="B5387" i="106"/>
  <c r="D5387" i="106" s="1"/>
  <c r="B6239" i="106"/>
  <c r="D6239" i="106" s="1"/>
  <c r="J76" i="4"/>
  <c r="B6261" i="106" s="1"/>
  <c r="D6261" i="106" s="1"/>
  <c r="F330" i="29"/>
  <c r="B7121" i="106"/>
  <c r="D7121" i="106" s="1"/>
  <c r="B6353" i="106"/>
  <c r="D6353" i="106" s="1"/>
  <c r="J122" i="5"/>
  <c r="B5917" i="106"/>
  <c r="D5917" i="106" s="1"/>
  <c r="L92" i="29"/>
  <c r="B6993" i="106"/>
  <c r="D6993" i="106" s="1"/>
  <c r="K91" i="29"/>
  <c r="B6994" i="106" s="1"/>
  <c r="D6994" i="106" s="1"/>
  <c r="L277" i="29"/>
  <c r="L204" i="29"/>
  <c r="L208" i="29" s="1"/>
  <c r="L110" i="29"/>
  <c r="L112" i="29" s="1"/>
  <c r="B2848" i="106"/>
  <c r="D2848" i="106" s="1"/>
  <c r="K309" i="29"/>
  <c r="B3717" i="106" s="1"/>
  <c r="D3717" i="106" s="1"/>
  <c r="B7112" i="106"/>
  <c r="D7112" i="106" s="1"/>
  <c r="B321" i="106"/>
  <c r="D321" i="106" s="1"/>
  <c r="I48" i="4"/>
  <c r="B2106" i="106" s="1"/>
  <c r="D2106" i="106" s="1"/>
  <c r="K99" i="29"/>
  <c r="B7010" i="106" s="1"/>
  <c r="D7010" i="106" s="1"/>
  <c r="E100" i="29"/>
  <c r="B7011" i="106" s="1"/>
  <c r="D7011" i="106" s="1"/>
  <c r="B7008" i="106"/>
  <c r="D7008" i="106" s="1"/>
  <c r="B6983" i="106"/>
  <c r="D6983" i="106" s="1"/>
  <c r="K86" i="29"/>
  <c r="B6984" i="106" s="1"/>
  <c r="D6984" i="106" s="1"/>
  <c r="B2955" i="106"/>
  <c r="D2955" i="106" s="1"/>
  <c r="H84" i="29"/>
  <c r="B1033" i="106"/>
  <c r="D1033" i="106" s="1"/>
  <c r="B1030" i="106"/>
  <c r="D1030" i="106" s="1"/>
  <c r="B793" i="106"/>
  <c r="D793" i="106" s="1"/>
  <c r="D57" i="29"/>
  <c r="B795" i="106" s="1"/>
  <c r="D795" i="106" s="1"/>
  <c r="B6896" i="106"/>
  <c r="D6896" i="106" s="1"/>
  <c r="K30" i="29"/>
  <c r="B6867" i="106"/>
  <c r="D6867" i="106" s="1"/>
  <c r="B7253" i="106"/>
  <c r="D7253" i="106" s="1"/>
  <c r="B821" i="106"/>
  <c r="D821" i="106" s="1"/>
  <c r="B7226" i="106"/>
  <c r="D7226" i="106" s="1"/>
  <c r="I350" i="29"/>
  <c r="B1450" i="106"/>
  <c r="D1450" i="106" s="1"/>
  <c r="K289" i="29"/>
  <c r="B1513" i="106" s="1"/>
  <c r="D1513" i="106" s="1"/>
  <c r="B1433" i="106"/>
  <c r="D1433" i="106" s="1"/>
  <c r="K268" i="29"/>
  <c r="B1497" i="106" s="1"/>
  <c r="D1497" i="106" s="1"/>
  <c r="K252" i="29"/>
  <c r="B7090" i="106" s="1"/>
  <c r="D7090" i="106" s="1"/>
  <c r="B7089" i="106"/>
  <c r="D7089" i="106" s="1"/>
  <c r="K236" i="29"/>
  <c r="B1479" i="106" s="1"/>
  <c r="D1479" i="106" s="1"/>
  <c r="B1415" i="106"/>
  <c r="D1415" i="106" s="1"/>
  <c r="B1406" i="106"/>
  <c r="D1406" i="106" s="1"/>
  <c r="K221" i="29"/>
  <c r="H194" i="29"/>
  <c r="B2995" i="106"/>
  <c r="D2995" i="106" s="1"/>
  <c r="B1369" i="106"/>
  <c r="D1369" i="106" s="1"/>
  <c r="B5615" i="106"/>
  <c r="D5615" i="106" s="1"/>
  <c r="F155" i="5"/>
  <c r="B5618" i="106" s="1"/>
  <c r="D5618" i="106" s="1"/>
  <c r="B5575" i="106"/>
  <c r="D5575" i="106" s="1"/>
  <c r="F93" i="34"/>
  <c r="B5566" i="106"/>
  <c r="D5566" i="106" s="1"/>
  <c r="F87" i="34"/>
  <c r="K171" i="29"/>
  <c r="B1330" i="106" s="1"/>
  <c r="D1330" i="106" s="1"/>
  <c r="B1307" i="106"/>
  <c r="D1307" i="106" s="1"/>
  <c r="E172" i="29"/>
  <c r="B6714" i="106"/>
  <c r="D6714" i="106" s="1"/>
  <c r="E252" i="5"/>
  <c r="B5511" i="106"/>
  <c r="D5511" i="106" s="1"/>
  <c r="B3698" i="106"/>
  <c r="D3698" i="106" s="1"/>
  <c r="K52" i="4"/>
  <c r="B2092" i="106"/>
  <c r="D2092" i="106" s="1"/>
  <c r="K138" i="29"/>
  <c r="B2094" i="106" s="1"/>
  <c r="D2094" i="106" s="1"/>
  <c r="B1254" i="106"/>
  <c r="D1254" i="106" s="1"/>
  <c r="K126" i="29"/>
  <c r="B1277" i="106" s="1"/>
  <c r="D1277" i="106" s="1"/>
  <c r="B1220" i="106"/>
  <c r="D1220" i="106" s="1"/>
  <c r="B4078" i="106"/>
  <c r="D4078" i="106" s="1"/>
  <c r="G129" i="29"/>
  <c r="B5340" i="106"/>
  <c r="D5340" i="106" s="1"/>
  <c r="B7120" i="106"/>
  <c r="D7120" i="106" s="1"/>
  <c r="E330" i="29"/>
  <c r="B11" i="7"/>
  <c r="B6298" i="106"/>
  <c r="D6298" i="106" s="1"/>
  <c r="B5279" i="106"/>
  <c r="D5279" i="106" s="1"/>
  <c r="F130" i="34"/>
  <c r="B7862" i="106" s="1"/>
  <c r="D7862" i="106" s="1"/>
  <c r="K81" i="29"/>
  <c r="B2976" i="106" s="1"/>
  <c r="D2976" i="106" s="1"/>
  <c r="B2952" i="106"/>
  <c r="D2952" i="106" s="1"/>
  <c r="L257" i="29"/>
  <c r="B5874" i="106"/>
  <c r="D5874" i="106" s="1"/>
  <c r="H18" i="5"/>
  <c r="B5878" i="106" s="1"/>
  <c r="D5878" i="106" s="1"/>
  <c r="B5871" i="106"/>
  <c r="D5871" i="106" s="1"/>
  <c r="B9" i="7"/>
  <c r="E40" i="4"/>
  <c r="B6288" i="106" s="1"/>
  <c r="D6288" i="106" s="1"/>
  <c r="B6248" i="106"/>
  <c r="D6248" i="106" s="1"/>
  <c r="B6240" i="106"/>
  <c r="D6240" i="106" s="1"/>
  <c r="H14" i="118"/>
  <c r="H19" i="118"/>
  <c r="E37" i="4"/>
  <c r="B6285" i="106" s="1"/>
  <c r="D6285" i="106" s="1"/>
  <c r="I47" i="4"/>
  <c r="B7748" i="106"/>
  <c r="D7748" i="106" s="1"/>
  <c r="K98" i="29"/>
  <c r="B7007" i="106" s="1"/>
  <c r="D7007" i="106" s="1"/>
  <c r="B7006" i="106"/>
  <c r="D7006" i="106" s="1"/>
  <c r="H92" i="29"/>
  <c r="B6981" i="106"/>
  <c r="D6981" i="106" s="1"/>
  <c r="K85" i="29"/>
  <c r="B6982" i="106" s="1"/>
  <c r="D6982" i="106" s="1"/>
  <c r="K78" i="29"/>
  <c r="E84" i="29"/>
  <c r="B2949" i="106"/>
  <c r="D2949" i="106" s="1"/>
  <c r="B751" i="106"/>
  <c r="D751" i="106" s="1"/>
  <c r="B747" i="106"/>
  <c r="D747" i="106" s="1"/>
  <c r="K68" i="29"/>
  <c r="B742" i="106"/>
  <c r="D742" i="106" s="1"/>
  <c r="K63" i="29"/>
  <c r="K60" i="29"/>
  <c r="B739" i="106"/>
  <c r="D739" i="106" s="1"/>
  <c r="B735" i="106"/>
  <c r="D735" i="106" s="1"/>
  <c r="C57" i="29"/>
  <c r="B737" i="106" s="1"/>
  <c r="D737" i="106" s="1"/>
  <c r="K55" i="29"/>
  <c r="B733" i="106"/>
  <c r="D733" i="106" s="1"/>
  <c r="K50" i="29"/>
  <c r="B729" i="106"/>
  <c r="D729" i="106" s="1"/>
  <c r="K45" i="29"/>
  <c r="B1117" i="106" s="1"/>
  <c r="D1117" i="106" s="1"/>
  <c r="K40" i="29"/>
  <c r="B1113" i="106" s="1"/>
  <c r="D1113" i="106" s="1"/>
  <c r="B725" i="106"/>
  <c r="D725" i="106" s="1"/>
  <c r="K37" i="29"/>
  <c r="B1110" i="106" s="1"/>
  <c r="D1110" i="106" s="1"/>
  <c r="B722" i="106"/>
  <c r="D722" i="106" s="1"/>
  <c r="B6894" i="106"/>
  <c r="D6894" i="106" s="1"/>
  <c r="K29" i="29"/>
  <c r="B763" i="106"/>
  <c r="D763" i="106" s="1"/>
  <c r="D33" i="29"/>
  <c r="B7761" i="106"/>
  <c r="D7761" i="106" s="1"/>
  <c r="F159" i="34"/>
  <c r="B6650" i="106"/>
  <c r="D6650" i="106" s="1"/>
  <c r="F138" i="34"/>
  <c r="H350" i="29"/>
  <c r="B3652" i="106"/>
  <c r="D3652" i="106" s="1"/>
  <c r="B1449" i="106"/>
  <c r="D1449" i="106" s="1"/>
  <c r="K288" i="29"/>
  <c r="H293" i="29"/>
  <c r="K267" i="29"/>
  <c r="B1496" i="106" s="1"/>
  <c r="D1496" i="106" s="1"/>
  <c r="B1432" i="106"/>
  <c r="D1432" i="106" s="1"/>
  <c r="K251" i="29"/>
  <c r="B7088" i="106" s="1"/>
  <c r="D7088" i="106" s="1"/>
  <c r="B7087" i="106"/>
  <c r="D7087" i="106" s="1"/>
  <c r="K235" i="29"/>
  <c r="B1478" i="106" s="1"/>
  <c r="D1478" i="106" s="1"/>
  <c r="B1414" i="106"/>
  <c r="D1414" i="106" s="1"/>
  <c r="K220" i="29"/>
  <c r="B7077" i="106"/>
  <c r="D7077" i="106" s="1"/>
  <c r="B5799" i="106"/>
  <c r="D5799" i="106" s="1"/>
  <c r="G209" i="5"/>
  <c r="B4414" i="106" s="1"/>
  <c r="D4414" i="106" s="1"/>
  <c r="B5779" i="106"/>
  <c r="D5779" i="106" s="1"/>
  <c r="G175" i="5"/>
  <c r="B2824" i="106"/>
  <c r="D2824" i="106" s="1"/>
  <c r="K195" i="29"/>
  <c r="B2839" i="106" s="1"/>
  <c r="D2839" i="106" s="1"/>
  <c r="K188" i="29"/>
  <c r="B2989" i="106"/>
  <c r="D2989" i="106" s="1"/>
  <c r="E194" i="29"/>
  <c r="B1335" i="106"/>
  <c r="D1335" i="106" s="1"/>
  <c r="B5673" i="106"/>
  <c r="D5673" i="106" s="1"/>
  <c r="F209" i="5"/>
  <c r="B4413" i="106" s="1"/>
  <c r="D4413" i="106" s="1"/>
  <c r="B5654" i="106"/>
  <c r="D5654" i="106" s="1"/>
  <c r="F175" i="5"/>
  <c r="B5593" i="106"/>
  <c r="D5593" i="106" s="1"/>
  <c r="F122" i="5"/>
  <c r="B5574" i="106"/>
  <c r="D5574" i="106" s="1"/>
  <c r="F24" i="34"/>
  <c r="B5565" i="106"/>
  <c r="D5565" i="106" s="1"/>
  <c r="F86" i="34"/>
  <c r="B1315" i="106"/>
  <c r="D1315" i="106" s="1"/>
  <c r="K170" i="29"/>
  <c r="D69" i="36"/>
  <c r="H51" i="4"/>
  <c r="B3170" i="106" s="1"/>
  <c r="D3170" i="106" s="1"/>
  <c r="B3161" i="106"/>
  <c r="D3161" i="106" s="1"/>
  <c r="B7025" i="106"/>
  <c r="D7025" i="106" s="1"/>
  <c r="J127" i="29"/>
  <c r="B7034" i="106" s="1"/>
  <c r="D7034" i="106" s="1"/>
  <c r="B4077" i="106"/>
  <c r="D4077" i="106" s="1"/>
  <c r="F129" i="29"/>
  <c r="B4329" i="106"/>
  <c r="D4329" i="106" s="1"/>
  <c r="F121" i="34"/>
  <c r="B5331" i="106"/>
  <c r="D5331" i="106" s="1"/>
  <c r="D330" i="29"/>
  <c r="B7119" i="106"/>
  <c r="D7119" i="106" s="1"/>
  <c r="B4215" i="106"/>
  <c r="D4215" i="106" s="1"/>
  <c r="I169" i="5"/>
  <c r="B5349" i="106"/>
  <c r="D5349" i="106" s="1"/>
  <c r="D108" i="5"/>
  <c r="B5355" i="106" s="1"/>
  <c r="D5355" i="106" s="1"/>
  <c r="F31" i="34"/>
  <c r="B7824" i="106" s="1"/>
  <c r="D217" i="5"/>
  <c r="B5470" i="106" s="1"/>
  <c r="D5470" i="106" s="1"/>
  <c r="B5458" i="106"/>
  <c r="D5458" i="106" s="1"/>
  <c r="B5581" i="106"/>
  <c r="D5581" i="106" s="1"/>
  <c r="B5520" i="106"/>
  <c r="D5520" i="106" s="1"/>
  <c r="B6317" i="106"/>
  <c r="D6317" i="106" s="1"/>
  <c r="B5994" i="106"/>
  <c r="D5994"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57" i="29" l="1"/>
  <c r="L194" i="29"/>
  <c r="L196" i="29" s="1"/>
  <c r="B3411" i="106"/>
  <c r="D3411" i="106" s="1"/>
  <c r="L84" i="29"/>
  <c r="L102" i="29" s="1"/>
  <c r="K123" i="29"/>
  <c r="B1275" i="106" s="1"/>
  <c r="D1275" i="106" s="1"/>
  <c r="K71" i="29"/>
  <c r="B1139" i="106" s="1"/>
  <c r="D1139" i="106" s="1"/>
  <c r="K62" i="29"/>
  <c r="B1129" i="106" s="1"/>
  <c r="D1129" i="106" s="1"/>
  <c r="L184" i="29"/>
  <c r="L210" i="29" s="1"/>
  <c r="D42" i="36"/>
  <c r="K13" i="3"/>
  <c r="B3552" i="106" s="1"/>
  <c r="D3552" i="106" s="1"/>
  <c r="H12" i="5"/>
  <c r="B5873" i="106" s="1"/>
  <c r="D5873" i="106" s="1"/>
  <c r="L172" i="29"/>
  <c r="L174" i="29" s="1"/>
  <c r="K41" i="29"/>
  <c r="B1114" i="106" s="1"/>
  <c r="D1114" i="106" s="1"/>
  <c r="J12" i="5"/>
  <c r="B6301" i="106" s="1"/>
  <c r="D6301" i="106" s="1"/>
  <c r="G204" i="5"/>
  <c r="B5803" i="106" s="1"/>
  <c r="D5803" i="106" s="1"/>
  <c r="B5" i="7"/>
  <c r="H44" i="4"/>
  <c r="B3296" i="106" s="1"/>
  <c r="D3296" i="106" s="1"/>
  <c r="L229" i="29"/>
  <c r="G65" i="29"/>
  <c r="B977" i="106" s="1"/>
  <c r="D977" i="106" s="1"/>
  <c r="B6217" i="106"/>
  <c r="D6217" i="106" s="1"/>
  <c r="D41" i="36"/>
  <c r="J13" i="3"/>
  <c r="B6124" i="106" s="1"/>
  <c r="D6124" i="106" s="1"/>
  <c r="B3229" i="106"/>
  <c r="D3229" i="106" s="1"/>
  <c r="C77" i="4"/>
  <c r="B3232" i="106" s="1"/>
  <c r="D3232" i="106" s="1"/>
  <c r="C252" i="5"/>
  <c r="B6833" i="106" s="1"/>
  <c r="D6833" i="106" s="1"/>
  <c r="B6614" i="106"/>
  <c r="D6614" i="106" s="1"/>
  <c r="B6682" i="106"/>
  <c r="D6682" i="106" s="1"/>
  <c r="F142" i="34"/>
  <c r="B6777" i="106"/>
  <c r="D6777" i="106" s="1"/>
  <c r="F151" i="34"/>
  <c r="B5780" i="106"/>
  <c r="D5780" i="106" s="1"/>
  <c r="B1452" i="106"/>
  <c r="D1452" i="106" s="1"/>
  <c r="H295" i="29"/>
  <c r="B1454" i="106" s="1"/>
  <c r="D1454" i="106" s="1"/>
  <c r="B7201" i="106"/>
  <c r="D7201" i="106" s="1"/>
  <c r="E342" i="29"/>
  <c r="B7218" i="106" s="1"/>
  <c r="D7218" i="106" s="1"/>
  <c r="B3702" i="106"/>
  <c r="D3702" i="106" s="1"/>
  <c r="K76" i="4"/>
  <c r="B3586" i="106" s="1"/>
  <c r="D3586" i="106" s="1"/>
  <c r="B6897" i="106"/>
  <c r="D6897" i="106" s="1"/>
  <c r="F49" i="34"/>
  <c r="B7231" i="106"/>
  <c r="D7231" i="106" s="1"/>
  <c r="J352" i="29"/>
  <c r="B6903" i="106"/>
  <c r="D6903" i="106" s="1"/>
  <c r="B7203" i="106"/>
  <c r="D7203" i="106" s="1"/>
  <c r="G342" i="29"/>
  <c r="C312" i="29"/>
  <c r="B1524" i="106" s="1"/>
  <c r="D1524" i="106" s="1"/>
  <c r="B1523" i="106"/>
  <c r="D1523" i="106" s="1"/>
  <c r="B1473" i="106"/>
  <c r="D1473" i="106" s="1"/>
  <c r="F71" i="34"/>
  <c r="B7205" i="106"/>
  <c r="D7205" i="106" s="1"/>
  <c r="I342" i="29"/>
  <c r="B6006" i="106"/>
  <c r="D6006" i="106" s="1"/>
  <c r="K170" i="5"/>
  <c r="F67" i="5"/>
  <c r="B5582" i="106" s="1"/>
  <c r="D5582" i="106" s="1"/>
  <c r="B5723" i="106"/>
  <c r="D5723" i="106" s="1"/>
  <c r="B16" i="7"/>
  <c r="B1492" i="106"/>
  <c r="D1492" i="106" s="1"/>
  <c r="K270" i="29"/>
  <c r="B1500" i="106" s="1"/>
  <c r="D1500" i="106" s="1"/>
  <c r="B1142" i="106"/>
  <c r="D1142" i="106" s="1"/>
  <c r="B1511" i="106"/>
  <c r="D1511" i="106" s="1"/>
  <c r="G14" i="4"/>
  <c r="B2609" i="106" s="1"/>
  <c r="D2609" i="106" s="1"/>
  <c r="F72" i="34"/>
  <c r="J67" i="5"/>
  <c r="B6318" i="106" s="1"/>
  <c r="D6318" i="106" s="1"/>
  <c r="L72" i="29"/>
  <c r="D34" i="3"/>
  <c r="B6126" i="106"/>
  <c r="D6126" i="106" s="1"/>
  <c r="B6674" i="106"/>
  <c r="D6674" i="106" s="1"/>
  <c r="F141" i="34"/>
  <c r="B6737" i="106"/>
  <c r="D6737" i="106" s="1"/>
  <c r="F147" i="34"/>
  <c r="B5317" i="106"/>
  <c r="D5317" i="106" s="1"/>
  <c r="F164" i="34"/>
  <c r="B7871" i="106" s="1"/>
  <c r="D7871" i="106" s="1"/>
  <c r="B5187" i="106"/>
  <c r="D5187" i="106" s="1"/>
  <c r="F114" i="34"/>
  <c r="B7848" i="106" s="1"/>
  <c r="D7848" i="106" s="1"/>
  <c r="B5274" i="106"/>
  <c r="D5274" i="106" s="1"/>
  <c r="C217" i="5"/>
  <c r="B5286" i="106" s="1"/>
  <c r="D5286" i="106" s="1"/>
  <c r="B5655" i="106"/>
  <c r="D5655" i="106" s="1"/>
  <c r="K293" i="29"/>
  <c r="B1512" i="106"/>
  <c r="D1512" i="106" s="1"/>
  <c r="D27" i="108"/>
  <c r="F27" i="108"/>
  <c r="B1127" i="106"/>
  <c r="D1127" i="106" s="1"/>
  <c r="K92" i="29"/>
  <c r="B2089" i="106" s="1"/>
  <c r="D2089" i="106" s="1"/>
  <c r="B6995" i="106"/>
  <c r="D6995" i="106" s="1"/>
  <c r="L330" i="29"/>
  <c r="L342" i="29" s="1"/>
  <c r="B1266" i="106"/>
  <c r="D1266" i="106" s="1"/>
  <c r="B5369" i="106"/>
  <c r="D5369" i="106" s="1"/>
  <c r="D169" i="5"/>
  <c r="B5412" i="106" s="1"/>
  <c r="D5412" i="106" s="1"/>
  <c r="F51" i="34"/>
  <c r="B6901" i="106"/>
  <c r="D6901" i="106" s="1"/>
  <c r="B5614" i="106"/>
  <c r="D5614" i="106" s="1"/>
  <c r="F169" i="5"/>
  <c r="B5644" i="106" s="1"/>
  <c r="D5644" i="106" s="1"/>
  <c r="B1010" i="106"/>
  <c r="D1010" i="106" s="1"/>
  <c r="B1541" i="106"/>
  <c r="D1541" i="106" s="1"/>
  <c r="F312" i="29"/>
  <c r="B1542" i="106" s="1"/>
  <c r="D1542" i="106" s="1"/>
  <c r="E139" i="29"/>
  <c r="B4203" i="106" s="1"/>
  <c r="D4203" i="106" s="1"/>
  <c r="B4202" i="106"/>
  <c r="D4202" i="106" s="1"/>
  <c r="B1426" i="106"/>
  <c r="D1426" i="106" s="1"/>
  <c r="K260" i="29"/>
  <c r="B1490" i="106" s="1"/>
  <c r="D1490" i="106" s="1"/>
  <c r="C75" i="5"/>
  <c r="B7103" i="106"/>
  <c r="D7103" i="106" s="1"/>
  <c r="I312" i="29"/>
  <c r="B7116" i="106" s="1"/>
  <c r="D7116" i="106" s="1"/>
  <c r="L137" i="29"/>
  <c r="L139" i="29" s="1"/>
  <c r="B4852" i="106"/>
  <c r="D4852" i="106" s="1"/>
  <c r="F171" i="34"/>
  <c r="B7876" i="106" s="1"/>
  <c r="D7876" i="106" s="1"/>
  <c r="B6729" i="106"/>
  <c r="D6729" i="106" s="1"/>
  <c r="F146" i="34"/>
  <c r="B6801" i="106"/>
  <c r="D6801" i="106" s="1"/>
  <c r="F154" i="34"/>
  <c r="B5148" i="106"/>
  <c r="D5148" i="106" s="1"/>
  <c r="C141" i="5"/>
  <c r="B5106" i="106"/>
  <c r="D5106" i="106" s="1"/>
  <c r="F98" i="34"/>
  <c r="F119" i="34"/>
  <c r="B7853" i="106" s="1"/>
  <c r="D7853" i="106" s="1"/>
  <c r="B6388" i="106"/>
  <c r="D6388" i="106" s="1"/>
  <c r="B5280" i="106"/>
  <c r="D5280" i="106" s="1"/>
  <c r="F131" i="34"/>
  <c r="B7863" i="106" s="1"/>
  <c r="D7863" i="106" s="1"/>
  <c r="B5312" i="106"/>
  <c r="D5312" i="106" s="1"/>
  <c r="F161" i="34"/>
  <c r="B7868" i="106" s="1"/>
  <c r="D7868" i="106" s="1"/>
  <c r="B1130" i="106"/>
  <c r="D1130" i="106" s="1"/>
  <c r="G30" i="108"/>
  <c r="E30" i="108"/>
  <c r="B1751" i="106"/>
  <c r="D1751" i="106" s="1"/>
  <c r="D9" i="7"/>
  <c r="B1767" i="106" s="1"/>
  <c r="D1767" i="106" s="1"/>
  <c r="B5061" i="106"/>
  <c r="D5061" i="106" s="1"/>
  <c r="B4" i="7"/>
  <c r="C12" i="5"/>
  <c r="B6883" i="106"/>
  <c r="D6883" i="106" s="1"/>
  <c r="F42" i="34"/>
  <c r="E59" i="184"/>
  <c r="N59" i="184" s="1"/>
  <c r="B7144" i="106"/>
  <c r="D7144" i="106" s="1"/>
  <c r="B5752" i="106"/>
  <c r="D5752" i="106" s="1"/>
  <c r="G169" i="5"/>
  <c r="B211" i="106"/>
  <c r="D211" i="106" s="1"/>
  <c r="F266" i="5"/>
  <c r="B5713" i="106" s="1"/>
  <c r="D5713" i="106" s="1"/>
  <c r="B4397" i="106"/>
  <c r="D4397" i="106" s="1"/>
  <c r="B1120" i="106"/>
  <c r="D1120" i="106" s="1"/>
  <c r="K53" i="29"/>
  <c r="B1134" i="106"/>
  <c r="D1134" i="106" s="1"/>
  <c r="E33" i="108"/>
  <c r="E17" i="184"/>
  <c r="H17" i="184" s="1"/>
  <c r="G33" i="108"/>
  <c r="B7778" i="106"/>
  <c r="D7778" i="106" s="1"/>
  <c r="K160" i="29"/>
  <c r="B6238" i="106"/>
  <c r="D6238" i="106" s="1"/>
  <c r="J77" i="4"/>
  <c r="B6262" i="106" s="1"/>
  <c r="D6262" i="106" s="1"/>
  <c r="E61" i="184"/>
  <c r="N61" i="184" s="1"/>
  <c r="B7162" i="106"/>
  <c r="D7162" i="106" s="1"/>
  <c r="B5893" i="106"/>
  <c r="D5893" i="106" s="1"/>
  <c r="H170" i="5"/>
  <c r="H139" i="29"/>
  <c r="B1267" i="106" s="1"/>
  <c r="D1267" i="106" s="1"/>
  <c r="B2091" i="106"/>
  <c r="D2091" i="106" s="1"/>
  <c r="B5741" i="106"/>
  <c r="D5741" i="106" s="1"/>
  <c r="G5" i="4"/>
  <c r="B3409" i="106" s="1"/>
  <c r="D3409" i="106" s="1"/>
  <c r="B1553" i="106"/>
  <c r="D1553" i="106" s="1"/>
  <c r="H312" i="29"/>
  <c r="B1554" i="106" s="1"/>
  <c r="D1554" i="106" s="1"/>
  <c r="B6889" i="106"/>
  <c r="D6889" i="106" s="1"/>
  <c r="F45" i="34"/>
  <c r="H65" i="29"/>
  <c r="B1035" i="106" s="1"/>
  <c r="D1035" i="106" s="1"/>
  <c r="B1028" i="106"/>
  <c r="D1028" i="106" s="1"/>
  <c r="F47" i="34"/>
  <c r="B6893" i="106"/>
  <c r="D6893" i="106" s="1"/>
  <c r="B4415" i="106"/>
  <c r="D4415" i="106" s="1"/>
  <c r="F162" i="34"/>
  <c r="B7869" i="106" s="1"/>
  <c r="D7869" i="106" s="1"/>
  <c r="B4761" i="106"/>
  <c r="D4761" i="106" s="1"/>
  <c r="F104" i="34"/>
  <c r="B7841" i="106" s="1"/>
  <c r="D7841" i="106" s="1"/>
  <c r="B4363" i="106"/>
  <c r="D4363" i="106" s="1"/>
  <c r="I170" i="5"/>
  <c r="E266" i="5"/>
  <c r="B7747" i="106" s="1"/>
  <c r="D7747" i="106" s="1"/>
  <c r="B6835" i="106"/>
  <c r="D6835" i="106" s="1"/>
  <c r="B6357" i="106"/>
  <c r="D6357" i="106" s="1"/>
  <c r="J170" i="5"/>
  <c r="K147" i="29"/>
  <c r="B1283" i="106"/>
  <c r="D1283" i="106" s="1"/>
  <c r="B5065" i="106"/>
  <c r="D5065" i="106" s="1"/>
  <c r="B18" i="7"/>
  <c r="B7171" i="106"/>
  <c r="D7171" i="106" s="1"/>
  <c r="E62" i="184"/>
  <c r="N62" i="184" s="1"/>
  <c r="E44" i="4"/>
  <c r="B1437" i="106"/>
  <c r="D1437" i="106" s="1"/>
  <c r="K272" i="29"/>
  <c r="D277" i="29"/>
  <c r="B1444" i="106" s="1"/>
  <c r="D1444" i="106" s="1"/>
  <c r="L33" i="29"/>
  <c r="J129" i="29"/>
  <c r="B6879" i="106"/>
  <c r="D6879" i="106" s="1"/>
  <c r="F40" i="34"/>
  <c r="B139" i="106"/>
  <c r="D139" i="106" s="1"/>
  <c r="B6881" i="106"/>
  <c r="D6881" i="106" s="1"/>
  <c r="F41" i="34"/>
  <c r="B188" i="106"/>
  <c r="D188" i="106" s="1"/>
  <c r="B1489" i="106"/>
  <c r="D1489" i="106" s="1"/>
  <c r="B7189" i="106"/>
  <c r="D7189" i="106" s="1"/>
  <c r="E64" i="184"/>
  <c r="N64" i="184" s="1"/>
  <c r="B2986" i="106"/>
  <c r="D2986" i="106" s="1"/>
  <c r="K137" i="29"/>
  <c r="B1358" i="106"/>
  <c r="D1358" i="106" s="1"/>
  <c r="F210" i="29"/>
  <c r="B1359" i="106" s="1"/>
  <c r="D1359" i="106" s="1"/>
  <c r="K276" i="29"/>
  <c r="B1506" i="106" s="1"/>
  <c r="D1506" i="106" s="1"/>
  <c r="B1442" i="106"/>
  <c r="D1442" i="106" s="1"/>
  <c r="G184" i="29"/>
  <c r="K61" i="29"/>
  <c r="B7064" i="106"/>
  <c r="D7064" i="106" s="1"/>
  <c r="J210" i="29"/>
  <c r="B7072" i="106" s="1"/>
  <c r="D7072" i="106" s="1"/>
  <c r="B3584" i="106"/>
  <c r="D3584" i="106" s="1"/>
  <c r="B5509" i="106"/>
  <c r="D5509" i="106" s="1"/>
  <c r="B6" i="7"/>
  <c r="E12" i="5"/>
  <c r="B7104" i="106"/>
  <c r="D7104" i="106" s="1"/>
  <c r="J312" i="29"/>
  <c r="B7117" i="106" s="1"/>
  <c r="D7117" i="106" s="1"/>
  <c r="B2805" i="106"/>
  <c r="D2805" i="106" s="1"/>
  <c r="F56" i="34"/>
  <c r="B7832" i="106" s="1"/>
  <c r="D7832" i="106" s="1"/>
  <c r="D14" i="4"/>
  <c r="B2570" i="106" s="1"/>
  <c r="D2570" i="106" s="1"/>
  <c r="B5103" i="106"/>
  <c r="D5103" i="106" s="1"/>
  <c r="C93" i="5"/>
  <c r="B5112" i="106" s="1"/>
  <c r="D5112" i="106" s="1"/>
  <c r="F97" i="34"/>
  <c r="B5111" i="106"/>
  <c r="D5111" i="106" s="1"/>
  <c r="F101" i="34"/>
  <c r="D12" i="171"/>
  <c r="B5123" i="106"/>
  <c r="D5123" i="106" s="1"/>
  <c r="B3654" i="106"/>
  <c r="D3654" i="106" s="1"/>
  <c r="H352" i="29"/>
  <c r="G34" i="108"/>
  <c r="B1135" i="106"/>
  <c r="D1135" i="106" s="1"/>
  <c r="E34" i="108"/>
  <c r="G151" i="29"/>
  <c r="B1258" i="106"/>
  <c r="D1258" i="106" s="1"/>
  <c r="B7230" i="106"/>
  <c r="D7230" i="106" s="1"/>
  <c r="I352" i="29"/>
  <c r="H149" i="29"/>
  <c r="B1272" i="106" s="1"/>
  <c r="D1272" i="106" s="1"/>
  <c r="B7047" i="106"/>
  <c r="D7047" i="106" s="1"/>
  <c r="B1383" i="106"/>
  <c r="D1383" i="106" s="1"/>
  <c r="K204" i="29"/>
  <c r="F62" i="34"/>
  <c r="B7833" i="106" s="1"/>
  <c r="D7833" i="106" s="1"/>
  <c r="F14" i="4"/>
  <c r="B2597" i="106" s="1"/>
  <c r="D2597" i="106" s="1"/>
  <c r="B2836" i="106"/>
  <c r="D2836" i="106" s="1"/>
  <c r="B1137" i="106"/>
  <c r="D1137" i="106" s="1"/>
  <c r="D36" i="108"/>
  <c r="F36" i="108"/>
  <c r="B5026" i="106"/>
  <c r="D5026" i="106" s="1"/>
  <c r="B13" i="7"/>
  <c r="B6191" i="106"/>
  <c r="D6191" i="106" s="1"/>
  <c r="B1351" i="106"/>
  <c r="D1351" i="106" s="1"/>
  <c r="B1486" i="106"/>
  <c r="D1486" i="106" s="1"/>
  <c r="K257" i="29"/>
  <c r="B1488" i="106" s="1"/>
  <c r="D1488" i="106" s="1"/>
  <c r="K16" i="29"/>
  <c r="B1094" i="106" s="1"/>
  <c r="D1094" i="106" s="1"/>
  <c r="B1547" i="106"/>
  <c r="D1547" i="106" s="1"/>
  <c r="G312" i="29"/>
  <c r="B1548" i="106" s="1"/>
  <c r="D1548" i="106" s="1"/>
  <c r="I12" i="5"/>
  <c r="B7" i="7"/>
  <c r="F12" i="5"/>
  <c r="B5553" i="106"/>
  <c r="D5553" i="106" s="1"/>
  <c r="B3633" i="106"/>
  <c r="D3633" i="106" s="1"/>
  <c r="E352" i="29"/>
  <c r="B1017" i="106"/>
  <c r="D1017" i="106" s="1"/>
  <c r="B6825" i="106"/>
  <c r="D6825" i="106" s="1"/>
  <c r="F157" i="34"/>
  <c r="F44" i="4"/>
  <c r="H266" i="5"/>
  <c r="B4441" i="106" s="1"/>
  <c r="D4441" i="106" s="1"/>
  <c r="B6838" i="106"/>
  <c r="D6838" i="106" s="1"/>
  <c r="B937" i="106"/>
  <c r="D937" i="106" s="1"/>
  <c r="G33" i="29"/>
  <c r="B5230" i="106"/>
  <c r="D5230" i="106" s="1"/>
  <c r="F123" i="34"/>
  <c r="C181" i="5"/>
  <c r="B5133" i="106"/>
  <c r="D5133" i="106" s="1"/>
  <c r="C132" i="5"/>
  <c r="B6642" i="106"/>
  <c r="D6642" i="106" s="1"/>
  <c r="F137" i="34"/>
  <c r="B5194" i="106"/>
  <c r="D5194" i="106" s="1"/>
  <c r="F115" i="34"/>
  <c r="B7849" i="106" s="1"/>
  <c r="D7849" i="106" s="1"/>
  <c r="F61" i="34"/>
  <c r="B1329" i="106"/>
  <c r="D1329" i="106" s="1"/>
  <c r="K182" i="29"/>
  <c r="B1377" i="106" s="1"/>
  <c r="D1377" i="106" s="1"/>
  <c r="F69" i="34"/>
  <c r="B7078" i="106"/>
  <c r="D7078" i="106" s="1"/>
  <c r="B1308" i="106"/>
  <c r="D1308" i="106" s="1"/>
  <c r="E174" i="29"/>
  <c r="B1309" i="106" s="1"/>
  <c r="D1309" i="106" s="1"/>
  <c r="H196" i="29"/>
  <c r="B2830" i="106" s="1"/>
  <c r="D2830" i="106" s="1"/>
  <c r="B2828" i="106"/>
  <c r="D2828" i="106" s="1"/>
  <c r="H208" i="29"/>
  <c r="B1375" i="106" s="1"/>
  <c r="D1375" i="106" s="1"/>
  <c r="B4156" i="106"/>
  <c r="D4156" i="106" s="1"/>
  <c r="B6858" i="106"/>
  <c r="D6858" i="106" s="1"/>
  <c r="F36" i="34"/>
  <c r="B7828" i="106" s="1"/>
  <c r="D7828" i="106" s="1"/>
  <c r="B727" i="106"/>
  <c r="D727" i="106" s="1"/>
  <c r="C74" i="29"/>
  <c r="B755" i="106" s="1"/>
  <c r="D755" i="106" s="1"/>
  <c r="F15" i="184"/>
  <c r="F19" i="184" s="1"/>
  <c r="E26" i="108"/>
  <c r="B1274" i="106"/>
  <c r="D1274" i="106" s="1"/>
  <c r="G26" i="108"/>
  <c r="B7206" i="106"/>
  <c r="D7206" i="106" s="1"/>
  <c r="J342" i="29"/>
  <c r="B7223" i="106" s="1"/>
  <c r="D7223" i="106" s="1"/>
  <c r="B3235" i="106"/>
  <c r="D3235" i="106" s="1"/>
  <c r="D77" i="4"/>
  <c r="B3238" i="106" s="1"/>
  <c r="D3238" i="106" s="1"/>
  <c r="K183" i="29"/>
  <c r="B1380" i="106" s="1"/>
  <c r="D1380" i="106" s="1"/>
  <c r="B3626" i="106"/>
  <c r="D3626" i="106" s="1"/>
  <c r="D352" i="29"/>
  <c r="B1749" i="106"/>
  <c r="D1749" i="106" s="1"/>
  <c r="D10" i="7"/>
  <c r="B1765" i="106" s="1"/>
  <c r="D1765" i="106" s="1"/>
  <c r="C129" i="29"/>
  <c r="B1475" i="106"/>
  <c r="D1475" i="106" s="1"/>
  <c r="K238" i="29"/>
  <c r="K6" i="29"/>
  <c r="B7763" i="106" s="1"/>
  <c r="D7763" i="106" s="1"/>
  <c r="B7762" i="106"/>
  <c r="D7762" i="106" s="1"/>
  <c r="B3723" i="106"/>
  <c r="D3723" i="106" s="1"/>
  <c r="K285" i="29"/>
  <c r="L42" i="29"/>
  <c r="G13" i="3"/>
  <c r="D38" i="36"/>
  <c r="B3422" i="106"/>
  <c r="D3422" i="106" s="1"/>
  <c r="B7199" i="106"/>
  <c r="D7199" i="106" s="1"/>
  <c r="C342" i="29"/>
  <c r="B7216" i="106" s="1"/>
  <c r="D7216" i="106" s="1"/>
  <c r="K180" i="29"/>
  <c r="B4081" i="106"/>
  <c r="D4081" i="106" s="1"/>
  <c r="C184" i="29"/>
  <c r="B2757" i="106"/>
  <c r="D2757" i="106" s="1"/>
  <c r="D72" i="36"/>
  <c r="C204" i="5"/>
  <c r="B5247" i="106"/>
  <c r="D5247" i="106" s="1"/>
  <c r="B4317" i="106"/>
  <c r="D4317" i="106" s="1"/>
  <c r="F120" i="34"/>
  <c r="B7854" i="106" s="1"/>
  <c r="D7854" i="106" s="1"/>
  <c r="B7200" i="106"/>
  <c r="D7200" i="106" s="1"/>
  <c r="D342" i="29"/>
  <c r="B7217" i="106" s="1"/>
  <c r="D7217" i="106" s="1"/>
  <c r="B2105" i="106"/>
  <c r="D2105" i="106" s="1"/>
  <c r="I76" i="4"/>
  <c r="B3318" i="106" s="1"/>
  <c r="D3318" i="106" s="1"/>
  <c r="B1470" i="106"/>
  <c r="D1470" i="106" s="1"/>
  <c r="F70" i="34"/>
  <c r="E33" i="29"/>
  <c r="B7202" i="106"/>
  <c r="D7202" i="106" s="1"/>
  <c r="F342" i="29"/>
  <c r="B7219" i="106" s="1"/>
  <c r="D7219" i="106" s="1"/>
  <c r="B5534" i="106"/>
  <c r="D5534" i="106" s="1"/>
  <c r="E170" i="5"/>
  <c r="B7198" i="106"/>
  <c r="D7198" i="106" s="1"/>
  <c r="E65" i="184"/>
  <c r="N65" i="184" s="1"/>
  <c r="B785" i="106"/>
  <c r="D785" i="106" s="1"/>
  <c r="B3414" i="106"/>
  <c r="D3414" i="106" s="1"/>
  <c r="D35" i="36"/>
  <c r="D13" i="3"/>
  <c r="D12" i="5"/>
  <c r="B1324" i="106"/>
  <c r="D1324" i="106" s="1"/>
  <c r="K168" i="29"/>
  <c r="E67" i="184"/>
  <c r="N67" i="184" s="1"/>
  <c r="B7705" i="106"/>
  <c r="D7705" i="106" s="1"/>
  <c r="B3668" i="106"/>
  <c r="D3668" i="106" s="1"/>
  <c r="K350" i="29"/>
  <c r="B6887" i="106"/>
  <c r="D6887" i="106" s="1"/>
  <c r="F44" i="34"/>
  <c r="K64" i="29"/>
  <c r="B1417" i="106"/>
  <c r="D1417" i="106" s="1"/>
  <c r="H72" i="29"/>
  <c r="B1043" i="106" s="1"/>
  <c r="D1043" i="106" s="1"/>
  <c r="B1036" i="106"/>
  <c r="D1036" i="106" s="1"/>
  <c r="B7126" i="106"/>
  <c r="D7126" i="106" s="1"/>
  <c r="E57" i="184"/>
  <c r="K330" i="29"/>
  <c r="F34" i="3"/>
  <c r="B6128" i="106"/>
  <c r="D6128" i="106" s="1"/>
  <c r="B5256" i="106"/>
  <c r="D5256" i="106" s="1"/>
  <c r="C209" i="5"/>
  <c r="B5167" i="106"/>
  <c r="D5167" i="106" s="1"/>
  <c r="F109" i="34"/>
  <c r="B6761" i="106"/>
  <c r="D6761" i="106" s="1"/>
  <c r="F149" i="34"/>
  <c r="B5301" i="106"/>
  <c r="D5301" i="106" s="1"/>
  <c r="C221" i="5"/>
  <c r="B5126" i="106"/>
  <c r="D5126" i="106" s="1"/>
  <c r="C122" i="5"/>
  <c r="E196" i="29"/>
  <c r="B1352" i="106" s="1"/>
  <c r="D1352" i="106" s="1"/>
  <c r="B2823" i="106"/>
  <c r="D2823" i="106" s="1"/>
  <c r="E12" i="184"/>
  <c r="B1121" i="106"/>
  <c r="D1121" i="106" s="1"/>
  <c r="F37" i="108"/>
  <c r="B5721" i="106"/>
  <c r="D5721" i="106" s="1"/>
  <c r="B8" i="7"/>
  <c r="G12" i="5"/>
  <c r="F13" i="3"/>
  <c r="B3419" i="106"/>
  <c r="D3419" i="106" s="1"/>
  <c r="D37" i="36"/>
  <c r="B7037" i="106"/>
  <c r="D7037" i="106" s="1"/>
  <c r="I151" i="29"/>
  <c r="B4951" i="106"/>
  <c r="D4951" i="106" s="1"/>
  <c r="K267" i="5"/>
  <c r="K42" i="29"/>
  <c r="B1109" i="106"/>
  <c r="D1109" i="106" s="1"/>
  <c r="C67" i="5"/>
  <c r="B5090" i="106" s="1"/>
  <c r="D5090" i="106" s="1"/>
  <c r="L310" i="29"/>
  <c r="B1745" i="106"/>
  <c r="D1745" i="106" s="1"/>
  <c r="D5" i="7"/>
  <c r="B1761" i="106" s="1"/>
  <c r="D1761" i="106" s="1"/>
  <c r="B1314" i="106"/>
  <c r="D1314" i="106" s="1"/>
  <c r="H172" i="29"/>
  <c r="B3390" i="106"/>
  <c r="D3390" i="106" s="1"/>
  <c r="K229" i="29"/>
  <c r="B3619" i="106"/>
  <c r="D3619" i="106" s="1"/>
  <c r="C352" i="29"/>
  <c r="B6885" i="106"/>
  <c r="D6885" i="106" s="1"/>
  <c r="F43" i="34"/>
  <c r="B7107" i="106"/>
  <c r="D7107" i="106" s="1"/>
  <c r="K310" i="29"/>
  <c r="F67" i="34"/>
  <c r="B7074" i="106"/>
  <c r="D7074" i="106" s="1"/>
  <c r="B3675" i="106"/>
  <c r="D3675" i="106" s="1"/>
  <c r="K362" i="29"/>
  <c r="C13" i="3"/>
  <c r="B7696" i="106"/>
  <c r="D7696" i="106" s="1"/>
  <c r="E66" i="184"/>
  <c r="N66" i="184" s="1"/>
  <c r="B4102" i="106"/>
  <c r="D4102" i="106" s="1"/>
  <c r="D17" i="7"/>
  <c r="B4104" i="106" s="1"/>
  <c r="D4104" i="106" s="1"/>
  <c r="B4080" i="106"/>
  <c r="D4080" i="106" s="1"/>
  <c r="B5592" i="106"/>
  <c r="D5592" i="106" s="1"/>
  <c r="F5" i="4"/>
  <c r="B3408" i="106" s="1"/>
  <c r="D3408" i="106" s="1"/>
  <c r="K9" i="29"/>
  <c r="B6891" i="106"/>
  <c r="D6891" i="106" s="1"/>
  <c r="F46" i="34"/>
  <c r="L47" i="29"/>
  <c r="B7153" i="106"/>
  <c r="D7153" i="106" s="1"/>
  <c r="E60" i="184"/>
  <c r="N60" i="184" s="1"/>
  <c r="B4372" i="106"/>
  <c r="D4372" i="106" s="1"/>
  <c r="E267" i="5"/>
  <c r="B720" i="106"/>
  <c r="D720" i="106" s="1"/>
  <c r="C155" i="5"/>
  <c r="B5175" i="106"/>
  <c r="D5175" i="106" s="1"/>
  <c r="B6626" i="106"/>
  <c r="D6626" i="106" s="1"/>
  <c r="F135" i="34"/>
  <c r="B5181" i="106"/>
  <c r="D5181" i="106" s="1"/>
  <c r="F113" i="34"/>
  <c r="B4418" i="106"/>
  <c r="D4418" i="106" s="1"/>
  <c r="F165" i="34"/>
  <c r="B7872" i="106" s="1"/>
  <c r="D7872" i="106" s="1"/>
  <c r="B6769" i="106"/>
  <c r="D6769" i="106" s="1"/>
  <c r="F150" i="34"/>
  <c r="K364" i="29"/>
  <c r="B7746" i="106" s="1"/>
  <c r="D7746" i="106" s="1"/>
  <c r="B7745" i="106"/>
  <c r="D7745" i="106" s="1"/>
  <c r="B2081" i="106"/>
  <c r="D2081" i="106" s="1"/>
  <c r="H102" i="29"/>
  <c r="B1047" i="106" s="1"/>
  <c r="D1047" i="106" s="1"/>
  <c r="H76" i="4"/>
  <c r="B3298" i="106" s="1"/>
  <c r="D3298" i="106" s="1"/>
  <c r="B6312" i="106"/>
  <c r="D6312" i="106" s="1"/>
  <c r="F88" i="34"/>
  <c r="B3417" i="106"/>
  <c r="D3417" i="106" s="1"/>
  <c r="D36" i="36"/>
  <c r="E13" i="3"/>
  <c r="B7204" i="106"/>
  <c r="D7204" i="106" s="1"/>
  <c r="H342" i="29"/>
  <c r="B7221" i="106" s="1"/>
  <c r="D7221" i="106" s="1"/>
  <c r="C14" i="4"/>
  <c r="B2558" i="106" s="1"/>
  <c r="D2558" i="106" s="1"/>
  <c r="F52" i="34"/>
  <c r="B7831" i="106" s="1"/>
  <c r="D7831" i="106" s="1"/>
  <c r="G39" i="108"/>
  <c r="E39" i="108"/>
  <c r="B1144" i="106"/>
  <c r="D1144" i="106" s="1"/>
  <c r="H67" i="5"/>
  <c r="B5881" i="106" s="1"/>
  <c r="D5881" i="106" s="1"/>
  <c r="B1146" i="106"/>
  <c r="D1146" i="106" s="1"/>
  <c r="K110" i="29"/>
  <c r="B5360" i="106"/>
  <c r="D5360" i="106" s="1"/>
  <c r="D5" i="4"/>
  <c r="B3406" i="106" s="1"/>
  <c r="D3406" i="106" s="1"/>
  <c r="B3658" i="106"/>
  <c r="D3658" i="106" s="1"/>
  <c r="H365" i="29"/>
  <c r="B7242" i="106" s="1"/>
  <c r="D7242" i="106" s="1"/>
  <c r="H24" i="118"/>
  <c r="I67" i="5"/>
  <c r="B5926" i="106" s="1"/>
  <c r="D5926" i="106" s="1"/>
  <c r="C40" i="5"/>
  <c r="B5087" i="106" s="1"/>
  <c r="D5087" i="106" s="1"/>
  <c r="B2910" i="106"/>
  <c r="D2910" i="106" s="1"/>
  <c r="B7076" i="106"/>
  <c r="D7076" i="106" s="1"/>
  <c r="F68" i="34"/>
  <c r="F352" i="29"/>
  <c r="B3640" i="106"/>
  <c r="D3640" i="106" s="1"/>
  <c r="L53" i="29"/>
  <c r="L350" i="29"/>
  <c r="L352" i="29" s="1"/>
  <c r="L367" i="29" s="1"/>
  <c r="K5" i="29"/>
  <c r="B5224" i="106"/>
  <c r="D5224" i="106" s="1"/>
  <c r="C175" i="5"/>
  <c r="B6690" i="106"/>
  <c r="D6690" i="106" s="1"/>
  <c r="F143" i="34"/>
  <c r="B4915" i="106"/>
  <c r="D4915" i="106" s="1"/>
  <c r="F118" i="34"/>
  <c r="B7852" i="106" s="1"/>
  <c r="D7852" i="106" s="1"/>
  <c r="B5113" i="106"/>
  <c r="D5113" i="106" s="1"/>
  <c r="F102" i="34"/>
  <c r="B7839" i="106" s="1"/>
  <c r="D7839" i="106" s="1"/>
  <c r="C108" i="5"/>
  <c r="B5120" i="106" s="1"/>
  <c r="D5120" i="106" s="1"/>
  <c r="B4189" i="106"/>
  <c r="D4189" i="106" s="1"/>
  <c r="F166" i="34"/>
  <c r="B7873" i="106" s="1"/>
  <c r="D7873" i="106" s="1"/>
  <c r="B3007" i="106"/>
  <c r="D3007" i="106" s="1"/>
  <c r="K194" i="29"/>
  <c r="B778" i="106"/>
  <c r="D778" i="106" s="1"/>
  <c r="B1123" i="106"/>
  <c r="D1123" i="106" s="1"/>
  <c r="B2789" i="106"/>
  <c r="D2789" i="106" s="1"/>
  <c r="E102" i="29"/>
  <c r="B2790" i="106" s="1"/>
  <c r="D2790" i="106" s="1"/>
  <c r="B894" i="106"/>
  <c r="D894" i="106" s="1"/>
  <c r="B7209" i="106"/>
  <c r="D7209" i="106" s="1"/>
  <c r="K340" i="29"/>
  <c r="I33" i="29"/>
  <c r="B790" i="106"/>
  <c r="D790" i="106" s="1"/>
  <c r="D53" i="29"/>
  <c r="B792" i="106" s="1"/>
  <c r="D792" i="106" s="1"/>
  <c r="B1053" i="106"/>
  <c r="D1053" i="106" s="1"/>
  <c r="H112" i="29"/>
  <c r="B7018" i="106" s="1"/>
  <c r="D7018" i="106" s="1"/>
  <c r="B5485" i="106"/>
  <c r="D5485" i="106" s="1"/>
  <c r="D221" i="5"/>
  <c r="B5488" i="106" s="1"/>
  <c r="D5488" i="106" s="1"/>
  <c r="B4396" i="106"/>
  <c r="D4396" i="106" s="1"/>
  <c r="B3673" i="106"/>
  <c r="D3673" i="106" s="1"/>
  <c r="K357" i="29"/>
  <c r="B6848" i="106"/>
  <c r="D6848" i="106" s="1"/>
  <c r="F34" i="34"/>
  <c r="B7826" i="106" s="1"/>
  <c r="D7826" i="106" s="1"/>
  <c r="B901" i="106"/>
  <c r="D901" i="106" s="1"/>
  <c r="F74" i="29"/>
  <c r="B929" i="106" s="1"/>
  <c r="D929" i="106" s="1"/>
  <c r="B4211" i="106"/>
  <c r="D4211" i="106" s="1"/>
  <c r="F64" i="34"/>
  <c r="B959" i="106"/>
  <c r="D959" i="106" s="1"/>
  <c r="E13" i="184"/>
  <c r="H13" i="184" s="1"/>
  <c r="B2724" i="106"/>
  <c r="D2724" i="106" s="1"/>
  <c r="G72" i="29"/>
  <c r="B985" i="106" s="1"/>
  <c r="D985" i="106" s="1"/>
  <c r="K12" i="29"/>
  <c r="B6916" i="106"/>
  <c r="D6916" i="106" s="1"/>
  <c r="I74" i="29"/>
  <c r="B6977" i="106" s="1"/>
  <c r="D6977" i="106" s="1"/>
  <c r="L127" i="29"/>
  <c r="L129" i="29" s="1"/>
  <c r="B5097" i="106"/>
  <c r="D5097" i="106" s="1"/>
  <c r="C82" i="5"/>
  <c r="B5519" i="106"/>
  <c r="D5519" i="106" s="1"/>
  <c r="E67" i="5"/>
  <c r="B5521" i="106" s="1"/>
  <c r="D5521" i="106" s="1"/>
  <c r="F151" i="29"/>
  <c r="B1250" i="106" s="1"/>
  <c r="D1250" i="106" s="1"/>
  <c r="B1249" i="106"/>
  <c r="D1249" i="106" s="1"/>
  <c r="B2973" i="106"/>
  <c r="D2973" i="106" s="1"/>
  <c r="K84" i="29"/>
  <c r="B3427" i="106"/>
  <c r="D3427" i="106" s="1"/>
  <c r="I13" i="3"/>
  <c r="D40" i="36"/>
  <c r="K67" i="5"/>
  <c r="B5995" i="106" s="1"/>
  <c r="D5995" i="106" s="1"/>
  <c r="B3317" i="106"/>
  <c r="D3317" i="106" s="1"/>
  <c r="B15" i="7"/>
  <c r="B5332" i="106"/>
  <c r="D5332" i="106" s="1"/>
  <c r="B4398" i="106"/>
  <c r="D4398" i="106" s="1"/>
  <c r="B5985" i="106"/>
  <c r="D5985" i="106" s="1"/>
  <c r="K12" i="5"/>
  <c r="B12" i="7"/>
  <c r="E15" i="184"/>
  <c r="B1126" i="106"/>
  <c r="D1126" i="106" s="1"/>
  <c r="F26" i="108"/>
  <c r="D26" i="108"/>
  <c r="B1529" i="106"/>
  <c r="D1529" i="106" s="1"/>
  <c r="D312" i="29"/>
  <c r="B1530" i="106" s="1"/>
  <c r="D1530" i="106" s="1"/>
  <c r="B843" i="106"/>
  <c r="D843" i="106" s="1"/>
  <c r="E74" i="29"/>
  <c r="B871" i="106" s="1"/>
  <c r="D871" i="106" s="1"/>
  <c r="B1345" i="106"/>
  <c r="D1345" i="106" s="1"/>
  <c r="D210" i="29"/>
  <c r="B1346" i="106" s="1"/>
  <c r="D1346" i="106" s="1"/>
  <c r="B6997" i="106"/>
  <c r="D6997" i="106" s="1"/>
  <c r="K100" i="29"/>
  <c r="B7013" i="106" s="1"/>
  <c r="D7013" i="106" s="1"/>
  <c r="B5063" i="106"/>
  <c r="D5063" i="106" s="1"/>
  <c r="B14" i="7"/>
  <c r="B1136" i="106"/>
  <c r="D1136" i="106" s="1"/>
  <c r="G35" i="108"/>
  <c r="E35" i="108"/>
  <c r="B6400" i="106"/>
  <c r="D6400" i="106" s="1"/>
  <c r="J267" i="5"/>
  <c r="H184" i="29"/>
  <c r="G352" i="29"/>
  <c r="B3647" i="106"/>
  <c r="D3647" i="106" s="1"/>
  <c r="L65" i="29"/>
  <c r="L303" i="29"/>
  <c r="B7180" i="106"/>
  <c r="D7180" i="106" s="1"/>
  <c r="E63" i="184"/>
  <c r="N63" i="184" s="1"/>
  <c r="J74" i="29"/>
  <c r="B6978" i="106" s="1"/>
  <c r="D6978" i="106" s="1"/>
  <c r="B6917" i="106"/>
  <c r="D6917" i="106" s="1"/>
  <c r="C198" i="5"/>
  <c r="B6401" i="106"/>
  <c r="D6401" i="106" s="1"/>
  <c r="F136" i="34"/>
  <c r="B6634" i="106"/>
  <c r="D6634" i="106" s="1"/>
  <c r="C114" i="5"/>
  <c r="B5122" i="106"/>
  <c r="D5122" i="106" s="1"/>
  <c r="C188" i="5"/>
  <c r="B5233" i="106"/>
  <c r="D5233" i="106" s="1"/>
  <c r="B4792" i="106"/>
  <c r="D4792" i="106" s="1"/>
  <c r="F122" i="34"/>
  <c r="B7855" i="106" s="1"/>
  <c r="D7855" i="106" s="1"/>
  <c r="B5599" i="106"/>
  <c r="D5599" i="106" s="1"/>
  <c r="F170" i="5"/>
  <c r="B6895" i="106"/>
  <c r="D6895" i="106" s="1"/>
  <c r="F48" i="34"/>
  <c r="H13" i="3"/>
  <c r="B3425" i="106"/>
  <c r="D3425" i="106" s="1"/>
  <c r="D39" i="36"/>
  <c r="B1752" i="106"/>
  <c r="D1752" i="106" s="1"/>
  <c r="D11" i="7"/>
  <c r="B1768" i="106" s="1"/>
  <c r="D1768" i="106" s="1"/>
  <c r="B5423" i="106"/>
  <c r="D5423" i="106" s="1"/>
  <c r="B6899" i="106"/>
  <c r="D6899" i="106" s="1"/>
  <c r="F50" i="34"/>
  <c r="B1482" i="106"/>
  <c r="D1482" i="106" s="1"/>
  <c r="K243" i="29"/>
  <c r="B1485" i="106" s="1"/>
  <c r="D1485" i="106" s="1"/>
  <c r="B6877" i="106"/>
  <c r="D6877" i="106" s="1"/>
  <c r="F39" i="34"/>
  <c r="B1555" i="106"/>
  <c r="D1555" i="106" s="1"/>
  <c r="K303" i="29"/>
  <c r="B4950" i="106"/>
  <c r="D4950" i="106" s="1"/>
  <c r="H267" i="5"/>
  <c r="C145" i="5"/>
  <c r="B1116" i="106"/>
  <c r="D1116" i="106" s="1"/>
  <c r="K47" i="29"/>
  <c r="B3258" i="106"/>
  <c r="D3258" i="106" s="1"/>
  <c r="G77" i="4"/>
  <c r="B3261" i="106" s="1"/>
  <c r="D3261" i="106" s="1"/>
  <c r="B1535" i="106"/>
  <c r="D1535" i="106" s="1"/>
  <c r="E312" i="29"/>
  <c r="B1536" i="106" s="1"/>
  <c r="D1536" i="106" s="1"/>
  <c r="B281" i="106"/>
  <c r="D281" i="106" s="1"/>
  <c r="D54" i="36"/>
  <c r="B7135" i="106"/>
  <c r="D7135" i="106" s="1"/>
  <c r="E58" i="184"/>
  <c r="N58" i="184" s="1"/>
  <c r="B1235" i="106"/>
  <c r="D1235" i="106" s="1"/>
  <c r="E127" i="29"/>
  <c r="F76" i="4"/>
  <c r="B3254" i="106" s="1"/>
  <c r="D3254" i="106" s="1"/>
  <c r="K56" i="29"/>
  <c r="L279" i="29"/>
  <c r="B1107" i="106"/>
  <c r="D1107" i="106" s="1"/>
  <c r="F38" i="34"/>
  <c r="B7830" i="106" s="1"/>
  <c r="D7830" i="106" s="1"/>
  <c r="B91" i="106"/>
  <c r="D91" i="106" s="1"/>
  <c r="D129" i="29"/>
  <c r="B7063" i="106"/>
  <c r="D7063" i="106" s="1"/>
  <c r="I210" i="29"/>
  <c r="B5367" i="106"/>
  <c r="D5367" i="106" s="1"/>
  <c r="K34" i="3"/>
  <c r="B1617" i="106"/>
  <c r="D1617" i="106" s="1"/>
  <c r="D170" i="5" l="1"/>
  <c r="D37" i="108"/>
  <c r="D279" i="29"/>
  <c r="K72" i="29"/>
  <c r="B1141" i="106" s="1"/>
  <c r="D1141" i="106" s="1"/>
  <c r="L295" i="29"/>
  <c r="K261" i="29"/>
  <c r="B1491" i="106" s="1"/>
  <c r="D1491" i="106" s="1"/>
  <c r="K127" i="29"/>
  <c r="G266" i="5"/>
  <c r="B5863" i="106" s="1"/>
  <c r="D5863" i="106" s="1"/>
  <c r="J109" i="5"/>
  <c r="B6352" i="106" s="1"/>
  <c r="D6352" i="106" s="1"/>
  <c r="C114" i="29"/>
  <c r="B757" i="106" s="1"/>
  <c r="D757" i="106" s="1"/>
  <c r="D266" i="5"/>
  <c r="G74" i="29"/>
  <c r="B987" i="106" s="1"/>
  <c r="D987" i="106" s="1"/>
  <c r="I77" i="4"/>
  <c r="B3319" i="106" s="1"/>
  <c r="D3319" i="106" s="1"/>
  <c r="F158" i="34"/>
  <c r="B7866" i="106" s="1"/>
  <c r="D7866" i="106" s="1"/>
  <c r="L151" i="29"/>
  <c r="H77" i="4"/>
  <c r="B3299" i="106" s="1"/>
  <c r="D3299" i="106" s="1"/>
  <c r="K77" i="4"/>
  <c r="B3587" i="106" s="1"/>
  <c r="D3587" i="106" s="1"/>
  <c r="B5161" i="106"/>
  <c r="D5161" i="106" s="1"/>
  <c r="F107" i="34"/>
  <c r="B7843" i="106" s="1"/>
  <c r="D7843" i="106" s="1"/>
  <c r="F76" i="34"/>
  <c r="B7887" i="106" s="1"/>
  <c r="D7887" i="106" s="1"/>
  <c r="B7222" i="106"/>
  <c r="D7222" i="106" s="1"/>
  <c r="D151" i="29"/>
  <c r="B1234" i="106" s="1"/>
  <c r="D1234" i="106" s="1"/>
  <c r="B1233" i="106"/>
  <c r="D1233" i="106" s="1"/>
  <c r="K312" i="29"/>
  <c r="B1560" i="106" s="1"/>
  <c r="D1560" i="106" s="1"/>
  <c r="B1559" i="106"/>
  <c r="D1559" i="106" s="1"/>
  <c r="H13" i="4"/>
  <c r="B4395" i="106"/>
  <c r="D4395" i="106" s="1"/>
  <c r="C266" i="5"/>
  <c r="B5320" i="106" s="1"/>
  <c r="D5320" i="106" s="1"/>
  <c r="F125" i="34"/>
  <c r="B7857" i="106" s="1"/>
  <c r="D7857" i="106" s="1"/>
  <c r="B1753" i="106"/>
  <c r="D1753" i="106" s="1"/>
  <c r="D12" i="7"/>
  <c r="B1769" i="106" s="1"/>
  <c r="D1769" i="106" s="1"/>
  <c r="B1104" i="106"/>
  <c r="D1104" i="106" s="1"/>
  <c r="F37" i="34"/>
  <c r="B7829" i="106" s="1"/>
  <c r="D7829" i="106" s="1"/>
  <c r="B3674" i="106"/>
  <c r="D3674" i="106" s="1"/>
  <c r="K15" i="4"/>
  <c r="B3573" i="106" s="1"/>
  <c r="D3573" i="106" s="1"/>
  <c r="B1093" i="106"/>
  <c r="D1093" i="106" s="1"/>
  <c r="K33" i="29"/>
  <c r="B5732" i="106"/>
  <c r="D5732" i="106" s="1"/>
  <c r="G67" i="5"/>
  <c r="B5733" i="106" s="1"/>
  <c r="D5733" i="106" s="1"/>
  <c r="B2102" i="106"/>
  <c r="D2102" i="106" s="1"/>
  <c r="H15" i="4"/>
  <c r="B2660" i="106" s="1"/>
  <c r="D2660" i="106" s="1"/>
  <c r="B1748" i="106"/>
  <c r="D1748" i="106" s="1"/>
  <c r="D8" i="7"/>
  <c r="B1764" i="106" s="1"/>
  <c r="D1764" i="106" s="1"/>
  <c r="B5987" i="106"/>
  <c r="D5987" i="106" s="1"/>
  <c r="K109" i="5"/>
  <c r="B2088" i="106"/>
  <c r="D2088" i="106" s="1"/>
  <c r="K102" i="29"/>
  <c r="F114" i="29"/>
  <c r="B931" i="106" s="1"/>
  <c r="D931" i="106" s="1"/>
  <c r="B5334" i="106"/>
  <c r="D5334" i="106" s="1"/>
  <c r="B836" i="106"/>
  <c r="D836" i="106" s="1"/>
  <c r="E114" i="29"/>
  <c r="B873" i="106" s="1"/>
  <c r="D873" i="106" s="1"/>
  <c r="B1364" i="106"/>
  <c r="D1364" i="106" s="1"/>
  <c r="G210" i="29"/>
  <c r="B3274" i="106"/>
  <c r="D3274" i="106" s="1"/>
  <c r="E77" i="4"/>
  <c r="B3277" i="106" s="1"/>
  <c r="D3277" i="106" s="1"/>
  <c r="F60" i="34"/>
  <c r="E15" i="4"/>
  <c r="B1323" i="106"/>
  <c r="D1323" i="106" s="1"/>
  <c r="F95" i="34"/>
  <c r="B5096" i="106"/>
  <c r="D5096" i="106" s="1"/>
  <c r="E38" i="108"/>
  <c r="J367" i="29"/>
  <c r="B7245" i="106" s="1"/>
  <c r="D7245" i="106" s="1"/>
  <c r="B7235" i="106"/>
  <c r="D7235" i="106" s="1"/>
  <c r="B1128" i="106"/>
  <c r="D1128" i="106" s="1"/>
  <c r="F28" i="108"/>
  <c r="E28" i="108"/>
  <c r="B203" i="106"/>
  <c r="D203" i="106" s="1"/>
  <c r="B5125" i="106"/>
  <c r="D5125" i="106" s="1"/>
  <c r="C5" i="4"/>
  <c r="B3405" i="106" s="1"/>
  <c r="D3405" i="106" s="1"/>
  <c r="B3649" i="106"/>
  <c r="D3649" i="106" s="1"/>
  <c r="G367" i="29"/>
  <c r="B3650" i="106" s="1"/>
  <c r="D3650" i="106" s="1"/>
  <c r="B131" i="106"/>
  <c r="D131" i="106" s="1"/>
  <c r="E7" i="4"/>
  <c r="B4443" i="106" s="1"/>
  <c r="D4443" i="106" s="1"/>
  <c r="B4434" i="106"/>
  <c r="D4434" i="106" s="1"/>
  <c r="B109" i="106"/>
  <c r="D109" i="106" s="1"/>
  <c r="B1339" i="106"/>
  <c r="D1339" i="106" s="1"/>
  <c r="C210" i="29"/>
  <c r="B1340" i="106" s="1"/>
  <c r="D1340" i="106" s="1"/>
  <c r="G170" i="5"/>
  <c r="B5770" i="106"/>
  <c r="D5770" i="106" s="1"/>
  <c r="G38" i="108"/>
  <c r="G29" i="108"/>
  <c r="B1370" i="106"/>
  <c r="D1370" i="106" s="1"/>
  <c r="H210" i="29"/>
  <c r="B1376" i="106" s="1"/>
  <c r="D1376" i="106" s="1"/>
  <c r="B1115" i="106"/>
  <c r="D1115" i="106" s="1"/>
  <c r="G21" i="108"/>
  <c r="E21" i="108"/>
  <c r="D295" i="29"/>
  <c r="B1448" i="106" s="1"/>
  <c r="D1448" i="106" s="1"/>
  <c r="B1446" i="106"/>
  <c r="D1446" i="106" s="1"/>
  <c r="B1481" i="106"/>
  <c r="D1481" i="106" s="1"/>
  <c r="B5147" i="106"/>
  <c r="D5147" i="106" s="1"/>
  <c r="C169" i="5"/>
  <c r="B5214" i="106" s="1"/>
  <c r="D5214" i="106" s="1"/>
  <c r="F106" i="34"/>
  <c r="B7842" i="106" s="1"/>
  <c r="D7842" i="106" s="1"/>
  <c r="H74" i="29"/>
  <c r="B3656" i="106"/>
  <c r="D3656" i="106" s="1"/>
  <c r="H367" i="29"/>
  <c r="B3660" i="106" s="1"/>
  <c r="D3660" i="106" s="1"/>
  <c r="E29" i="108"/>
  <c r="B7054" i="106"/>
  <c r="D7054" i="106" s="1"/>
  <c r="J7" i="4"/>
  <c r="B6222" i="106" s="1"/>
  <c r="D6222" i="106" s="1"/>
  <c r="F367" i="29"/>
  <c r="B3643" i="106" s="1"/>
  <c r="D3643" i="106" s="1"/>
  <c r="B3642" i="106"/>
  <c r="D3642" i="106" s="1"/>
  <c r="K112" i="29"/>
  <c r="B1151" i="106"/>
  <c r="D1151" i="106" s="1"/>
  <c r="B3621" i="106"/>
  <c r="D3621" i="106" s="1"/>
  <c r="C367" i="29"/>
  <c r="B3622" i="106" s="1"/>
  <c r="D3622" i="106" s="1"/>
  <c r="B6022" i="106"/>
  <c r="D6022" i="106" s="1"/>
  <c r="K7" i="4"/>
  <c r="B3718" i="106" s="1"/>
  <c r="D3718" i="106" s="1"/>
  <c r="F31" i="108"/>
  <c r="D31" i="108"/>
  <c r="D41" i="108" s="1"/>
  <c r="E43" i="108" s="1"/>
  <c r="B1131" i="106"/>
  <c r="D1131" i="106" s="1"/>
  <c r="E16" i="184"/>
  <c r="H16" i="184" s="1"/>
  <c r="B4087" i="106"/>
  <c r="D4087" i="106" s="1"/>
  <c r="K184" i="29"/>
  <c r="E210" i="29"/>
  <c r="B1353" i="106" s="1"/>
  <c r="D1353" i="106" s="1"/>
  <c r="K208" i="29"/>
  <c r="B4157" i="106"/>
  <c r="D4157" i="106" s="1"/>
  <c r="B4103" i="106"/>
  <c r="D4103" i="106" s="1"/>
  <c r="D18" i="7"/>
  <c r="B4105" i="106" s="1"/>
  <c r="D4105" i="106" s="1"/>
  <c r="F6" i="4"/>
  <c r="B2593" i="106" s="1"/>
  <c r="D2593" i="106" s="1"/>
  <c r="B5653" i="106"/>
  <c r="D5653" i="106" s="1"/>
  <c r="B4411" i="106"/>
  <c r="D4411" i="106" s="1"/>
  <c r="F128" i="34"/>
  <c r="B7860" i="106" s="1"/>
  <c r="D7860" i="106" s="1"/>
  <c r="D74" i="29"/>
  <c r="B1225" i="106"/>
  <c r="D1225" i="106" s="1"/>
  <c r="C151" i="29"/>
  <c r="B1226" i="106" s="1"/>
  <c r="D1226" i="106" s="1"/>
  <c r="B5232" i="106"/>
  <c r="D5232" i="106" s="1"/>
  <c r="F124" i="34"/>
  <c r="B7856" i="106" s="1"/>
  <c r="D7856" i="106" s="1"/>
  <c r="E367" i="29"/>
  <c r="B3636" i="106" s="1"/>
  <c r="D3636" i="106" s="1"/>
  <c r="B3635" i="106"/>
  <c r="D3635" i="106" s="1"/>
  <c r="B5513" i="106"/>
  <c r="D5513" i="106" s="1"/>
  <c r="E109" i="5"/>
  <c r="B1515" i="106"/>
  <c r="D1515" i="106" s="1"/>
  <c r="G16" i="4"/>
  <c r="B2611" i="106" s="1"/>
  <c r="D2611" i="106" s="1"/>
  <c r="B4216" i="106"/>
  <c r="D4216" i="106" s="1"/>
  <c r="I6" i="4"/>
  <c r="B5011" i="106" s="1"/>
  <c r="D5011" i="106" s="1"/>
  <c r="B5246" i="106"/>
  <c r="D5246" i="106" s="1"/>
  <c r="F126" i="34"/>
  <c r="B7858" i="106" s="1"/>
  <c r="D7858" i="106" s="1"/>
  <c r="B1756" i="106"/>
  <c r="D1756" i="106" s="1"/>
  <c r="D15" i="7"/>
  <c r="B1772" i="106" s="1"/>
  <c r="D1772" i="106" s="1"/>
  <c r="B1474" i="106"/>
  <c r="D1474" i="106" s="1"/>
  <c r="G12" i="4"/>
  <c r="F59" i="34"/>
  <c r="B7051" i="106"/>
  <c r="D7051" i="106" s="1"/>
  <c r="H12" i="184"/>
  <c r="D6" i="7"/>
  <c r="B1762" i="106" s="1"/>
  <c r="D1762" i="106" s="1"/>
  <c r="B1746" i="106"/>
  <c r="D1746" i="106" s="1"/>
  <c r="K139" i="29"/>
  <c r="B2093" i="106"/>
  <c r="D2093" i="106" s="1"/>
  <c r="F267" i="5"/>
  <c r="B3446" i="106"/>
  <c r="D3446" i="106" s="1"/>
  <c r="D16" i="7"/>
  <c r="B3447" i="106" s="1"/>
  <c r="D3447" i="106" s="1"/>
  <c r="B3252" i="106"/>
  <c r="D3252" i="106" s="1"/>
  <c r="F77" i="4"/>
  <c r="B3255" i="106" s="1"/>
  <c r="D3255" i="106" s="1"/>
  <c r="B3565" i="106"/>
  <c r="D3565" i="106" s="1"/>
  <c r="E14" i="184"/>
  <c r="H14" i="184" s="1"/>
  <c r="B1124" i="106"/>
  <c r="D1124" i="106" s="1"/>
  <c r="E22" i="108"/>
  <c r="B1119" i="106"/>
  <c r="D1119" i="106" s="1"/>
  <c r="G22" i="108"/>
  <c r="B5341" i="106"/>
  <c r="D5341" i="106" s="1"/>
  <c r="D67" i="5"/>
  <c r="B5342" i="106" s="1"/>
  <c r="D5342" i="106" s="1"/>
  <c r="K65" i="29"/>
  <c r="B1133" i="106" s="1"/>
  <c r="D1133" i="106" s="1"/>
  <c r="B5102" i="106"/>
  <c r="D5102" i="106" s="1"/>
  <c r="F96" i="34"/>
  <c r="B7838" i="106" s="1"/>
  <c r="D7838" i="106" s="1"/>
  <c r="B77" i="106"/>
  <c r="D77" i="106" s="1"/>
  <c r="B3670" i="106"/>
  <c r="D3670" i="106" s="1"/>
  <c r="K352" i="29"/>
  <c r="B7048" i="106"/>
  <c r="D7048" i="106" s="1"/>
  <c r="K149" i="29"/>
  <c r="H6" i="4"/>
  <c r="B2656" i="106" s="1"/>
  <c r="D2656" i="106" s="1"/>
  <c r="B5906" i="106"/>
  <c r="D5906" i="106" s="1"/>
  <c r="H151" i="29"/>
  <c r="B1273" i="106" s="1"/>
  <c r="D1273" i="106" s="1"/>
  <c r="B122" i="106"/>
  <c r="D122" i="106" s="1"/>
  <c r="B5421" i="106"/>
  <c r="D5421" i="106" s="1"/>
  <c r="D6" i="4"/>
  <c r="B2566" i="106" s="1"/>
  <c r="D2566" i="106" s="1"/>
  <c r="K57" i="29"/>
  <c r="B3676" i="106"/>
  <c r="D3676" i="106" s="1"/>
  <c r="K365" i="29"/>
  <c r="H174" i="29"/>
  <c r="B1318" i="106" s="1"/>
  <c r="D1318" i="106" s="1"/>
  <c r="B1317" i="106"/>
  <c r="D1317" i="106" s="1"/>
  <c r="B169" i="106"/>
  <c r="D169" i="106" s="1"/>
  <c r="D367" i="29"/>
  <c r="B3629" i="106" s="1"/>
  <c r="D3629" i="106" s="1"/>
  <c r="B3628" i="106"/>
  <c r="D3628" i="106" s="1"/>
  <c r="B952" i="106"/>
  <c r="D952" i="106" s="1"/>
  <c r="G114" i="29"/>
  <c r="B5557" i="106"/>
  <c r="D5557" i="106" s="1"/>
  <c r="F109" i="5"/>
  <c r="B3725" i="106"/>
  <c r="D3725" i="106" s="1"/>
  <c r="D13" i="7"/>
  <c r="B3726" i="106" s="1"/>
  <c r="D3726" i="106" s="1"/>
  <c r="I367" i="29"/>
  <c r="B7244" i="106" s="1"/>
  <c r="D7244" i="106" s="1"/>
  <c r="B7234" i="106"/>
  <c r="D7234" i="106" s="1"/>
  <c r="B7038" i="106"/>
  <c r="D7038" i="106" s="1"/>
  <c r="J151" i="29"/>
  <c r="B7052" i="106" s="1"/>
  <c r="D7052" i="106" s="1"/>
  <c r="B6397" i="106"/>
  <c r="D6397" i="106" s="1"/>
  <c r="J6" i="4"/>
  <c r="B6221" i="106" s="1"/>
  <c r="D6221" i="106" s="1"/>
  <c r="G23" i="108"/>
  <c r="B1122" i="106"/>
  <c r="D1122" i="106" s="1"/>
  <c r="E23" i="108"/>
  <c r="C109" i="5"/>
  <c r="B5066" i="106"/>
  <c r="D5066" i="106" s="1"/>
  <c r="B1239" i="106"/>
  <c r="D1239" i="106" s="1"/>
  <c r="E129" i="29"/>
  <c r="B5165" i="106"/>
  <c r="D5165" i="106" s="1"/>
  <c r="F108" i="34"/>
  <c r="B7844" i="106" s="1"/>
  <c r="D7844" i="106" s="1"/>
  <c r="B1754" i="106"/>
  <c r="D1754" i="106" s="1"/>
  <c r="D14" i="7"/>
  <c r="B1770" i="106" s="1"/>
  <c r="D1770" i="106" s="1"/>
  <c r="B5132" i="106"/>
  <c r="D5132" i="106" s="1"/>
  <c r="B7207" i="106"/>
  <c r="D7207" i="106" s="1"/>
  <c r="K342" i="29"/>
  <c r="J13" i="4"/>
  <c r="E6" i="4"/>
  <c r="B2631" i="106" s="1"/>
  <c r="D2631" i="106" s="1"/>
  <c r="B5544" i="106"/>
  <c r="D5544" i="106" s="1"/>
  <c r="B180" i="106"/>
  <c r="D180" i="106" s="1"/>
  <c r="B1747" i="106"/>
  <c r="D1747" i="106" s="1"/>
  <c r="D7" i="7"/>
  <c r="B1763" i="106" s="1"/>
  <c r="D1763" i="106" s="1"/>
  <c r="B1744" i="106"/>
  <c r="D1744" i="106" s="1"/>
  <c r="B19" i="7"/>
  <c r="B1759" i="106" s="1"/>
  <c r="D1759" i="106" s="1"/>
  <c r="D4" i="7"/>
  <c r="H109" i="5"/>
  <c r="F75" i="34"/>
  <c r="B7886" i="106" s="1"/>
  <c r="D7886" i="106" s="1"/>
  <c r="B7220" i="106"/>
  <c r="D7220" i="106" s="1"/>
  <c r="B7071" i="106"/>
  <c r="D7071" i="106" s="1"/>
  <c r="F66" i="34"/>
  <c r="H7" i="4"/>
  <c r="B2657" i="106" s="1"/>
  <c r="D2657" i="106" s="1"/>
  <c r="B5914" i="106"/>
  <c r="D5914" i="106" s="1"/>
  <c r="B6902" i="106"/>
  <c r="D6902" i="106" s="1"/>
  <c r="I114" i="29"/>
  <c r="B5225" i="106"/>
  <c r="D5225" i="106" s="1"/>
  <c r="B6853" i="106"/>
  <c r="D6853" i="106" s="1"/>
  <c r="F35" i="34"/>
  <c r="B7827" i="106" s="1"/>
  <c r="D7827" i="106" s="1"/>
  <c r="B157" i="106"/>
  <c r="D157" i="106" s="1"/>
  <c r="N57" i="184"/>
  <c r="N68" i="184" s="1"/>
  <c r="E68" i="184"/>
  <c r="L74" i="29"/>
  <c r="L114" i="29" s="1"/>
  <c r="B5918" i="106"/>
  <c r="D5918" i="106" s="1"/>
  <c r="I109" i="5"/>
  <c r="K6" i="4"/>
  <c r="B3570" i="106" s="1"/>
  <c r="D3570" i="106" s="1"/>
  <c r="B6014" i="106"/>
  <c r="D6014" i="106" s="1"/>
  <c r="L312" i="29"/>
  <c r="H15" i="184"/>
  <c r="B2888" i="106"/>
  <c r="D2888" i="106" s="1"/>
  <c r="B7215" i="106"/>
  <c r="D7215" i="106" s="1"/>
  <c r="J16" i="4"/>
  <c r="B6226" i="106" s="1"/>
  <c r="D6226" i="106" s="1"/>
  <c r="K196" i="29"/>
  <c r="B2837" i="106"/>
  <c r="D2837" i="106" s="1"/>
  <c r="B5178" i="106"/>
  <c r="D5178" i="106" s="1"/>
  <c r="F112" i="34"/>
  <c r="B7847" i="106" s="1"/>
  <c r="D7847" i="106" s="1"/>
  <c r="B5725" i="106"/>
  <c r="D5725" i="106" s="1"/>
  <c r="B5304" i="106"/>
  <c r="D5304" i="106" s="1"/>
  <c r="F133" i="34"/>
  <c r="B7865" i="106" s="1"/>
  <c r="D7865" i="106" s="1"/>
  <c r="K172" i="29"/>
  <c r="B1328" i="106"/>
  <c r="D1328" i="106" s="1"/>
  <c r="B5260" i="106"/>
  <c r="D5260" i="106" s="1"/>
  <c r="F127" i="34"/>
  <c r="B7859" i="106" s="1"/>
  <c r="D7859" i="106" s="1"/>
  <c r="B3724" i="106"/>
  <c r="D3724" i="106" s="1"/>
  <c r="G15" i="4"/>
  <c r="B6032" i="106" s="1"/>
  <c r="D6032" i="106" s="1"/>
  <c r="F73" i="34"/>
  <c r="F58" i="34"/>
  <c r="B1259" i="106"/>
  <c r="D1259" i="106" s="1"/>
  <c r="B1501" i="106"/>
  <c r="D1501" i="106" s="1"/>
  <c r="K277" i="29"/>
  <c r="B1508" i="106" s="1"/>
  <c r="D1508" i="106" s="1"/>
  <c r="J114" i="29"/>
  <c r="B7021" i="106" s="1"/>
  <c r="D7021" i="106" s="1"/>
  <c r="G267" i="5" l="1"/>
  <c r="B1279" i="106"/>
  <c r="D1279" i="106" s="1"/>
  <c r="K129" i="29"/>
  <c r="C170" i="5"/>
  <c r="B5223" i="106" s="1"/>
  <c r="D5223" i="106" s="1"/>
  <c r="J4" i="4"/>
  <c r="J268" i="5"/>
  <c r="K343" i="29" s="1"/>
  <c r="B7225" i="106" s="1"/>
  <c r="D7225" i="106" s="1"/>
  <c r="F41" i="108"/>
  <c r="G43" i="108" s="1"/>
  <c r="B5501" i="106"/>
  <c r="D5501" i="106" s="1"/>
  <c r="D267" i="5"/>
  <c r="K279" i="29"/>
  <c r="K295" i="29" s="1"/>
  <c r="F12" i="34" s="1"/>
  <c r="K151" i="29"/>
  <c r="B1288" i="106" s="1"/>
  <c r="D1288" i="106" s="1"/>
  <c r="F175" i="34"/>
  <c r="B7877" i="106" s="1"/>
  <c r="D7877" i="106" s="1"/>
  <c r="H268" i="5"/>
  <c r="H4" i="4"/>
  <c r="B6025" i="106"/>
  <c r="D6025" i="106" s="1"/>
  <c r="B1760" i="106"/>
  <c r="D1760" i="106" s="1"/>
  <c r="D19" i="7"/>
  <c r="B1775" i="106" s="1"/>
  <c r="D1775" i="106" s="1"/>
  <c r="K367" i="29"/>
  <c r="B3678" i="106" s="1"/>
  <c r="D3678" i="106" s="1"/>
  <c r="K13" i="4"/>
  <c r="B3672" i="106"/>
  <c r="D3672" i="106" s="1"/>
  <c r="G109" i="5"/>
  <c r="C267" i="5"/>
  <c r="C268" i="5" s="1"/>
  <c r="B989" i="106"/>
  <c r="D989" i="106" s="1"/>
  <c r="F54" i="34"/>
  <c r="E19" i="184"/>
  <c r="B813" i="106"/>
  <c r="D813" i="106" s="1"/>
  <c r="D114" i="29"/>
  <c r="B815" i="106" s="1"/>
  <c r="D815" i="106" s="1"/>
  <c r="B2659" i="106"/>
  <c r="D2659" i="106" s="1"/>
  <c r="H17" i="4"/>
  <c r="F4" i="4"/>
  <c r="B5588" i="106"/>
  <c r="D5588" i="106" s="1"/>
  <c r="F268" i="5"/>
  <c r="E24" i="108"/>
  <c r="B1125" i="106"/>
  <c r="D1125" i="106" s="1"/>
  <c r="G24" i="108"/>
  <c r="F13" i="4"/>
  <c r="B1381" i="106"/>
  <c r="D1381" i="106" s="1"/>
  <c r="K210" i="29"/>
  <c r="H19" i="184"/>
  <c r="L20" i="184" s="1"/>
  <c r="B5778" i="106"/>
  <c r="D5778" i="106" s="1"/>
  <c r="G6" i="4"/>
  <c r="B2604" i="106" s="1"/>
  <c r="D2604" i="106" s="1"/>
  <c r="B2633" i="106"/>
  <c r="D2633" i="106" s="1"/>
  <c r="C12" i="4"/>
  <c r="E19" i="108"/>
  <c r="B1108" i="106"/>
  <c r="D1108" i="106" s="1"/>
  <c r="G19" i="108"/>
  <c r="F13" i="34"/>
  <c r="B7224" i="106"/>
  <c r="D7224" i="106" s="1"/>
  <c r="F55" i="34"/>
  <c r="B7020" i="106"/>
  <c r="D7020" i="106" s="1"/>
  <c r="F17" i="11"/>
  <c r="K74" i="29"/>
  <c r="K114" i="29" s="1"/>
  <c r="B5121" i="106"/>
  <c r="D5121" i="106" s="1"/>
  <c r="C4" i="4"/>
  <c r="B6026" i="106"/>
  <c r="D6026" i="106" s="1"/>
  <c r="I4" i="4"/>
  <c r="I268" i="5"/>
  <c r="B5946" i="106" s="1"/>
  <c r="D5946" i="106" s="1"/>
  <c r="F53" i="34"/>
  <c r="B1145" i="106"/>
  <c r="D1145" i="106" s="1"/>
  <c r="C15" i="4"/>
  <c r="B2559" i="106" s="1"/>
  <c r="D2559" i="106" s="1"/>
  <c r="E4" i="4"/>
  <c r="B5527" i="106"/>
  <c r="D5527" i="106" s="1"/>
  <c r="E268" i="5"/>
  <c r="B2607" i="106"/>
  <c r="D2607" i="106" s="1"/>
  <c r="B1045" i="106"/>
  <c r="D1045" i="106" s="1"/>
  <c r="H114" i="29"/>
  <c r="B1054" i="106" s="1"/>
  <c r="D1054" i="106" s="1"/>
  <c r="B6220" i="106"/>
  <c r="D6220" i="106" s="1"/>
  <c r="J8" i="4"/>
  <c r="F65" i="34"/>
  <c r="B1365" i="106"/>
  <c r="D1365" i="106" s="1"/>
  <c r="B6028" i="106"/>
  <c r="D6028" i="106" s="1"/>
  <c r="K268" i="5"/>
  <c r="K4" i="4"/>
  <c r="F15" i="4"/>
  <c r="B2598" i="106" s="1"/>
  <c r="D2598" i="106" s="1"/>
  <c r="B1382" i="106"/>
  <c r="D1382" i="106" s="1"/>
  <c r="F63" i="34"/>
  <c r="B1241" i="106"/>
  <c r="D1241" i="106" s="1"/>
  <c r="E151" i="29"/>
  <c r="B1242" i="106" s="1"/>
  <c r="D1242" i="106" s="1"/>
  <c r="F7" i="4"/>
  <c r="B2594" i="106" s="1"/>
  <c r="D2594" i="106" s="1"/>
  <c r="B5719" i="106"/>
  <c r="D5719" i="106" s="1"/>
  <c r="B7055" i="106"/>
  <c r="D7055" i="106" s="1"/>
  <c r="B7243" i="106"/>
  <c r="D7243" i="106" s="1"/>
  <c r="K16" i="4"/>
  <c r="B3574" i="106" s="1"/>
  <c r="D3574" i="106" s="1"/>
  <c r="F16" i="4"/>
  <c r="B2599" i="106" s="1"/>
  <c r="D2599" i="106" s="1"/>
  <c r="B1387" i="106"/>
  <c r="D1387" i="106" s="1"/>
  <c r="B5869" i="106"/>
  <c r="D5869" i="106" s="1"/>
  <c r="G7" i="4"/>
  <c r="B2605" i="106" s="1"/>
  <c r="D2605" i="106" s="1"/>
  <c r="K174" i="29"/>
  <c r="B1331" i="106"/>
  <c r="D1331" i="106" s="1"/>
  <c r="E16" i="4"/>
  <c r="B2634" i="106" s="1"/>
  <c r="D2634" i="106" s="1"/>
  <c r="B7042" i="106"/>
  <c r="D7042" i="106" s="1"/>
  <c r="J17" i="4"/>
  <c r="D16" i="4"/>
  <c r="B2572" i="106" s="1"/>
  <c r="D2572" i="106" s="1"/>
  <c r="B1287" i="106"/>
  <c r="D1287" i="106" s="1"/>
  <c r="F57" i="34"/>
  <c r="D15" i="4"/>
  <c r="B2571" i="106" s="1"/>
  <c r="D2571" i="106" s="1"/>
  <c r="B1282" i="106"/>
  <c r="D1282" i="106" s="1"/>
  <c r="C16" i="4"/>
  <c r="B2560" i="106" s="1"/>
  <c r="D2560" i="106" s="1"/>
  <c r="B7019" i="106"/>
  <c r="D7019" i="106" s="1"/>
  <c r="D109" i="5"/>
  <c r="B1510" i="106" l="1"/>
  <c r="D1510" i="106" s="1"/>
  <c r="B1517" i="106"/>
  <c r="D1517" i="106" s="1"/>
  <c r="C6" i="4"/>
  <c r="B2553" i="106" s="1"/>
  <c r="D2553" i="106" s="1"/>
  <c r="B1281" i="106"/>
  <c r="D1281" i="106" s="1"/>
  <c r="D13" i="4"/>
  <c r="B2569" i="106" s="1"/>
  <c r="D2569" i="106" s="1"/>
  <c r="F9" i="34"/>
  <c r="G13" i="4"/>
  <c r="B2608" i="106" s="1"/>
  <c r="D2608" i="106" s="1"/>
  <c r="D7" i="4"/>
  <c r="B2567" i="106" s="1"/>
  <c r="D2567" i="106" s="1"/>
  <c r="B5507" i="106"/>
  <c r="D5507" i="106" s="1"/>
  <c r="F77" i="34"/>
  <c r="B7834" i="106" s="1"/>
  <c r="D7834" i="106" s="1"/>
  <c r="E41" i="108"/>
  <c r="E44" i="108" s="1"/>
  <c r="E45" i="108" s="1"/>
  <c r="G41" i="108"/>
  <c r="G44" i="108" s="1"/>
  <c r="G45" i="108" s="1"/>
  <c r="K115" i="29"/>
  <c r="B1153" i="106" s="1"/>
  <c r="D1153" i="106" s="1"/>
  <c r="B5327" i="106"/>
  <c r="D5327" i="106" s="1"/>
  <c r="F11" i="34"/>
  <c r="B1388" i="106"/>
  <c r="D1388" i="106" s="1"/>
  <c r="B2912" i="106"/>
  <c r="D2912" i="106" s="1"/>
  <c r="I41" i="3"/>
  <c r="B6223" i="106"/>
  <c r="D6223" i="106" s="1"/>
  <c r="J10" i="4"/>
  <c r="B6225" i="106" s="1"/>
  <c r="D6225" i="106" s="1"/>
  <c r="J20" i="4"/>
  <c r="B5356" i="106"/>
  <c r="D5356" i="106" s="1"/>
  <c r="D4" i="4"/>
  <c r="D268" i="5"/>
  <c r="F10" i="34"/>
  <c r="B1332" i="106"/>
  <c r="D1332" i="106" s="1"/>
  <c r="B3225" i="106"/>
  <c r="D3225" i="106" s="1"/>
  <c r="I8" i="4"/>
  <c r="B1152" i="106"/>
  <c r="D1152" i="106" s="1"/>
  <c r="F8" i="34"/>
  <c r="B2596" i="106"/>
  <c r="D2596" i="106" s="1"/>
  <c r="F17" i="4"/>
  <c r="B2655" i="106"/>
  <c r="D2655" i="106" s="1"/>
  <c r="H8" i="4"/>
  <c r="B3569" i="106"/>
  <c r="D3569" i="106" s="1"/>
  <c r="K8" i="4"/>
  <c r="B2551" i="106"/>
  <c r="D2551" i="106" s="1"/>
  <c r="B2556" i="106"/>
  <c r="D2556" i="106" s="1"/>
  <c r="B5720" i="106"/>
  <c r="D5720" i="106" s="1"/>
  <c r="K211" i="29"/>
  <c r="B1389" i="106" s="1"/>
  <c r="D1389" i="106" s="1"/>
  <c r="B5326" i="106"/>
  <c r="D5326" i="106" s="1"/>
  <c r="C7" i="4"/>
  <c r="C8" i="4" s="1"/>
  <c r="B5915" i="106"/>
  <c r="D5915" i="106" s="1"/>
  <c r="K313" i="29"/>
  <c r="B1561" i="106" s="1"/>
  <c r="D1561" i="106" s="1"/>
  <c r="B140" i="106"/>
  <c r="D140" i="106" s="1"/>
  <c r="E41" i="3"/>
  <c r="B6023" i="106"/>
  <c r="D6023" i="106" s="1"/>
  <c r="K368" i="29"/>
  <c r="B3681" i="106" s="1"/>
  <c r="D3681" i="106" s="1"/>
  <c r="K175" i="29"/>
  <c r="B1333" i="106" s="1"/>
  <c r="D1333" i="106" s="1"/>
  <c r="B5552" i="106"/>
  <c r="D5552" i="106" s="1"/>
  <c r="E17" i="4"/>
  <c r="B6024" i="106"/>
  <c r="D6024" i="106" s="1"/>
  <c r="G4" i="4"/>
  <c r="G268" i="5"/>
  <c r="B1143" i="106"/>
  <c r="D1143" i="106" s="1"/>
  <c r="C13" i="4"/>
  <c r="B2557" i="106" s="1"/>
  <c r="D2557" i="106" s="1"/>
  <c r="B2591" i="106"/>
  <c r="D2591" i="106" s="1"/>
  <c r="F8" i="4"/>
  <c r="B2630" i="106"/>
  <c r="D2630" i="106" s="1"/>
  <c r="E8" i="4"/>
  <c r="B7624" i="106"/>
  <c r="D7624" i="106" s="1"/>
  <c r="I17" i="11"/>
  <c r="B2661" i="106"/>
  <c r="D2661" i="106" s="1"/>
  <c r="H19" i="4"/>
  <c r="B4141" i="106" s="1"/>
  <c r="D4141" i="106" s="1"/>
  <c r="B3572" i="106"/>
  <c r="D3572" i="106" s="1"/>
  <c r="K17" i="4"/>
  <c r="B6227" i="106"/>
  <c r="D6227" i="106" s="1"/>
  <c r="J19" i="4"/>
  <c r="B6229" i="106" s="1"/>
  <c r="D6229" i="106" s="1"/>
  <c r="D17" i="4" l="1"/>
  <c r="G17" i="4"/>
  <c r="B2612" i="106" s="1"/>
  <c r="D2612" i="106" s="1"/>
  <c r="F14" i="34"/>
  <c r="B7822" i="106" s="1"/>
  <c r="B8" i="146"/>
  <c r="B2555" i="106"/>
  <c r="D2555" i="106" s="1"/>
  <c r="C10" i="4"/>
  <c r="B4122" i="106" s="1"/>
  <c r="D4122" i="106" s="1"/>
  <c r="B189" i="106"/>
  <c r="D189" i="106" s="1"/>
  <c r="G41" i="3"/>
  <c r="B3575" i="106"/>
  <c r="D3575" i="106" s="1"/>
  <c r="K19" i="4"/>
  <c r="B4144" i="106" s="1"/>
  <c r="D4144" i="106" s="1"/>
  <c r="H20" i="4"/>
  <c r="B2658" i="106"/>
  <c r="D2658" i="106" s="1"/>
  <c r="H10" i="4"/>
  <c r="B4127" i="106" s="1"/>
  <c r="D4127" i="106" s="1"/>
  <c r="B2564" i="106"/>
  <c r="D2564" i="106" s="1"/>
  <c r="D8" i="4"/>
  <c r="H18" i="118" s="1"/>
  <c r="B2603" i="106"/>
  <c r="D2603" i="106" s="1"/>
  <c r="G8" i="4"/>
  <c r="D9" i="146"/>
  <c r="B2600" i="106"/>
  <c r="D2600" i="106" s="1"/>
  <c r="F19" i="4"/>
  <c r="B4139" i="106" s="1"/>
  <c r="D4139" i="106" s="1"/>
  <c r="I18" i="11"/>
  <c r="B7625" i="106"/>
  <c r="D7625" i="106" s="1"/>
  <c r="B2635" i="106"/>
  <c r="D2635" i="106" s="1"/>
  <c r="E19" i="4"/>
  <c r="B4138" i="106" s="1"/>
  <c r="D4138" i="106" s="1"/>
  <c r="J78" i="4"/>
  <c r="B6230" i="106"/>
  <c r="D6230" i="106" s="1"/>
  <c r="B2913" i="106"/>
  <c r="D2913" i="106" s="1"/>
  <c r="D50" i="36"/>
  <c r="E20" i="4"/>
  <c r="B2632" i="106"/>
  <c r="D2632" i="106" s="1"/>
  <c r="E10" i="4"/>
  <c r="B4124" i="106" s="1"/>
  <c r="D4124" i="106" s="1"/>
  <c r="C17" i="4"/>
  <c r="I20" i="4"/>
  <c r="I10" i="4"/>
  <c r="B4128" i="106" s="1"/>
  <c r="D4128" i="106" s="1"/>
  <c r="B3226" i="106"/>
  <c r="D3226" i="106" s="1"/>
  <c r="E8" i="146"/>
  <c r="E10" i="146" s="1"/>
  <c r="K296" i="29"/>
  <c r="B1518" i="106" s="1"/>
  <c r="D1518" i="106" s="1"/>
  <c r="B5870" i="106"/>
  <c r="D5870" i="106" s="1"/>
  <c r="B2573" i="106"/>
  <c r="D2573" i="106" s="1"/>
  <c r="D19" i="4"/>
  <c r="B4137" i="106" s="1"/>
  <c r="D4137" i="106" s="1"/>
  <c r="C9" i="146"/>
  <c r="B2554" i="106"/>
  <c r="D2554" i="106" s="1"/>
  <c r="D10" i="171"/>
  <c r="D19" i="171" s="1"/>
  <c r="D32" i="171" s="1"/>
  <c r="D49" i="171" s="1"/>
  <c r="F10" i="4"/>
  <c r="B4125" i="106" s="1"/>
  <c r="D4125" i="106" s="1"/>
  <c r="F20" i="4"/>
  <c r="D8" i="146"/>
  <c r="B2595" i="106"/>
  <c r="D2595" i="106" s="1"/>
  <c r="B141" i="106"/>
  <c r="D141" i="106" s="1"/>
  <c r="D46" i="36"/>
  <c r="B3571" i="106"/>
  <c r="D3571" i="106" s="1"/>
  <c r="K10" i="4"/>
  <c r="B4130" i="106" s="1"/>
  <c r="D4130" i="106" s="1"/>
  <c r="K20" i="4"/>
  <c r="B5508" i="106"/>
  <c r="D5508" i="106" s="1"/>
  <c r="K152" i="29"/>
  <c r="B1289" i="106" s="1"/>
  <c r="D1289" i="106" s="1"/>
  <c r="D10" i="146" l="1"/>
  <c r="G19" i="4"/>
  <c r="B4140" i="106" s="1"/>
  <c r="D4140" i="106" s="1"/>
  <c r="F78" i="34"/>
  <c r="F80" i="34" s="1"/>
  <c r="B7837" i="106" s="1"/>
  <c r="D7837" i="106" s="1"/>
  <c r="B212" i="106"/>
  <c r="D212" i="106" s="1"/>
  <c r="H41" i="3"/>
  <c r="B190" i="106"/>
  <c r="D190" i="106" s="1"/>
  <c r="D48" i="36"/>
  <c r="B7631" i="106"/>
  <c r="D7631" i="106" s="1"/>
  <c r="F177" i="34"/>
  <c r="B6215" i="106"/>
  <c r="D6215" i="106" s="1"/>
  <c r="J41" i="3"/>
  <c r="B2636" i="106"/>
  <c r="D2636" i="106" s="1"/>
  <c r="E78" i="4"/>
  <c r="B3576" i="106"/>
  <c r="D3576" i="106" s="1"/>
  <c r="K78" i="4"/>
  <c r="G20" i="4"/>
  <c r="G10" i="4"/>
  <c r="B4126" i="106" s="1"/>
  <c r="D4126" i="106" s="1"/>
  <c r="B2606" i="106"/>
  <c r="D2606" i="106" s="1"/>
  <c r="B9" i="146"/>
  <c r="F9" i="146" s="1"/>
  <c r="H17" i="118"/>
  <c r="F16" i="37"/>
  <c r="B2561" i="106"/>
  <c r="D2561" i="106" s="1"/>
  <c r="C19" i="4"/>
  <c r="B4136" i="106" s="1"/>
  <c r="D4136" i="106" s="1"/>
  <c r="B123" i="106"/>
  <c r="D123" i="106" s="1"/>
  <c r="D41" i="3"/>
  <c r="B7835" i="106"/>
  <c r="D7835" i="106" s="1"/>
  <c r="F176" i="34"/>
  <c r="C8" i="146"/>
  <c r="F8" i="146" s="1"/>
  <c r="B2568" i="106"/>
  <c r="D2568" i="106" s="1"/>
  <c r="D20" i="4"/>
  <c r="D10" i="4"/>
  <c r="B4123" i="106" s="1"/>
  <c r="D4123" i="106" s="1"/>
  <c r="D16" i="37"/>
  <c r="H13" i="118"/>
  <c r="B282" i="106"/>
  <c r="D282" i="106" s="1"/>
  <c r="N23" i="3"/>
  <c r="B3567" i="106"/>
  <c r="D3567" i="106" s="1"/>
  <c r="K41" i="3"/>
  <c r="F78" i="4"/>
  <c r="B2601" i="106"/>
  <c r="D2601" i="106" s="1"/>
  <c r="B6263" i="106"/>
  <c r="D6263" i="106" s="1"/>
  <c r="J81" i="4"/>
  <c r="D64" i="36" s="1"/>
  <c r="C20" i="4"/>
  <c r="B3227" i="106"/>
  <c r="D3227" i="106" s="1"/>
  <c r="I78" i="4"/>
  <c r="B2662" i="106"/>
  <c r="D2662" i="106" s="1"/>
  <c r="H78" i="4"/>
  <c r="H16" i="37" l="1"/>
  <c r="F10" i="146"/>
  <c r="H25" i="118"/>
  <c r="K24" i="118" s="1"/>
  <c r="O23" i="118" s="1"/>
  <c r="O25" i="118" s="1"/>
  <c r="K17" i="118"/>
  <c r="E81" i="4"/>
  <c r="B3278" i="106"/>
  <c r="D3278" i="106" s="1"/>
  <c r="D51" i="36"/>
  <c r="B6216" i="106"/>
  <c r="D6216" i="106" s="1"/>
  <c r="J82" i="4"/>
  <c r="B6266" i="106"/>
  <c r="D6266" i="106" s="1"/>
  <c r="B2574" i="106"/>
  <c r="D2574" i="106" s="1"/>
  <c r="D78" i="4"/>
  <c r="B3300" i="106"/>
  <c r="D3300" i="106" s="1"/>
  <c r="H81" i="4"/>
  <c r="B3320" i="106"/>
  <c r="D3320" i="106" s="1"/>
  <c r="I81" i="4"/>
  <c r="B7878" i="106"/>
  <c r="D7878" i="106" s="1"/>
  <c r="F178" i="34"/>
  <c r="G78" i="4"/>
  <c r="B2613" i="106"/>
  <c r="D2613" i="106" s="1"/>
  <c r="B284" i="106"/>
  <c r="D284" i="106" s="1"/>
  <c r="D55" i="36"/>
  <c r="B3568" i="106"/>
  <c r="D3568" i="106" s="1"/>
  <c r="D52" i="36"/>
  <c r="C10" i="146"/>
  <c r="B213" i="106"/>
  <c r="D213" i="106" s="1"/>
  <c r="D49" i="36"/>
  <c r="B3256" i="106"/>
  <c r="D3256" i="106" s="1"/>
  <c r="F81" i="4"/>
  <c r="D60" i="36" s="1"/>
  <c r="B170" i="106"/>
  <c r="D170" i="106" s="1"/>
  <c r="F41" i="3"/>
  <c r="B124" i="106"/>
  <c r="D124" i="106" s="1"/>
  <c r="D45" i="36"/>
  <c r="K81" i="4"/>
  <c r="B3588" i="106"/>
  <c r="D3588" i="106" s="1"/>
  <c r="B2562" i="106"/>
  <c r="D2562" i="106" s="1"/>
  <c r="C78" i="4"/>
  <c r="D76" i="36"/>
  <c r="B92" i="106"/>
  <c r="D92" i="106" s="1"/>
  <c r="C41" i="3"/>
  <c r="B10" i="146"/>
  <c r="B3239" i="106" l="1"/>
  <c r="D3239" i="106" s="1"/>
  <c r="D81" i="4"/>
  <c r="J83" i="4"/>
  <c r="B6283" i="106" s="1"/>
  <c r="D6283" i="106" s="1"/>
  <c r="B6274" i="106"/>
  <c r="D6274" i="106" s="1"/>
  <c r="B171" i="106"/>
  <c r="D171" i="106" s="1"/>
  <c r="D47" i="36"/>
  <c r="K82" i="4"/>
  <c r="B3591" i="106"/>
  <c r="D3591" i="106" s="1"/>
  <c r="D65" i="36"/>
  <c r="B7879" i="106"/>
  <c r="D7879" i="106" s="1"/>
  <c r="F180" i="34"/>
  <c r="B7880" i="106" s="1"/>
  <c r="D7880" i="106" s="1"/>
  <c r="F82" i="4"/>
  <c r="B1672" i="106"/>
  <c r="D1672" i="106" s="1"/>
  <c r="D11" i="146"/>
  <c r="E82" i="4"/>
  <c r="B1658" i="106"/>
  <c r="D1658" i="106" s="1"/>
  <c r="D59" i="36"/>
  <c r="B93" i="106"/>
  <c r="D93" i="106" s="1"/>
  <c r="D44" i="36"/>
  <c r="I82" i="4"/>
  <c r="E11" i="146"/>
  <c r="B3323" i="106"/>
  <c r="D3323" i="106" s="1"/>
  <c r="D63" i="36"/>
  <c r="O16" i="118"/>
  <c r="G81" i="4"/>
  <c r="B3262" i="106"/>
  <c r="D3262" i="106" s="1"/>
  <c r="B3233" i="106"/>
  <c r="D3233" i="106" s="1"/>
  <c r="C81" i="4"/>
  <c r="H82" i="4"/>
  <c r="B1700" i="106"/>
  <c r="D1700" i="106" s="1"/>
  <c r="D62" i="36"/>
  <c r="H12" i="118" l="1"/>
  <c r="K12" i="118" s="1"/>
  <c r="J20" i="118" s="1"/>
  <c r="K20" i="118" s="1"/>
  <c r="F83" i="4"/>
  <c r="B6279" i="106" s="1"/>
  <c r="D6279" i="106" s="1"/>
  <c r="B6270" i="106"/>
  <c r="D6270" i="106" s="1"/>
  <c r="B6272" i="106"/>
  <c r="D6272" i="106" s="1"/>
  <c r="H83" i="4"/>
  <c r="B6281" i="106" s="1"/>
  <c r="D6281" i="106" s="1"/>
  <c r="B6273" i="106"/>
  <c r="D6273" i="106" s="1"/>
  <c r="I83" i="4"/>
  <c r="B6282" i="106" s="1"/>
  <c r="D6282" i="106" s="1"/>
  <c r="B1630" i="106"/>
  <c r="D1630" i="106" s="1"/>
  <c r="C82" i="4"/>
  <c r="B11" i="146"/>
  <c r="J16" i="37"/>
  <c r="B4269" i="106" s="1"/>
  <c r="D4269" i="106" s="1"/>
  <c r="D57" i="36"/>
  <c r="K83" i="4"/>
  <c r="B6284" i="106" s="1"/>
  <c r="D6284" i="106" s="1"/>
  <c r="B6275" i="106"/>
  <c r="D6275" i="106" s="1"/>
  <c r="G82" i="4"/>
  <c r="B1686" i="106"/>
  <c r="D1686" i="106" s="1"/>
  <c r="D61" i="36"/>
  <c r="B6269" i="106"/>
  <c r="D6269" i="106" s="1"/>
  <c r="E83" i="4"/>
  <c r="B6278" i="106" s="1"/>
  <c r="D6278" i="106" s="1"/>
  <c r="D82" i="4"/>
  <c r="C11" i="146"/>
  <c r="B1644" i="106"/>
  <c r="D1644" i="106" s="1"/>
  <c r="D58" i="36"/>
  <c r="F11" i="146" l="1"/>
  <c r="C12" i="146" s="1"/>
  <c r="O11" i="118"/>
  <c r="O13" i="118" s="1"/>
  <c r="D83" i="4"/>
  <c r="B6277" i="106" s="1"/>
  <c r="D6277" i="106" s="1"/>
  <c r="B6268" i="106"/>
  <c r="D6268" i="106" s="1"/>
  <c r="B6267" i="106"/>
  <c r="D6267" i="106" s="1"/>
  <c r="C83" i="4"/>
  <c r="B6276" i="106" s="1"/>
  <c r="D6276" i="106" s="1"/>
  <c r="B6271" i="106"/>
  <c r="D6271" i="106" s="1"/>
  <c r="G83" i="4"/>
  <c r="B6280" i="106" s="1"/>
  <c r="D6280" i="106" s="1"/>
  <c r="O17" i="118"/>
  <c r="O20" i="118" s="1"/>
  <c r="O35" i="118" l="1"/>
  <c r="O37" i="118" s="1"/>
  <c r="D29" i="36"/>
  <c r="J2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<sst xmlns="http://schemas.openxmlformats.org/spreadsheetml/2006/main" count="5196" uniqueCount="2119">
  <si>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</si>
  <si>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</si>
  <si>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</si>
  <si>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</si>
  <si>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</si>
  <si>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</si>
  <si>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</si>
  <si>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</si>
  <si>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</si>
  <si>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</si>
  <si>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</si>
  <si>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</si>
  <si>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</si>
  <si>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</si>
  <si>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</si>
  <si>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</si>
  <si>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</si>
  <si>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</si>
  <si>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</si>
  <si>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</si>
  <si>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</si>
  <si>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</si>
  <si>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</si>
  <si>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</si>
  <si>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</si>
  <si>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</si>
  <si>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</si>
  <si>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</si>
  <si>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</si>
  <si>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</si>
  <si>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</si>
  <si>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</si>
  <si>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</si>
  <si>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</si>
  <si>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</si>
  <si>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</si>
  <si>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</si>
  <si>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</si>
  <si>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</si>
  <si>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</si>
  <si>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</si>
  <si>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</si>
  <si>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</si>
  <si>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</si>
  <si>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</si>
  <si>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</si>
  <si>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</si>
  <si>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</si>
  <si>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</si>
  <si>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</si>
  <si>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</si>
  <si>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</si>
  <si>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</si>
  <si>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</si>
  <si>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</si>
  <si>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</si>
  <si>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</si>
  <si>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</si>
  <si>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</si>
  <si>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</si>
  <si>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</si>
  <si>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</si>
  <si>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</si>
  <si>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</si>
  <si>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</si>
  <si>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</si>
  <si>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</si>
  <si>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</si>
  <si>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</si>
  <si>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</si>
  <si>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</si>
  <si>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</si>
  <si>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</si>
  <si>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</si>
  <si>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</si>
  <si>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</si>
  <si>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</si>
  <si>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</si>
  <si>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</si>
  <si>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</si>
  <si>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</si>
  <si>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</si>
  <si>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</si>
  <si>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</si>
  <si>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</si>
  <si>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</si>
  <si>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</si>
  <si>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</si>
  <si>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</si>
  <si>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</si>
  <si>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</si>
  <si>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</si>
  <si>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</si>
  <si>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</si>
  <si>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</si>
  <si>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</si>
  <si>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</si>
  <si>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</si>
  <si>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</si>
  <si>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</si>
  <si>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</si>
  <si>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</si>
  <si>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</si>
  <si>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</si>
  <si>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</si>
  <si>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</si>
  <si>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</si>
  <si>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</si>
  <si>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</si>
  <si>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</si>
  <si>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</si>
  <si>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</si>
  <si>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</si>
  <si>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</si>
  <si>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</si>
  <si>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</si>
  <si>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</si>
  <si>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</si>
  <si>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</si>
  <si>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</si>
  <si>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</si>
  <si>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</si>
  <si>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</si>
  <si>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</si>
  <si>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</si>
  <si>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</si>
  <si>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</si>
  <si>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</si>
  <si>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</si>
  <si>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</si>
  <si>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</si>
  <si>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</si>
  <si>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</si>
  <si>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</si>
  <si>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</si>
  <si>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</si>
  <si>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</si>
  <si>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</si>
  <si>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</si>
  <si>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</si>
  <si>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</si>
  <si>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</si>
  <si>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</si>
  <si>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</si>
  <si>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</si>
  <si>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</si>
  <si>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</si>
  <si>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</si>
  <si>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</si>
  <si>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</si>
  <si>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</si>
  <si>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</si>
  <si>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</si>
  <si>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</si>
  <si>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</si>
  <si>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</si>
  <si>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</si>
  <si>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</si>
  <si>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</si>
  <si>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</si>
  <si>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</si>
  <si>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</si>
  <si>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</si>
  <si>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</si>
  <si>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</si>
  <si>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</si>
  <si>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</si>
  <si>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</si>
  <si>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</si>
  <si>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</si>
  <si>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</si>
  <si>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</si>
  <si>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</si>
  <si>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</si>
  <si>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</si>
  <si>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</si>
  <si>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</si>
  <si>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</si>
  <si>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</si>
  <si>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</si>
  <si>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</si>
  <si>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</si>
  <si>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</si>
  <si>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</si>
  <si>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</si>
  <si>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</si>
  <si>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</si>
  <si>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</si>
  <si>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</si>
  <si>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</si>
  <si>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</si>
  <si>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</si>
  <si>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</si>
  <si>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</si>
  <si>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</si>
  <si>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</si>
  <si>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</si>
  <si>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</si>
  <si>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</si>
  <si>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</si>
  <si>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</si>
  <si>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</si>
  <si>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</si>
  <si>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</si>
  <si>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</si>
  <si>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</si>
  <si>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</si>
  <si>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</si>
  <si>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</si>
  <si>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</si>
  <si>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</si>
  <si>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</si>
  <si>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</si>
  <si>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</si>
  <si>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</si>
  <si>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</si>
  <si>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</si>
  <si>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</si>
  <si>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</si>
  <si>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</si>
  <si>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</si>
  <si>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</si>
  <si>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</si>
  <si>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</si>
  <si>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</si>
  <si>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</si>
  <si>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</si>
  <si>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</si>
  <si>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</si>
  <si>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</si>
  <si>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</si>
  <si>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</si>
  <si>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</si>
  <si>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</si>
  <si>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</si>
  <si>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</si>
  <si>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</si>
  <si>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</si>
  <si>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</si>
  <si>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</si>
  <si>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</si>
  <si>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</si>
  <si>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</si>
  <si>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</si>
  <si>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</si>
  <si>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</si>
  <si>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</si>
  <si>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</si>
  <si>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</si>
  <si>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</si>
  <si>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</si>
  <si>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</si>
  <si>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</si>
  <si>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</si>
  <si>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</si>
  <si>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</si>
  <si>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</si>
  <si>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</si>
  <si>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</si>
  <si>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</si>
  <si>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</si>
  <si>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</si>
  <si>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</si>
  <si>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</si>
  <si>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</si>
  <si>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</si>
  <si>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</si>
  <si>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</si>
  <si>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</si>
  <si>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</si>
  <si>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</si>
  <si>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</si>
  <si>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</si>
  <si>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</si>
  <si>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</si>
  <si>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</si>
  <si>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</si>
  <si>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</si>
  <si>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</si>
  <si>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</si>
  <si>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</si>
  <si>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</si>
  <si>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</si>
  <si>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</si>
  <si>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</si>
  <si>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</si>
  <si>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</si>
  <si>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</si>
  <si>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</si>
  <si>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</si>
  <si>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</si>
  <si>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</si>
  <si>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</si>
  <si>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</si>
  <si>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</si>
  <si>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</si>
  <si>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</si>
  <si>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</si>
  <si>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</si>
  <si>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</si>
  <si>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</si>
  <si>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</si>
  <si>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</si>
  <si>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</si>
  <si>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</si>
  <si>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</si>
  <si>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</si>
  <si>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</si>
  <si>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</si>
  <si>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</si>
  <si>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</si>
  <si>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</si>
  <si>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</si>
  <si>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</si>
  <si>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</si>
  <si>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</si>
  <si>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</si>
  <si>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</si>
  <si>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</si>
  <si>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</si>
  <si>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</si>
  <si>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</si>
  <si>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</si>
  <si>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</si>
  <si>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</si>
  <si>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</si>
  <si>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</si>
  <si>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</si>
  <si>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</si>
  <si>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</si>
  <si>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</si>
  <si>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</si>
  <si>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</si>
  <si>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</si>
  <si>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</si>
  <si>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</si>
  <si>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</si>
  <si>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</si>
  <si>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</si>
  <si>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</si>
  <si>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</si>
  <si>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</si>
  <si>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</si>
  <si>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</si>
  <si>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</si>
  <si>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</si>
  <si>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</si>
  <si>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</si>
  <si>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</si>
  <si>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</si>
  <si>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</si>
  <si>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</si>
  <si>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</si>
  <si>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</si>
  <si>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</si>
  <si>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</si>
  <si>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</si>
  <si>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</si>
  <si>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</si>
  <si>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</si>
  <si>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</si>
  <si>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</si>
  <si>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</si>
  <si>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</si>
  <si>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</si>
  <si>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</si>
  <si>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</si>
  <si>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</si>
  <si>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</si>
  <si>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</si>
  <si>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</si>
  <si>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</si>
  <si>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</si>
  <si>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</si>
  <si>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</si>
  <si>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</si>
  <si>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</si>
  <si>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</si>
  <si>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</si>
  <si>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</si>
  <si>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</si>
  <si>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</si>
  <si>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</si>
  <si>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</si>
  <si>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</si>
  <si>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</si>
  <si>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</si>
  <si>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</si>
  <si>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</si>
  <si>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</si>
  <si>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</si>
  <si>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</si>
  <si>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</si>
  <si>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</si>
  <si>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</si>
  <si>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</si>
  <si>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</si>
  <si>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</si>
  <si>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</si>
  <si>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</si>
  <si>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</si>
  <si>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</si>
  <si>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</si>
  <si>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</si>
  <si>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</si>
  <si>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</si>
  <si>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</si>
  <si>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</si>
  <si>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</si>
  <si>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</si>
  <si>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</si>
  <si>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</si>
  <si>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</si>
  <si>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</si>
  <si>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</si>
  <si>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</si>
  <si>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</si>
  <si>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</si>
  <si>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</si>
  <si>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</si>
  <si>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</si>
  <si>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</si>
  <si>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</si>
  <si>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</si>
  <si>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</si>
  <si>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</si>
  <si>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</si>
  <si>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</si>
  <si>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</si>
  <si>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</si>
  <si>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</si>
  <si>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</si>
  <si>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</si>
  <si>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</si>
  <si>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</si>
  <si>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</si>
  <si>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</si>
  <si>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</si>
  <si>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</si>
  <si>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</si>
  <si>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</si>
  <si>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</si>
  <si>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</si>
  <si>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</si>
  <si>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</si>
  <si>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</si>
  <si>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</si>
  <si>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</si>
  <si>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</si>
  <si>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</si>
  <si>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</si>
  <si>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</si>
  <si>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</si>
  <si>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</si>
  <si>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</si>
  <si>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</si>
  <si>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</si>
  <si>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</si>
  <si>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</si>
  <si>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</si>
  <si>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</si>
  <si>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</si>
  <si>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</si>
  <si>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</si>
  <si>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</si>
  <si>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</si>
  <si>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</si>
  <si>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</si>
  <si>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</si>
  <si>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</si>
  <si>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</si>
  <si>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</si>
  <si>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</si>
  <si>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</si>
  <si>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</si>
  <si>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</si>
  <si>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</si>
  <si>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</si>
  <si>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</si>
  <si>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</si>
  <si>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</si>
  <si>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</si>
  <si>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</si>
  <si>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</si>
  <si>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</si>
  <si>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</si>
  <si>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</si>
  <si>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</si>
  <si>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</si>
  <si>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</si>
  <si>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</si>
  <si>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</si>
  <si>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</si>
  <si>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</si>
  <si>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</si>
  <si>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</si>
  <si>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</si>
  <si>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</si>
  <si>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</si>
  <si>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</si>
  <si>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</si>
  <si>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</si>
  <si>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</si>
  <si>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</si>
  <si>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</si>
  <si>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</si>
  <si>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</si>
  <si>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</si>
  <si>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</si>
  <si>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</si>
  <si>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</si>
  <si>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</si>
  <si>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</si>
  <si>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</si>
  <si>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</si>
  <si>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</si>
  <si>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</si>
  <si>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</si>
  <si>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</si>
  <si>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</si>
  <si>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</si>
  <si>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</si>
  <si>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</si>
  <si>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</si>
  <si>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</si>
  <si>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</si>
  <si>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</si>
  <si>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</si>
  <si>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</si>
  <si>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</si>
  <si>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</si>
  <si>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</si>
  <si>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</si>
  <si>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</si>
  <si>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</si>
  <si>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</si>
  <si>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</si>
  <si>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</si>
  <si>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</si>
  <si>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</si>
  <si>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</si>
  <si>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</si>
  <si>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</si>
  <si>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</si>
  <si>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</si>
  <si>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</si>
  <si>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</si>
  <si>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</si>
  <si>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</si>
  <si>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</si>
  <si>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</si>
  <si>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</si>
  <si>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</si>
  <si>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</si>
  <si>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</si>
  <si>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</si>
  <si>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</si>
  <si>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</si>
  <si>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</si>
  <si>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</si>
  <si>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</si>
  <si>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</si>
  <si>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</si>
  <si>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</si>
  <si>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</si>
  <si>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</si>
  <si>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</si>
  <si>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</si>
  <si>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</si>
  <si>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</si>
  <si>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</si>
  <si>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</si>
  <si>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</si>
  <si>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</si>
  <si>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</si>
  <si>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</si>
  <si>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</si>
  <si>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</si>
  <si>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</si>
  <si>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</si>
  <si>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</si>
  <si>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</si>
  <si>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</si>
  <si>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</si>
  <si>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</si>
  <si>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</si>
  <si>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</si>
  <si>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</si>
  <si>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</si>
  <si>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</si>
  <si>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</si>
  <si>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</si>
  <si>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</si>
  <si>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</si>
  <si>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</si>
  <si>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</si>
  <si>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</si>
  <si>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</si>
  <si>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</si>
  <si>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</si>
  <si>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</si>
  <si>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</si>
  <si>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</si>
  <si>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</si>
  <si>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</si>
  <si>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</si>
  <si>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</si>
  <si>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</si>
  <si>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</si>
  <si>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</si>
  <si>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</si>
  <si>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</si>
  <si>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</si>
  <si>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</si>
  <si>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</si>
  <si>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</si>
  <si>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</si>
  <si>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</si>
  <si>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</si>
  <si>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</si>
  <si>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</si>
  <si>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</si>
  <si>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</si>
  <si>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</si>
  <si>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</si>
  <si>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</si>
  <si>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</si>
  <si>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</si>
  <si>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</si>
  <si>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</si>
  <si>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</si>
  <si>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</si>
  <si>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</si>
  <si>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</si>
  <si>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</si>
  <si>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</si>
  <si>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</si>
  <si>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</si>
  <si>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</si>
  <si>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</si>
  <si>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</si>
  <si>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</si>
  <si>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</si>
  <si>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</si>
  <si>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</si>
  <si>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</si>
  <si>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</si>
  <si>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</si>
  <si>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</si>
  <si>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</si>
  <si>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</si>
  <si>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</si>
  <si>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</si>
  <si>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</si>
  <si>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</si>
  <si>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</si>
  <si>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</si>
  <si>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</si>
  <si>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</si>
  <si>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</si>
  <si>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</si>
  <si>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</si>
  <si>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</si>
  <si>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</si>
  <si>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</si>
  <si>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</si>
  <si>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</si>
  <si>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</si>
  <si>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</si>
  <si>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</si>
  <si>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</si>
  <si>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</si>
  <si>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</si>
  <si>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</si>
  <si>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</si>
  <si>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</si>
  <si>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</si>
  <si>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</si>
  <si>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</si>
  <si>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</si>
  <si>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</si>
  <si>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</si>
  <si>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</si>
  <si>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</si>
  <si>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</si>
  <si>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</si>
  <si>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</si>
  <si>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</si>
  <si>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</si>
  <si>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</si>
  <si>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</si>
  <si>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</si>
  <si>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</si>
  <si>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</si>
  <si>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</si>
  <si>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</si>
  <si>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</si>
  <si>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</si>
  <si>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</si>
  <si>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</si>
  <si>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</si>
  <si>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</si>
  <si>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</si>
  <si>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</si>
  <si>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</si>
  <si>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</si>
  <si>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</si>
  <si>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</si>
  <si>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</si>
  <si>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</si>
  <si>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</si>
  <si>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</si>
  <si>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</si>
  <si>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</si>
  <si>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</si>
  <si>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</si>
  <si>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</si>
  <si>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</si>
  <si>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</si>
  <si>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</si>
  <si>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</si>
  <si>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</si>
  <si>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</si>
  <si>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</si>
  <si>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</si>
  <si>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</si>
  <si>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</si>
  <si>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</si>
  <si>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</si>
  <si>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</si>
  <si>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</si>
  <si>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</si>
  <si>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</si>
  <si>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</si>
  <si>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</si>
  <si>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</si>
  <si>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</si>
  <si>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</si>
  <si>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</si>
  <si>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</si>
  <si>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</si>
  <si>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</si>
  <si>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</si>
  <si>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</si>
  <si>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</si>
  <si>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</si>
  <si>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</si>
  <si>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</si>
  <si>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</si>
  <si>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</si>
  <si>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</si>
  <si>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</si>
  <si>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</si>
  <si>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</si>
  <si>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</si>
  <si>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</si>
  <si>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</si>
  <si>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</si>
  <si>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</si>
  <si>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</si>
  <si>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</si>
  <si>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</si>
  <si>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</si>
  <si>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</si>
  <si>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</si>
  <si>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</si>
  <si>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</si>
  <si>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</si>
  <si>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</si>
  <si>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</si>
  <si>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</si>
  <si>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</si>
  <si>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</si>
  <si>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</si>
  <si>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</si>
  <si>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</si>
  <si>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</si>
  <si>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</si>
  <si>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</si>
  <si>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</si>
  <si>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</si>
  <si>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</si>
  <si>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</si>
  <si>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</si>
  <si>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</si>
  <si>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</si>
  <si>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</si>
  <si>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</si>
  <si>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</si>
  <si>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</si>
  <si>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</si>
  <si>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</si>
  <si>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</si>
  <si>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</si>
  <si>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</si>
  <si>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</si>
  <si>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</si>
  <si>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</si>
  <si>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</si>
  <si>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</si>
  <si>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</si>
  <si>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</si>
  <si>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</si>
  <si>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</si>
  <si>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</si>
  <si>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</si>
  <si>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</si>
  <si>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</si>
  <si>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</si>
  <si>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</si>
  <si>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</si>
  <si>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</si>
  <si>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</si>
  <si>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</si>
  <si>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</si>
  <si>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</si>
  <si>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</si>
  <si>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</si>
  <si>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</si>
  <si>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</si>
  <si>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</si>
  <si>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</si>
  <si>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</si>
  <si>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</si>
  <si>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</si>
  <si>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</si>
  <si>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</si>
  <si>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</si>
  <si>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</si>
  <si>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</si>
  <si>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</si>
  <si>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</si>
  <si>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</si>
  <si>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</si>
  <si>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</si>
  <si>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</si>
  <si>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</si>
  <si>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</si>
  <si>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</si>
  <si>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</si>
  <si>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</si>
  <si>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</si>
  <si>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</si>
  <si>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</si>
  <si>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</si>
  <si>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</si>
  <si>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</si>
  <si>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</si>
  <si>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</si>
  <si>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</si>
  <si>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</si>
  <si>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</si>
  <si>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</si>
  <si>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</si>
  <si>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</si>
  <si>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</si>
  <si>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</si>
  <si>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</si>
  <si>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</si>
  <si>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</si>
  <si>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</si>
  <si>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</si>
  <si>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</si>
  <si>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</si>
  <si>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</si>
  <si>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</si>
  <si>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</si>
  <si>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</si>
  <si>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</si>
  <si>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</si>
  <si>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</si>
  <si>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</si>
  <si>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</si>
  <si>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</si>
  <si>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</si>
  <si>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</si>
  <si>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</si>
  <si>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</si>
  <si>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</si>
  <si>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</si>
  <si>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</si>
  <si>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</si>
  <si>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</si>
  <si>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</si>
  <si>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</si>
  <si>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</si>
  <si>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</si>
  <si>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</si>
  <si>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</si>
  <si>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</si>
  <si>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</si>
  <si>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</si>
  <si>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</si>
  <si>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</si>
  <si>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</si>
  <si>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</si>
  <si>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</si>
  <si>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</si>
  <si>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</si>
  <si>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</si>
  <si>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</si>
  <si>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</si>
  <si>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</si>
  <si>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</si>
  <si>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</si>
  <si>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</si>
  <si>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</si>
  <si>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</si>
  <si>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</si>
  <si>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</si>
  <si>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</si>
  <si>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</si>
  <si>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</si>
  <si>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</si>
  <si>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</si>
  <si>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</si>
  <si>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</si>
  <si>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</si>
  <si>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</si>
  <si>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</si>
  <si>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</si>
  <si>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</si>
  <si>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</si>
  <si>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</si>
  <si>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</si>
  <si>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</si>
  <si>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</si>
  <si>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</si>
  <si>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</si>
  <si>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</si>
  <si>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</si>
  <si>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</si>
  <si>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</si>
  <si>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</si>
  <si>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</si>
  <si>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</si>
  <si>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</si>
  <si>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</si>
  <si>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</si>
  <si>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</si>
  <si>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</si>
  <si>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</si>
  <si>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</si>
  <si>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</si>
  <si>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</si>
  <si>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</si>
  <si>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</si>
  <si>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</si>
  <si>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</si>
  <si>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</si>
  <si>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</si>
  <si>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</si>
  <si>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</si>
  <si>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</si>
  <si>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</si>
  <si>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</si>
  <si>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</si>
  <si>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</si>
  <si>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</si>
  <si>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</si>
  <si>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</si>
  <si>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</si>
  <si>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</si>
  <si>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</si>
  <si>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</si>
  <si>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</si>
  <si>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</si>
  <si>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</si>
  <si>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</si>
  <si>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</si>
  <si>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</si>
  <si>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</si>
  <si>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</si>
  <si>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</si>
  <si>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</si>
  <si>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</si>
  <si>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</si>
  <si>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</si>
  <si>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</si>
  <si>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</si>
  <si>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</si>
  <si>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</si>
  <si>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</si>
  <si>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</si>
  <si>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</si>
  <si>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</si>
  <si>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</si>
  <si>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</si>
  <si>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</si>
  <si>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</si>
  <si>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</si>
  <si>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</si>
  <si>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</si>
  <si>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</si>
  <si>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</si>
  <si>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</si>
  <si>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</si>
  <si>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</si>
  <si>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</si>
  <si>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</si>
  <si>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</si>
  <si>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</si>
  <si>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</si>
  <si>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</si>
  <si>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</si>
  <si>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</si>
  <si>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</si>
  <si>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</si>
  <si>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</si>
  <si>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</si>
  <si>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</si>
  <si>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</si>
  <si>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</si>
  <si>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</si>
  <si>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</si>
  <si>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</si>
  <si>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</si>
  <si>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</si>
  <si>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</si>
  <si>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</si>
  <si>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</si>
  <si>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</si>
  <si>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</si>
  <si>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</si>
  <si>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</si>
  <si>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</si>
  <si>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</si>
  <si>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</si>
  <si>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</si>
  <si>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</si>
  <si>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</si>
  <si>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</si>
  <si>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</si>
  <si>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</si>
  <si>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</si>
  <si>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</si>
  <si>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</si>
  <si>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</si>
  <si>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</si>
  <si>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</si>
  <si>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</si>
  <si>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</si>
  <si>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</si>
  <si>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</si>
  <si>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</si>
  <si>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</si>
  <si>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</si>
  <si>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</si>
  <si>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</si>
  <si>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</si>
  <si>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</si>
  <si>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</si>
  <si>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</si>
  <si>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</si>
  <si>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</si>
  <si>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</si>
  <si>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</si>
  <si>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</si>
  <si>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</si>
  <si>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</si>
  <si>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</si>
  <si>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</si>
  <si>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</si>
  <si>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</si>
  <si>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</si>
  <si>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</si>
  <si>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</si>
  <si>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</si>
  <si>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</si>
  <si>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</si>
  <si>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</si>
  <si>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</si>
  <si>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</si>
  <si>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</si>
  <si>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</si>
  <si>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</si>
  <si>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</si>
  <si>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</si>
  <si>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</si>
  <si>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</si>
  <si>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</si>
  <si>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</si>
  <si>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</si>
  <si>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</si>
  <si>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</si>
  <si>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</si>
  <si>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</si>
  <si>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</si>
  <si>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</si>
  <si>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</si>
  <si>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</si>
  <si>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</si>
  <si>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</si>
  <si>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</si>
  <si>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</si>
  <si>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</si>
  <si>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</si>
  <si>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</si>
  <si>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</si>
  <si>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</si>
  <si>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</si>
  <si>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</si>
  <si>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</si>
  <si>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</si>
  <si>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</si>
  <si>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</si>
  <si>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</si>
  <si>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</si>
  <si>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</si>
  <si>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</si>
  <si>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</si>
  <si>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</si>
  <si>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</si>
  <si>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</si>
  <si>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</si>
  <si>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</si>
  <si>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</si>
  <si>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</si>
  <si>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</si>
  <si>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</si>
  <si>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</si>
  <si>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</si>
  <si>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</si>
  <si>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</si>
  <si>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</si>
  <si>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</si>
  <si>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</si>
  <si>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</si>
  <si>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</si>
  <si>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</si>
  <si>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</si>
  <si>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</si>
  <si>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</si>
  <si>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</si>
  <si>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</si>
  <si>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</si>
  <si>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</si>
  <si>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</si>
  <si>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</si>
  <si>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</si>
  <si>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</si>
  <si>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</si>
  <si>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</si>
  <si>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</si>
  <si>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</si>
  <si>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</si>
  <si>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</si>
  <si>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</si>
  <si>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</si>
  <si>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</si>
  <si>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</si>
  <si>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</si>
  <si>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</si>
  <si>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</si>
  <si>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</si>
  <si>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</si>
  <si>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</si>
  <si>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</si>
  <si>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</si>
  <si>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</si>
  <si>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</si>
  <si>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</si>
  <si>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</si>
  <si>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</si>
  <si>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</si>
  <si>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</si>
  <si>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</si>
  <si>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</si>
  <si>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</si>
  <si>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</si>
  <si>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</si>
  <si>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</si>
  <si>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</si>
  <si>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</si>
  <si>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</si>
  <si>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</si>
  <si>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</si>
  <si>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</si>
  <si>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</si>
  <si>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</si>
  <si>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</si>
  <si>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</si>
  <si>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</si>
  <si>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</si>
  <si>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</si>
  <si>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</si>
  <si>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</si>
  <si>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</si>
  <si>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</si>
  <si>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</si>
  <si>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</si>
  <si>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</si>
  <si>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</si>
  <si>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</si>
  <si>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</si>
  <si>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</si>
  <si>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</si>
  <si>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</si>
  <si>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</si>
  <si>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</si>
  <si>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</si>
  <si>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</si>
  <si>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</si>
  <si>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</si>
  <si>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</si>
  <si>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</si>
  <si>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</si>
  <si>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</si>
  <si>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</si>
  <si>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</si>
  <si>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</si>
  <si>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</si>
  <si>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</si>
  <si>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</si>
  <si>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</si>
  <si>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</si>
  <si>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</si>
  <si>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</si>
  <si>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</si>
  <si>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</si>
  <si>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</si>
  <si>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</si>
  <si>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</si>
  <si>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</si>
  <si>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</si>
  <si>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</si>
  <si>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</si>
  <si>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</si>
  <si>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</si>
  <si>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</si>
  <si>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</si>
  <si>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</si>
  <si>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</si>
  <si>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</si>
  <si>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</si>
  <si>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</si>
  <si>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</si>
  <si>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</si>
  <si>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</si>
  <si>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</si>
  <si>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</si>
  <si>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</si>
  <si>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</si>
  <si>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</si>
  <si>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</si>
  <si>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</si>
  <si>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</si>
  <si>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</si>
  <si>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</si>
  <si>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</si>
  <si>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</si>
  <si>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</si>
  <si>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</si>
  <si>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</si>
  <si>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</si>
  <si>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</si>
  <si>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</si>
  <si>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</si>
  <si>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</si>
  <si>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</si>
  <si>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</si>
  <si>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</si>
  <si>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</si>
  <si>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</si>
  <si>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</si>
  <si>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</si>
  <si>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</si>
  <si>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</si>
  <si>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</si>
  <si>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</si>
  <si>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</si>
  <si>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</si>
  <si>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</si>
  <si>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</si>
  <si>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</si>
  <si>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</si>
  <si>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</si>
  <si>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</si>
  <si>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</si>
  <si>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</si>
  <si>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</si>
  <si>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</si>
  <si>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</si>
  <si>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</si>
  <si>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</si>
  <si>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</si>
  <si>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</si>
  <si>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</si>
  <si>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</si>
  <si>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</si>
  <si>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</si>
  <si>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</si>
  <si>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</si>
  <si>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</si>
  <si>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</si>
  <si>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</si>
  <si>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</si>
  <si>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</si>
  <si>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</si>
  <si>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</si>
  <si>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</si>
  <si>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</si>
  <si>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</si>
  <si>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</si>
  <si>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</si>
  <si>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</si>
  <si>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</si>
  <si>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</si>
  <si>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</si>
  <si>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</si>
  <si>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</si>
  <si>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</si>
  <si>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</si>
  <si>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</si>
  <si>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</si>
  <si>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</si>
  <si>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</si>
  <si>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</si>
  <si>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</si>
  <si>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</si>
  <si>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</si>
  <si>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</si>
  <si>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</si>
  <si>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</si>
  <si>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</si>
  <si>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</si>
  <si>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</si>
  <si>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</si>
  <si>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</si>
  <si>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</si>
  <si>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</si>
  <si>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</si>
  <si>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</si>
  <si>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</si>
  <si>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</si>
  <si>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</si>
  <si>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</si>
  <si>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</si>
  <si>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</si>
  <si>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</si>
  <si>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</si>
  <si>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</si>
  <si>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</si>
  <si>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</si>
  <si>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</si>
  <si>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</si>
  <si>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</si>
  <si>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</si>
  <si>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</si>
  <si>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</si>
  <si>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</si>
  <si>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</si>
  <si>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</si>
  <si>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</si>
  <si>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</si>
  <si>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</si>
  <si>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</si>
  <si>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</si>
  <si>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</si>
  <si>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</si>
  <si>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</si>
  <si>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</si>
  <si>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</si>
  <si>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</si>
  <si>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</si>
  <si>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</si>
  <si>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</si>
  <si>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</si>
  <si>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</si>
  <si>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</si>
  <si>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</si>
  <si>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</si>
  <si>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</si>
  <si>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</si>
  <si>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</si>
  <si>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</si>
  <si>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</si>
  <si>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</si>
  <si>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</si>
  <si>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</si>
  <si>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</si>
  <si>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</si>
  <si>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</si>
  <si>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</si>
  <si>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</si>
  <si>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</si>
  <si>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</si>
  <si>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</si>
  <si>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</si>
  <si>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</si>
  <si>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</si>
  <si>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</si>
  <si>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</si>
  <si>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</si>
  <si>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</si>
  <si>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</si>
  <si>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</si>
  <si>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</si>
  <si>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</si>
  <si>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</si>
  <si>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</si>
  <si>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</si>
  <si>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</si>
  <si>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</si>
  <si>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</si>
  <si>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</si>
  <si>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</si>
  <si>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</si>
  <si>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</si>
  <si>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</si>
  <si>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</si>
  <si>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</si>
  <si>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</si>
  <si>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</si>
  <si>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</si>
  <si>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</si>
  <si>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</si>
  <si>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</si>
  <si>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</si>
  <si>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</si>
  <si>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</si>
  <si>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</si>
  <si>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</si>
  <si>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</si>
  <si>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</si>
  <si>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</si>
  <si>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</si>
  <si>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</si>
  <si>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</si>
  <si>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</si>
  <si>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</si>
  <si>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</si>
  <si>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</si>
  <si>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</si>
  <si>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</si>
  <si>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</si>
  <si>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</si>
  <si>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</si>
  <si>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</si>
  <si>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</si>
  <si>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</si>
  <si>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</si>
  <si>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</si>
  <si>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</si>
  <si>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</si>
  <si>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</si>
  <si>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</si>
  <si>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</si>
  <si>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</si>
  <si>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</si>
  <si>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</si>
  <si>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</si>
  <si>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</si>
  <si>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</si>
  <si>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</si>
  <si>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</si>
  <si>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</si>
  <si>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</si>
  <si>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</si>
  <si>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</si>
  <si>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</si>
  <si>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</si>
  <si>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</si>
  <si>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</si>
  <si>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</si>
  <si>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</si>
  <si>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</si>
  <si>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</si>
  <si>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</si>
  <si>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</si>
  <si>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</si>
  <si>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</si>
  <si>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</si>
  <si>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</si>
  <si>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</si>
  <si>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</si>
  <si>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</si>
  <si>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</si>
  <si>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</si>
  <si>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</si>
  <si>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</si>
  <si>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</si>
  <si>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</si>
  <si>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</si>
  <si>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</si>
  <si>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</si>
  <si>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</si>
  <si>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</si>
  <si>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</si>
  <si>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</si>
  <si>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</si>
  <si>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</si>
  <si>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</si>
  <si>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</si>
  <si>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</si>
  <si>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</si>
  <si>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</si>
  <si>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</si>
  <si>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</si>
  <si>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</si>
  <si>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</si>
  <si>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</si>
  <si>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</si>
  <si>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</si>
  <si>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</si>
  <si>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</si>
  <si>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</si>
  <si>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</si>
  <si>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</si>
  <si>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</si>
  <si>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</si>
  <si>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</si>
  <si>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</si>
  <si>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</si>
  <si>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</si>
  <si>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</si>
  <si>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</si>
  <si>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</si>
  <si>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</si>
  <si>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</si>
  <si>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</si>
  <si>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</si>
  <si>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</si>
  <si>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</si>
  <si>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</si>
  <si>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</si>
  <si>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</si>
  <si>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</si>
  <si>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</si>
  <si>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</si>
  <si>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</si>
  <si>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</si>
  <si>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</si>
  <si>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</si>
  <si>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</si>
  <si>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</si>
  <si>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</si>
  <si>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</si>
  <si>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</si>
  <si>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</si>
  <si>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</si>
  <si>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</si>
  <si>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</si>
  <si>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</si>
  <si>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</si>
  <si>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</si>
  <si>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</si>
  <si>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</si>
  <si>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</si>
  <si>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</si>
  <si>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</si>
  <si>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</si>
  <si>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</si>
  <si>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</si>
  <si>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</si>
  <si>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</si>
  <si>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</si>
  <si>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</si>
  <si>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</si>
  <si>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</si>
  <si>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</si>
  <si>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</si>
  <si>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</si>
  <si>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</si>
  <si>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</si>
  <si>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</si>
  <si>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</si>
  <si>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</si>
  <si>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</si>
  <si>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</si>
  <si>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</si>
  <si>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</si>
  <si>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</si>
  <si>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</si>
  <si>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</si>
  <si>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</si>
  <si>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</si>
  <si>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</si>
  <si>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</si>
  <si>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</si>
  <si>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</si>
  <si>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</si>
  <si>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</si>
  <si>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</si>
  <si>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</si>
  <si>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</si>
  <si>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</si>
  <si>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</si>
  <si>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</si>
  <si>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</si>
  <si>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</si>
  <si>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</si>
  <si>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</si>
  <si>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</si>
  <si>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</si>
  <si>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</si>
  <si>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</si>
  <si>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</si>
  <si>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</si>
  <si>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</si>
  <si>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</si>
  <si>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</si>
  <si>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</si>
  <si>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</si>
  <si>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</si>
  <si>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</si>
  <si>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</si>
  <si>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</si>
  <si>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</si>
  <si>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</si>
  <si>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</si>
  <si>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</si>
  <si>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</si>
  <si>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</si>
  <si>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</si>
  <si>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</si>
  <si>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</si>
  <si>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</si>
  <si>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</si>
  <si>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</si>
  <si>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</si>
  <si>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</si>
  <si>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</si>
  <si>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</si>
  <si>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</si>
  <si>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</si>
  <si>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</si>
  <si>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</si>
  <si>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</si>
  <si>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</si>
  <si>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</si>
  <si>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</si>
  <si>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</si>
  <si>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</si>
  <si>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</si>
  <si>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</si>
  <si>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</si>
  <si>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</si>
  <si>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</si>
  <si>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</si>
  <si>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</si>
  <si>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</si>
  <si>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</si>
  <si>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</si>
  <si>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</si>
  <si>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</si>
  <si>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</si>
  <si>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</si>
  <si>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</si>
  <si>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</si>
  <si>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</si>
  <si>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</si>
  <si>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</si>
  <si>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</si>
  <si>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</si>
  <si>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</si>
  <si>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</si>
  <si>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</si>
  <si>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</si>
  <si>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</si>
  <si>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</si>
  <si>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</si>
  <si>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</si>
  <si>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</si>
  <si>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</si>
  <si>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</si>
  <si>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</si>
  <si>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</si>
  <si>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</si>
  <si>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</si>
  <si>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</si>
  <si>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</si>
  <si>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</si>
  <si>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</si>
  <si>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</si>
  <si>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</si>
  <si>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</si>
  <si>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</si>
  <si>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</si>
  <si>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</si>
  <si>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</si>
  <si>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</si>
  <si>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</si>
  <si>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</si>
  <si>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</si>
  <si>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</si>
  <si>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</si>
  <si>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</si>
  <si>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</si>
  <si>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</si>
  <si>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</si>
  <si>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</si>
  <si>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</si>
  <si>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</si>
  <si>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</si>
  <si>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</si>
  <si>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</si>
  <si>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</si>
  <si>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</si>
  <si>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</si>
  <si>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</si>
  <si>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</si>
  <si>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</si>
  <si>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</si>
  <si>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</si>
  <si>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</si>
  <si>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</si>
  <si>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</si>
  <si>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</si>
  <si>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</si>
  <si>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</si>
  <si>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</si>
  <si>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</si>
  <si>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</si>
  <si>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</si>
  <si>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</si>
  <si>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</si>
  <si>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</si>
  <si>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</si>
  <si>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</si>
  <si>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</si>
  <si>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</si>
  <si>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</si>
  <si>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</si>
  <si>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</si>
  <si>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</si>
  <si>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</si>
  <si>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</si>
  <si>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</si>
  <si>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</si>
  <si>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</si>
  <si>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</si>
  <si>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</si>
  <si>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</si>
  <si>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</si>
  <si>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</si>
  <si>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</si>
  <si>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</si>
  <si>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</si>
  <si>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</si>
  <si>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</si>
  <si>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</si>
  <si>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</si>
  <si>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</si>
  <si>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</si>
  <si>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</si>
  <si>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</si>
  <si>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</si>
  <si>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</si>
  <si>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</si>
  <si>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</si>
  <si>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</si>
  <si>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</si>
  <si>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</si>
  <si>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</si>
  <si>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</si>
  <si>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</si>
  <si>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</si>
  <si>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</si>
  <si>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</si>
  <si>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</si>
  <si>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</si>
  <si>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</si>
  <si>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</si>
  <si>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</si>
  <si>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</si>
  <si>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</si>
  <si>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</si>
  <si>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</si>
  <si>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</si>
  <si>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</si>
  <si>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</si>
  <si>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</si>
  <si>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</si>
  <si>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</si>
  <si>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</si>
  <si>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</si>
  <si>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</si>
  <si>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</si>
  <si>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</si>
  <si>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</si>
  <si>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</si>
  <si>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</si>
  <si>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</si>
  <si>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</si>
  <si>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</si>
  <si>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</si>
  <si>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</si>
  <si>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</si>
  <si>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</si>
  <si>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</si>
  <si>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</si>
  <si>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</si>
  <si>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</si>
  <si>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</si>
  <si>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</si>
  <si>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</si>
  <si>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</si>
  <si>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</si>
  <si>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</si>
  <si>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</si>
  <si>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</si>
  <si>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</si>
  <si>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</si>
  <si>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</si>
  <si>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</si>
  <si>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</si>
  <si>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</si>
  <si>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</si>
  <si>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</si>
  <si>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</si>
  <si>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</si>
  <si>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</si>
  <si>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</si>
  <si>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</si>
  <si>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</si>
  <si>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</si>
  <si>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</si>
  <si>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</si>
  <si>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</si>
  <si>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</si>
  <si>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</si>
  <si>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</si>
  <si>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</si>
  <si>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</si>
  <si>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</si>
  <si>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</si>
  <si>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</si>
  <si>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</si>
  <si>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</si>
  <si>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</si>
  <si>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</si>
  <si>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</si>
  <si>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</si>
  <si>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</si>
  <si>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</si>
  <si>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</si>
  <si>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</si>
  <si>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</si>
  <si>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</si>
  <si>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</si>
  <si>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</si>
  <si>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</si>
  <si>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</si>
  <si>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</si>
  <si>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</si>
  <si>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</si>
  <si>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</si>
  <si>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</si>
  <si>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</si>
  <si>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</si>
  <si>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</si>
  <si>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</si>
  <si>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</si>
  <si>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</si>
  <si>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</si>
  <si>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</si>
  <si>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</si>
  <si>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</si>
  <si>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</si>
  <si>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</si>
  <si>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</si>
  <si>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</si>
  <si>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</si>
  <si>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</si>
  <si>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</si>
  <si>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</si>
  <si>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</si>
  <si>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</si>
  <si>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</si>
  <si>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</si>
  <si>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</si>
  <si>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</si>
  <si>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</si>
  <si>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</si>
  <si>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</si>
  <si>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</si>
  <si>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</si>
  <si>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</si>
  <si>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</si>
  <si>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</si>
  <si>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</si>
  <si>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</si>
  <si>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</si>
  <si>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</si>
  <si>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</si>
  <si>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</si>
  <si>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</si>
  <si>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</si>
  <si>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</si>
  <si>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</si>
  <si>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</si>
  <si>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</si>
  <si>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</si>
  <si>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</si>
  <si>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</si>
  <si>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</si>
  <si>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</si>
  <si>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</si>
  <si>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</si>
  <si>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</si>
  <si>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</si>
  <si>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</si>
  <si>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</si>
  <si>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</si>
  <si>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</si>
  <si>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</si>
  <si>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</si>
  <si>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</si>
  <si>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</si>
  <si>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</si>
  <si>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</si>
  <si>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</si>
  <si>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</si>
  <si>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</si>
  <si>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</si>
  <si>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</si>
  <si>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</si>
  <si>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</si>
  <si>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</si>
  <si>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</si>
  <si>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</si>
  <si>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</si>
  <si>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</si>
  <si>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</si>
  <si>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</si>
  <si>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</si>
  <si>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</si>
  <si>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</si>
  <si>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</si>
  <si>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</si>
  <si>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</si>
  <si>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</si>
  <si>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</si>
  <si>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</si>
  <si>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</si>
  <si>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</si>
  <si>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</si>
  <si>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</si>
  <si>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</si>
  <si>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</si>
  <si>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</si>
  <si>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</si>
  <si>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</si>
  <si>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</si>
  <si>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</si>
  <si>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</si>
  <si>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</si>
  <si>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</si>
  <si>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</si>
  <si>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</si>
  <si>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</si>
  <si>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</si>
  <si>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</si>
  <si>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</si>
  <si>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</si>
  <si>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</si>
  <si>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</si>
  <si>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</si>
  <si>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</si>
  <si>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</si>
  <si>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</si>
  <si>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</si>
  <si>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</si>
  <si>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</si>
  <si>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</si>
  <si>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</si>
  <si>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</si>
  <si>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</si>
  <si>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</si>
  <si>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</si>
  <si>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</si>
  <si>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</si>
  <si>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</si>
  <si>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</si>
  <si>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</si>
  <si>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</si>
  <si>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</si>
  <si>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</si>
  <si>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</si>
  <si>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</si>
  <si>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</si>
  <si>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</si>
  <si>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</si>
  <si>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</si>
  <si>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</si>
  <si>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</si>
  <si>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</si>
  <si>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</si>
  <si>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</si>
  <si>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</si>
  <si>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</si>
  <si>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</si>
  <si>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</si>
  <si>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</si>
  <si>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</si>
  <si>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</si>
  <si>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</si>
  <si>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</si>
  <si>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</si>
  <si>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</si>
  <si>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</si>
  <si>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</si>
  <si>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</si>
  <si>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</si>
  <si>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</si>
  <si>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</si>
  <si>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</si>
  <si>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</si>
  <si>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</si>
  <si>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</si>
  <si>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</si>
  <si>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</si>
  <si>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</si>
  <si>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</si>
  <si>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</si>
  <si>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</si>
  <si>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</si>
  <si>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</si>
  <si>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</si>
  <si>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</si>
  <si>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</si>
  <si>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</si>
  <si>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</si>
  <si>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</si>
  <si>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</si>
  <si>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</si>
  <si>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</si>
  <si>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</si>
  <si>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</si>
  <si>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</si>
  <si>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</si>
  <si>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</si>
  <si>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</si>
  <si>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</si>
  <si>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</si>
  <si>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</si>
  <si>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</si>
  <si>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</si>
  <si>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</si>
  <si>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</si>
  <si>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</si>
  <si>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</si>
  <si>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</si>
  <si>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</si>
  <si>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</si>
  <si>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</si>
  <si>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</si>
  <si>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</si>
  <si>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</si>
  <si>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</si>
  <si>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</si>
  <si>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</si>
  <si>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</si>
  <si>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</si>
  <si>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</si>
  <si>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</si>
  <si>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</si>
  <si>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</si>
  <si>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</si>
  <si>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Woodford</t>
  </si>
  <si>
    <t>815 East Chatham</t>
  </si>
  <si>
    <t>Metamora</t>
  </si>
  <si>
    <t>mpayne@schools.mtco.com</t>
  </si>
  <si>
    <t>Martin Payne</t>
  </si>
  <si>
    <t>309-367-2361</t>
  </si>
  <si>
    <t>309-367-2364</t>
  </si>
  <si>
    <t>Jason A. Hohulin, CPA</t>
  </si>
  <si>
    <t>jhohulin@gorenzcpa.com</t>
  </si>
  <si>
    <t>There were no findings for the prior year ending June 30, 2019.</t>
  </si>
  <si>
    <t>The negative cash and investment balances incurred resulted in loans that were not formally approved by the District's Board of Education.</t>
  </si>
  <si>
    <t>The District should monitor the cash and investment balances and follow statutory procedures, making interfund loans when needed.</t>
  </si>
  <si>
    <t>The District will monitor cash and investment balances more closely and gain approval from the Board of Education before making interfund loans.</t>
  </si>
  <si>
    <t>The District maintains a common checking account for the funds of the District, including the Educational, Opeations and Maintenance, Debt Service, Transportation, Municipal Retirement/Social Security, Capital Projects, Working Cash, Tort, and Fire Prevention and Safety Funds.</t>
  </si>
  <si>
    <t>The Transportation and Capital Projects Funds incurred negative cash and investment balances during the fiscal year.</t>
  </si>
  <si>
    <t>The common bank account provided the cash flow for the Transportation and Capital Projects Funds to expend more resources than the funds had on hand during the fiscal year.</t>
  </si>
  <si>
    <r>
      <t>CORRECTIVE ACTION PLAN FOR CURRENT YEAR AUDIT FINDINGS</t>
    </r>
    <r>
      <rPr>
        <b/>
        <vertAlign val="superscript"/>
        <sz val="9"/>
        <rFont val="Arial"/>
        <family val="2"/>
      </rPr>
      <t>21</t>
    </r>
  </si>
  <si>
    <t>Corrective Action Plan</t>
  </si>
  <si>
    <t>Finding No.:</t>
  </si>
  <si>
    <t>Condition:</t>
  </si>
  <si>
    <t>Plan:</t>
  </si>
  <si>
    <t>The District will monitor the cash and investment balances and follow statutory procedures, making interfund loans when needed.</t>
  </si>
  <si>
    <t>Anticipated Date of Completion:</t>
  </si>
  <si>
    <t>July, 2020</t>
  </si>
  <si>
    <t>Name of Contact Person:</t>
  </si>
  <si>
    <t>Management Response:</t>
  </si>
  <si>
    <t>The District will monitor cash and investment balances more closely and gain approval</t>
  </si>
  <si>
    <t>from the Board of Education before making interfund loans.</t>
  </si>
  <si>
    <r>
      <t>21</t>
    </r>
    <r>
      <rPr>
        <sz val="8"/>
        <rFont val="Arial"/>
        <family val="2"/>
      </rPr>
      <t xml:space="preserve">  Must address </t>
    </r>
    <r>
      <rPr>
        <b/>
        <sz val="8"/>
        <rFont val="Arial"/>
        <family val="2"/>
      </rPr>
      <t>each</t>
    </r>
    <r>
      <rPr>
        <sz val="8"/>
        <rFont val="Arial"/>
        <family val="2"/>
      </rPr>
      <t xml:space="preserve"> audit finding  - §200.511 ( c)</t>
    </r>
  </si>
  <si>
    <t>2020-</t>
  </si>
  <si>
    <t>The District maintains a common checking account for the funds of the District, including the Educational, Operations and Maintenance, Debt Services, Transportation, Municipal Retirement/Social Security, Capital Projects, Working Cash, Tort, and Fire Prevention and Safety Funds. The common bank account provided cash flow for the Operations and Maintenance and Capital Projects Funds to expend more resources than the funds had on hand during the year.</t>
  </si>
  <si>
    <t>Martin Payne, Superintendent</t>
  </si>
  <si>
    <t>One or more interfund loans were made in non-conformity with the applicable authorizing statute or without statutory authorization per Illinois School Code [105 ILCS 5/10-22.33 and 20-5].</t>
  </si>
  <si>
    <t>Working Cash Bond</t>
  </si>
  <si>
    <t>Refunding Bond</t>
  </si>
  <si>
    <t>General Obligation Debt Certificates</t>
  </si>
  <si>
    <t>3&amp;6</t>
  </si>
  <si>
    <t>Debt Certificates</t>
  </si>
  <si>
    <t>Operations and Maintenance-Supplies-Custodial</t>
  </si>
  <si>
    <t>Atlas Supply Company</t>
  </si>
  <si>
    <t>Transportation-Purchased Services-Bus Lease</t>
  </si>
  <si>
    <t>Midwest Bus Sales</t>
  </si>
  <si>
    <t>Metamora High School District No. 122</t>
  </si>
  <si>
    <t>Western Area Purchasing Cooperative</t>
  </si>
  <si>
    <t>Marshall-Putnam-Woodford Regional Office of Education</t>
  </si>
  <si>
    <t>Woodford County Special Education Association</t>
  </si>
  <si>
    <t>MTHS District No. 122, Germantown Hills No. 69</t>
  </si>
  <si>
    <t>Page 10, Line 81: Miscellaneous student supplies</t>
  </si>
  <si>
    <t>Page 11, Line 107: E-Rate, Insurance refund</t>
  </si>
  <si>
    <t>Page 11, Line 106: Technology fees</t>
  </si>
  <si>
    <t xml:space="preserve">Page 10, Line 91: PE uniforms </t>
  </si>
  <si>
    <t>Page 15, Line 41: Playground supervision</t>
  </si>
  <si>
    <t>Page 18, Line 171: Bond fees</t>
  </si>
  <si>
    <t>Page 19, Line 237: Latch Key benefits</t>
  </si>
  <si>
    <t>Page 16, Line 73: Latch Key salaries</t>
  </si>
  <si>
    <t>Page 25, Line 10: Debt certificate</t>
  </si>
  <si>
    <t>Part A, question 9 - See Finding 2020-001</t>
  </si>
  <si>
    <t>See PDF version</t>
  </si>
  <si>
    <t xml:space="preserve"> Metamora CCSD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</si>
</sst>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7" fillId="0" borderId="0" xfId="3" applyFont="1" applyBorder="1" applyAlignment="1" applyProtection="1">
      <alignment horizontal="left" vertical="top" wrapText="1"/>
      <protection locked="0"/>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466725</xdr:rowOff>
        </xdr:from>
        <xdr:to>
          <xdr:col>5</xdr:col>
          <xdr:colOff>1476375</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300470</xdr:colOff>
          <xdr:row>5</xdr:row>
          <xdr:rowOff>51089</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3">
        <f>+'AFR20'!E4</f>
        <v>44119</v>
      </c>
      <c r="C1" s="2143"/>
      <c r="D1" s="2144"/>
      <c r="I1" s="2102" t="s">
        <v>402</v>
      </c>
      <c r="J1" s="2103"/>
      <c r="K1" s="2103"/>
      <c r="L1" s="2103"/>
      <c r="M1" s="2103"/>
      <c r="N1" s="2103"/>
      <c r="O1" s="2103"/>
      <c r="P1" s="2103"/>
      <c r="Q1" s="2103"/>
      <c r="R1" s="2103"/>
      <c r="S1" s="2103"/>
    </row>
    <row r="2" spans="1:32" ht="12" customHeight="1" x14ac:dyDescent="0.2">
      <c r="A2" s="1831" t="str">
        <f>"Due to ISBE on "</f>
        <v xml:space="preserve">Due to ISBE on </v>
      </c>
      <c r="B2" s="2145">
        <f>+'AFR20'!F4</f>
        <v>44151</v>
      </c>
      <c r="C2" s="2145"/>
      <c r="D2" s="2146"/>
      <c r="I2" s="2104" t="s">
        <v>2003</v>
      </c>
      <c r="J2" s="2103"/>
      <c r="K2" s="2103"/>
      <c r="L2" s="2103"/>
      <c r="M2" s="2103"/>
      <c r="N2" s="2103"/>
      <c r="O2" s="2103"/>
      <c r="P2" s="2103"/>
      <c r="Q2" s="2103"/>
      <c r="R2" s="2103"/>
      <c r="S2" s="2103"/>
    </row>
    <row r="3" spans="1:32" ht="12" customHeight="1" x14ac:dyDescent="0.2">
      <c r="A3" s="1834" t="str">
        <f>"SD/JA"&amp;MID('AFR20'!E2,3,2)</f>
        <v>SD/JA20</v>
      </c>
      <c r="B3" s="151"/>
      <c r="C3" s="151"/>
      <c r="D3" s="152"/>
      <c r="I3" s="2104" t="s">
        <v>52</v>
      </c>
      <c r="J3" s="2103"/>
      <c r="K3" s="2103"/>
      <c r="L3" s="2103"/>
      <c r="M3" s="2103"/>
      <c r="N3" s="2103"/>
      <c r="O3" s="2103"/>
      <c r="P3" s="2103"/>
      <c r="Q3" s="2103"/>
      <c r="R3" s="2103"/>
      <c r="S3" s="2103"/>
    </row>
    <row r="4" spans="1:32" ht="12" customHeight="1" x14ac:dyDescent="0.2">
      <c r="A4" s="37"/>
      <c r="I4" s="2104" t="s">
        <v>521</v>
      </c>
      <c r="J4" s="2103"/>
      <c r="K4" s="2103"/>
      <c r="L4" s="2103"/>
      <c r="M4" s="2103"/>
      <c r="N4" s="2103"/>
      <c r="O4" s="2103"/>
      <c r="P4" s="2103"/>
      <c r="Q4" s="2103"/>
      <c r="R4" s="2103"/>
      <c r="S4" s="2103"/>
    </row>
    <row r="5" spans="1:32" ht="14.1" customHeight="1" x14ac:dyDescent="0.2">
      <c r="B5" s="101" t="s">
        <v>2051</v>
      </c>
      <c r="C5" s="26" t="s">
        <v>904</v>
      </c>
      <c r="D5" s="81"/>
      <c r="E5" s="81"/>
      <c r="H5" s="38"/>
      <c r="I5" s="2112" t="s">
        <v>675</v>
      </c>
      <c r="J5" s="2111"/>
      <c r="K5" s="2111"/>
      <c r="L5" s="2111"/>
      <c r="M5" s="2111"/>
      <c r="N5" s="2111"/>
      <c r="O5" s="2111"/>
      <c r="P5" s="2111"/>
      <c r="Q5" s="2111"/>
      <c r="R5" s="2111"/>
      <c r="S5" s="2111"/>
      <c r="AF5" s="1827"/>
    </row>
    <row r="6" spans="1:32" ht="14.1" customHeight="1" x14ac:dyDescent="0.2">
      <c r="B6" s="101"/>
      <c r="C6" s="26" t="s">
        <v>905</v>
      </c>
      <c r="D6" s="81"/>
      <c r="E6" s="81"/>
      <c r="I6" s="2110" t="s">
        <v>877</v>
      </c>
      <c r="J6" s="2111"/>
      <c r="K6" s="2111"/>
      <c r="L6" s="2111"/>
      <c r="M6" s="2111"/>
      <c r="N6" s="2111"/>
      <c r="O6" s="2111"/>
      <c r="P6" s="2111"/>
      <c r="Q6" s="2111"/>
      <c r="R6" s="2111"/>
      <c r="S6" s="2111"/>
    </row>
    <row r="7" spans="1:32" ht="12.2" customHeight="1" x14ac:dyDescent="0.2">
      <c r="I7" s="2105" t="str">
        <f>"June 30, "&amp;'AFR20'!E2</f>
        <v>June 30, 2020</v>
      </c>
      <c r="J7" s="2106"/>
      <c r="K7" s="2106"/>
      <c r="L7" s="2106"/>
      <c r="M7" s="2106"/>
      <c r="N7" s="2106"/>
      <c r="O7" s="2106"/>
      <c r="P7" s="2106"/>
      <c r="Q7" s="2106"/>
      <c r="R7" s="2106"/>
      <c r="S7" s="210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7" t="s">
        <v>669</v>
      </c>
      <c r="J9" s="2108"/>
      <c r="K9" s="2108"/>
      <c r="L9" s="2108"/>
      <c r="M9" s="2108"/>
      <c r="N9" s="2108"/>
      <c r="O9" s="2108"/>
      <c r="P9" s="2108"/>
      <c r="Q9" s="2108"/>
      <c r="R9" s="2108"/>
      <c r="S9" s="2109"/>
      <c r="T9" s="2160" t="s">
        <v>530</v>
      </c>
      <c r="U9" s="2161"/>
      <c r="V9" s="2161"/>
      <c r="W9" s="2161"/>
      <c r="X9" s="2161"/>
      <c r="Y9" s="2161"/>
      <c r="Z9" s="2161"/>
      <c r="AA9" s="2162"/>
    </row>
    <row r="10" spans="1:32" ht="13.5" customHeight="1" x14ac:dyDescent="0.2">
      <c r="A10" s="2167" t="s">
        <v>670</v>
      </c>
      <c r="B10" s="2168"/>
      <c r="C10" s="2168"/>
      <c r="D10" s="2168"/>
      <c r="E10" s="2168"/>
      <c r="F10" s="2168"/>
      <c r="G10" s="2168"/>
      <c r="H10" s="2169"/>
      <c r="I10" s="29"/>
      <c r="J10" s="30"/>
      <c r="K10" s="28"/>
      <c r="R10" s="30"/>
      <c r="S10" s="30"/>
      <c r="T10" s="2163"/>
      <c r="U10" s="2111"/>
      <c r="V10" s="2111"/>
      <c r="W10" s="2111"/>
      <c r="X10" s="2111"/>
      <c r="Y10" s="2111"/>
      <c r="Z10" s="2111"/>
      <c r="AA10" s="2117"/>
    </row>
    <row r="11" spans="1:32" ht="14.25" customHeight="1" x14ac:dyDescent="0.2">
      <c r="A11" s="2170" t="s">
        <v>949</v>
      </c>
      <c r="B11" s="2171"/>
      <c r="C11" s="2171"/>
      <c r="D11" s="2171"/>
      <c r="E11" s="2171"/>
      <c r="F11" s="2171"/>
      <c r="G11" s="2171"/>
      <c r="H11" s="2172"/>
      <c r="I11" s="27"/>
      <c r="J11" s="71"/>
      <c r="K11" s="27"/>
      <c r="O11" s="144" t="s">
        <v>2051</v>
      </c>
      <c r="P11" s="97" t="s">
        <v>199</v>
      </c>
      <c r="Q11" s="30"/>
      <c r="R11" s="28"/>
      <c r="S11" s="27"/>
      <c r="T11" s="2164"/>
      <c r="U11" s="2165"/>
      <c r="V11" s="2165"/>
      <c r="W11" s="2165"/>
      <c r="X11" s="2165"/>
      <c r="Y11" s="2165"/>
      <c r="Z11" s="2165"/>
      <c r="AA11" s="216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3">
        <v>53102001004</v>
      </c>
      <c r="B13" s="2124"/>
      <c r="C13" s="2124"/>
      <c r="D13" s="2124"/>
      <c r="E13" s="2124"/>
      <c r="F13" s="2124"/>
      <c r="G13" s="2124"/>
      <c r="H13" s="2125"/>
      <c r="I13" s="31"/>
      <c r="J13" s="30"/>
      <c r="K13" s="28"/>
      <c r="L13" s="30"/>
      <c r="M13" s="30"/>
      <c r="N13" s="30"/>
      <c r="O13" s="30"/>
      <c r="P13" s="30"/>
      <c r="Q13" s="30"/>
      <c r="R13" s="30"/>
      <c r="S13" s="30"/>
      <c r="T13" s="2129" t="s">
        <v>2052</v>
      </c>
      <c r="U13" s="2130"/>
      <c r="V13" s="2130"/>
      <c r="W13" s="2130"/>
      <c r="X13" s="2130"/>
      <c r="Y13" s="2131"/>
      <c r="Z13" s="2131"/>
      <c r="AA13" s="213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6" t="s">
        <v>2060</v>
      </c>
      <c r="B15" s="2127"/>
      <c r="C15" s="2127"/>
      <c r="D15" s="2127"/>
      <c r="E15" s="2127"/>
      <c r="F15" s="2127"/>
      <c r="G15" s="2127"/>
      <c r="H15" s="2128"/>
      <c r="T15" s="2133" t="s">
        <v>2067</v>
      </c>
      <c r="U15" s="2090"/>
      <c r="V15" s="2090"/>
      <c r="W15" s="2090"/>
      <c r="X15" s="2090"/>
      <c r="Y15" s="2134"/>
      <c r="Z15" s="2134"/>
      <c r="AA15" s="213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2118</v>
      </c>
      <c r="B17" s="2097"/>
      <c r="C17" s="2097"/>
      <c r="D17" s="2097"/>
      <c r="E17" s="2097"/>
      <c r="F17" s="2097"/>
      <c r="G17" s="2097"/>
      <c r="H17" s="2122"/>
      <c r="T17" s="2140" t="s">
        <v>2053</v>
      </c>
      <c r="U17" s="2141"/>
      <c r="V17" s="2141"/>
      <c r="W17" s="2141"/>
      <c r="X17" s="2141"/>
      <c r="Y17" s="2141"/>
      <c r="Z17" s="2141"/>
      <c r="AA17" s="2142"/>
    </row>
    <row r="18" spans="1:27" ht="13.5" customHeight="1" x14ac:dyDescent="0.2">
      <c r="A18" s="82" t="s">
        <v>527</v>
      </c>
      <c r="B18" s="73"/>
      <c r="C18" s="69"/>
      <c r="D18" s="73"/>
      <c r="E18" s="73"/>
      <c r="F18" s="73"/>
      <c r="G18" s="73"/>
      <c r="H18" s="53"/>
      <c r="I18" s="2121" t="s">
        <v>671</v>
      </c>
      <c r="J18" s="2072"/>
      <c r="K18" s="2072"/>
      <c r="L18" s="2072"/>
      <c r="M18" s="2072"/>
      <c r="N18" s="2072"/>
      <c r="O18" s="2072"/>
      <c r="P18" s="2072"/>
      <c r="Q18" s="2072"/>
      <c r="R18" s="2072"/>
      <c r="S18" s="2073"/>
      <c r="T18" s="82" t="s">
        <v>706</v>
      </c>
      <c r="U18" s="48"/>
      <c r="V18" s="69"/>
      <c r="W18" s="47"/>
      <c r="X18" s="82" t="s">
        <v>264</v>
      </c>
      <c r="Y18" s="78"/>
      <c r="Z18" s="154" t="s">
        <v>672</v>
      </c>
      <c r="AA18" s="44"/>
    </row>
    <row r="19" spans="1:27" ht="13.5" customHeight="1" x14ac:dyDescent="0.2">
      <c r="A19" s="2126" t="s">
        <v>2061</v>
      </c>
      <c r="B19" s="2082"/>
      <c r="C19" s="2082"/>
      <c r="D19" s="2082"/>
      <c r="E19" s="2082"/>
      <c r="F19" s="2082"/>
      <c r="G19" s="2082"/>
      <c r="H19" s="2062"/>
      <c r="I19" s="30"/>
      <c r="J19" s="96"/>
      <c r="K19" s="40"/>
      <c r="L19" s="38"/>
      <c r="M19" s="109" t="s">
        <v>312</v>
      </c>
      <c r="P19" s="27"/>
      <c r="Q19" s="27"/>
      <c r="R19" s="27"/>
      <c r="S19" s="31"/>
      <c r="T19" s="2126" t="s">
        <v>2054</v>
      </c>
      <c r="U19" s="2061"/>
      <c r="V19" s="2061"/>
      <c r="W19" s="2062"/>
      <c r="X19" s="2138" t="s">
        <v>2055</v>
      </c>
      <c r="Y19" s="2139"/>
      <c r="Z19" s="2136">
        <v>61614</v>
      </c>
      <c r="AA19" s="213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0" t="s">
        <v>2062</v>
      </c>
      <c r="B21" s="2061"/>
      <c r="C21" s="2061"/>
      <c r="D21" s="2061"/>
      <c r="E21" s="2061"/>
      <c r="F21" s="2061"/>
      <c r="G21" s="2061"/>
      <c r="H21" s="2062"/>
      <c r="I21" s="2116" t="s">
        <v>673</v>
      </c>
      <c r="J21" s="2111"/>
      <c r="K21" s="2111"/>
      <c r="L21" s="2111"/>
      <c r="M21" s="2111"/>
      <c r="N21" s="2111"/>
      <c r="O21" s="2111"/>
      <c r="P21" s="2111"/>
      <c r="Q21" s="2111"/>
      <c r="R21" s="2111"/>
      <c r="S21" s="2117"/>
      <c r="T21" s="2151" t="s">
        <v>2056</v>
      </c>
      <c r="U21" s="2152"/>
      <c r="V21" s="2152"/>
      <c r="W21" s="2152"/>
      <c r="X21" s="2157" t="s">
        <v>2057</v>
      </c>
      <c r="Y21" s="2158"/>
      <c r="Z21" s="2158"/>
      <c r="AA21" s="2159"/>
    </row>
    <row r="22" spans="1:27" ht="13.5" customHeight="1" x14ac:dyDescent="0.2">
      <c r="A22" s="84" t="s">
        <v>528</v>
      </c>
      <c r="B22" s="56"/>
      <c r="C22" s="56"/>
      <c r="D22" s="56"/>
      <c r="E22" s="56"/>
      <c r="F22" s="56"/>
      <c r="G22" s="56"/>
      <c r="H22" s="57"/>
      <c r="I22" s="2118" t="s">
        <v>1412</v>
      </c>
      <c r="J22" s="2119"/>
      <c r="K22" s="2119"/>
      <c r="L22" s="2119"/>
      <c r="M22" s="2119"/>
      <c r="N22" s="2119"/>
      <c r="O22" s="2119"/>
      <c r="P22" s="2119"/>
      <c r="Q22" s="2119"/>
      <c r="R22" s="2119"/>
      <c r="S22" s="2120"/>
      <c r="T22" s="82" t="s">
        <v>1499</v>
      </c>
      <c r="U22" s="48"/>
      <c r="V22" s="69"/>
      <c r="W22" s="48"/>
      <c r="X22" s="155" t="s">
        <v>1307</v>
      </c>
      <c r="Z22" s="43"/>
      <c r="AA22" s="44"/>
    </row>
    <row r="23" spans="1:27" ht="13.5" customHeight="1" x14ac:dyDescent="0.2">
      <c r="A23" s="2113" t="s">
        <v>2063</v>
      </c>
      <c r="B23" s="2114"/>
      <c r="C23" s="2114"/>
      <c r="D23" s="2114"/>
      <c r="E23" s="2114"/>
      <c r="F23" s="2114"/>
      <c r="G23" s="2114"/>
      <c r="H23" s="2115"/>
      <c r="T23" s="2096" t="s">
        <v>2058</v>
      </c>
      <c r="U23" s="2150"/>
      <c r="V23" s="2150"/>
      <c r="W23" s="2150"/>
      <c r="X23" s="2154">
        <v>44501</v>
      </c>
      <c r="Y23" s="2155"/>
      <c r="Z23" s="2155"/>
      <c r="AA23" s="2156"/>
    </row>
    <row r="24" spans="1:27" ht="14.1" customHeight="1" x14ac:dyDescent="0.2">
      <c r="A24" s="85" t="s">
        <v>672</v>
      </c>
      <c r="B24" s="46"/>
      <c r="C24" s="46"/>
      <c r="D24" s="46"/>
      <c r="E24" s="46"/>
      <c r="F24" s="46"/>
      <c r="G24" s="46"/>
      <c r="H24" s="58"/>
      <c r="J24" s="2083">
        <f>IF(B5="x",IF(AUDITCHECK!D29="AFR form Incomplete.","",IF(AUDITCHECK!D29="Deficit reduction plan is required.","School District must complete a deficit reduction plan in the 2020-2021 Budget",)),"")</f>
        <v>0</v>
      </c>
      <c r="K24" s="2083"/>
      <c r="L24" s="2083"/>
      <c r="M24" s="2083"/>
      <c r="N24" s="2083"/>
      <c r="O24" s="2083"/>
      <c r="P24" s="2083"/>
      <c r="Q24" s="2083"/>
      <c r="R24" s="2083"/>
      <c r="S24" s="2084"/>
      <c r="T24" s="102" t="s">
        <v>528</v>
      </c>
      <c r="U24" s="103"/>
      <c r="V24" s="103"/>
      <c r="W24" s="103"/>
      <c r="X24" s="104"/>
      <c r="Y24" s="104"/>
      <c r="Z24" s="104"/>
      <c r="AA24" s="105"/>
    </row>
    <row r="25" spans="1:27" ht="14.1" customHeight="1" x14ac:dyDescent="0.2">
      <c r="A25" s="2060">
        <v>61548</v>
      </c>
      <c r="B25" s="2061"/>
      <c r="C25" s="2061"/>
      <c r="D25" s="2061"/>
      <c r="E25" s="2061"/>
      <c r="F25" s="2061"/>
      <c r="G25" s="2061"/>
      <c r="H25" s="2062"/>
      <c r="I25" s="110"/>
      <c r="J25" s="2085"/>
      <c r="K25" s="2085"/>
      <c r="L25" s="2085"/>
      <c r="M25" s="2085"/>
      <c r="N25" s="2085"/>
      <c r="O25" s="2085"/>
      <c r="P25" s="2085"/>
      <c r="Q25" s="2085"/>
      <c r="R25" s="2085"/>
      <c r="S25" s="2086"/>
      <c r="T25" s="2147" t="s">
        <v>2068</v>
      </c>
      <c r="U25" s="2148"/>
      <c r="V25" s="2148"/>
      <c r="W25" s="2148"/>
      <c r="X25" s="2148"/>
      <c r="Y25" s="2148"/>
      <c r="Z25" s="2148"/>
      <c r="AA25" s="21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1" t="s">
        <v>1494</v>
      </c>
      <c r="J27" s="2072"/>
      <c r="K27" s="2072"/>
      <c r="L27" s="2072"/>
      <c r="M27" s="2072"/>
      <c r="N27" s="2072"/>
      <c r="O27" s="2072"/>
      <c r="P27" s="2072"/>
      <c r="Q27" s="2072"/>
      <c r="R27" s="2072"/>
      <c r="S27" s="207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2"/>
      <c r="Q35" s="2061"/>
      <c r="R35" s="20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6" t="s">
        <v>2064</v>
      </c>
      <c r="B38" s="2097"/>
      <c r="C38" s="2097"/>
      <c r="D38" s="2097"/>
      <c r="E38" s="2097"/>
      <c r="F38" s="2061"/>
      <c r="G38" s="2061"/>
      <c r="H38" s="2062"/>
      <c r="I38" s="2089"/>
      <c r="J38" s="2090"/>
      <c r="K38" s="2090"/>
      <c r="L38" s="2090"/>
      <c r="M38" s="2090"/>
      <c r="N38" s="2090"/>
      <c r="O38" s="2090"/>
      <c r="P38" s="2091"/>
      <c r="Q38" s="2091"/>
      <c r="R38" s="2091"/>
      <c r="S38" s="2092"/>
      <c r="T38" s="2133"/>
      <c r="U38" s="2090"/>
      <c r="V38" s="2090"/>
      <c r="W38" s="2090"/>
      <c r="X38" s="2091"/>
      <c r="Y38" s="2091"/>
      <c r="Z38" s="2091"/>
      <c r="AA38" s="2092"/>
    </row>
    <row r="39" spans="1:27" ht="12" customHeight="1" x14ac:dyDescent="0.2">
      <c r="A39" s="2066" t="s">
        <v>528</v>
      </c>
      <c r="B39" s="2067"/>
      <c r="C39" s="69"/>
      <c r="D39" s="66"/>
      <c r="E39" s="66"/>
      <c r="F39" s="76"/>
      <c r="G39" s="66"/>
      <c r="H39" s="53"/>
      <c r="I39" s="2066" t="s">
        <v>528</v>
      </c>
      <c r="J39" s="2067"/>
      <c r="K39" s="2067"/>
      <c r="L39" s="2067"/>
      <c r="M39" s="2067"/>
      <c r="N39" s="64"/>
      <c r="O39" s="69"/>
      <c r="P39" s="69"/>
      <c r="Q39" s="75"/>
      <c r="R39" s="69"/>
      <c r="S39" s="53"/>
      <c r="T39" s="69" t="s">
        <v>528</v>
      </c>
      <c r="U39" s="48"/>
      <c r="V39" s="69"/>
      <c r="W39" s="47"/>
      <c r="X39" s="75"/>
      <c r="Y39" s="43"/>
      <c r="Z39" s="43"/>
      <c r="AA39" s="44"/>
    </row>
    <row r="40" spans="1:27" ht="13.5" customHeight="1" x14ac:dyDescent="0.2">
      <c r="A40" s="2074" t="s">
        <v>2063</v>
      </c>
      <c r="B40" s="2075"/>
      <c r="C40" s="2076"/>
      <c r="D40" s="2076"/>
      <c r="E40" s="2076"/>
      <c r="F40" s="2077"/>
      <c r="G40" s="2077"/>
      <c r="H40" s="2078"/>
      <c r="I40" s="2099"/>
      <c r="J40" s="2100"/>
      <c r="K40" s="2100"/>
      <c r="L40" s="2100"/>
      <c r="M40" s="2100"/>
      <c r="N40" s="2100"/>
      <c r="O40" s="2100"/>
      <c r="P40" s="2100"/>
      <c r="Q40" s="2100"/>
      <c r="R40" s="2100"/>
      <c r="S40" s="2101"/>
      <c r="T40" s="2099"/>
      <c r="U40" s="2153"/>
      <c r="V40" s="2100"/>
      <c r="W40" s="2100"/>
      <c r="X40" s="2100"/>
      <c r="Y40" s="2100"/>
      <c r="Z40" s="2100"/>
      <c r="AA40" s="210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8" t="s">
        <v>2065</v>
      </c>
      <c r="B42" s="2080"/>
      <c r="C42" s="2081"/>
      <c r="D42" s="2079" t="s">
        <v>2066</v>
      </c>
      <c r="E42" s="2080"/>
      <c r="F42" s="2080"/>
      <c r="G42" s="2080"/>
      <c r="H42" s="2081"/>
      <c r="I42" s="2063"/>
      <c r="J42" s="2064"/>
      <c r="K42" s="2064"/>
      <c r="L42" s="2064"/>
      <c r="M42" s="2064"/>
      <c r="N42" s="2064"/>
      <c r="O42" s="2065"/>
      <c r="P42" s="2098"/>
      <c r="Q42" s="2064"/>
      <c r="R42" s="2064"/>
      <c r="S42" s="2065"/>
      <c r="T42" s="2063"/>
      <c r="U42" s="2064"/>
      <c r="V42" s="2064"/>
      <c r="W42" s="2065"/>
      <c r="X42" s="2098"/>
      <c r="Y42" s="2064"/>
      <c r="Z42" s="2064"/>
      <c r="AA42" s="206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3"/>
      <c r="B44" s="2094"/>
      <c r="C44" s="2094"/>
      <c r="D44" s="2094"/>
      <c r="E44" s="2094"/>
      <c r="F44" s="2094"/>
      <c r="G44" s="2094"/>
      <c r="H44" s="2095"/>
      <c r="I44" s="2068"/>
      <c r="J44" s="2069"/>
      <c r="K44" s="2069"/>
      <c r="L44" s="2069"/>
      <c r="M44" s="2069"/>
      <c r="N44" s="2069"/>
      <c r="O44" s="2069"/>
      <c r="P44" s="2069"/>
      <c r="Q44" s="2069"/>
      <c r="R44" s="2069"/>
      <c r="S44" s="2070"/>
      <c r="T44" s="2068"/>
      <c r="U44" s="2087"/>
      <c r="V44" s="2087"/>
      <c r="W44" s="2087"/>
      <c r="X44" s="2087"/>
      <c r="Y44" s="2087"/>
      <c r="Z44" s="2069"/>
      <c r="AA44" s="207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2"/>
      <c r="B3" s="1294"/>
      <c r="C3" s="1295"/>
      <c r="D3" s="1296" t="s">
        <v>254</v>
      </c>
      <c r="E3" s="1295"/>
      <c r="F3" s="1296" t="s">
        <v>255</v>
      </c>
    </row>
    <row r="4" spans="1:8" ht="13.7" customHeight="1" x14ac:dyDescent="0.2">
      <c r="A4" s="579" t="s">
        <v>1145</v>
      </c>
      <c r="B4" s="1721">
        <f>'Revenues 9-14'!C5</f>
        <v>2709137</v>
      </c>
      <c r="C4" s="1722"/>
      <c r="D4" s="1723">
        <f>B4-C4</f>
        <v>2709137</v>
      </c>
      <c r="E4" s="1722">
        <v>2691245</v>
      </c>
      <c r="F4" s="1723">
        <f>E4-C4</f>
        <v>2691245</v>
      </c>
    </row>
    <row r="5" spans="1:8" ht="13.7" customHeight="1" x14ac:dyDescent="0.2">
      <c r="A5" s="579" t="s">
        <v>865</v>
      </c>
      <c r="B5" s="1724">
        <f>'Revenues 9-14'!D5</f>
        <v>445582</v>
      </c>
      <c r="C5" s="1664"/>
      <c r="D5" s="1725">
        <f t="shared" ref="D5:D18" si="0">B5-C5</f>
        <v>445582</v>
      </c>
      <c r="E5" s="1664">
        <v>442639</v>
      </c>
      <c r="F5" s="1725">
        <f>E5-C5</f>
        <v>442639</v>
      </c>
    </row>
    <row r="6" spans="1:8" ht="13.7" customHeight="1" x14ac:dyDescent="0.2">
      <c r="A6" s="579" t="s">
        <v>408</v>
      </c>
      <c r="B6" s="1724">
        <f>'Revenues 9-14'!E5</f>
        <v>828784</v>
      </c>
      <c r="C6" s="1664"/>
      <c r="D6" s="1725">
        <f t="shared" si="0"/>
        <v>828784</v>
      </c>
      <c r="E6" s="1664">
        <v>855533</v>
      </c>
      <c r="F6" s="1725">
        <f t="shared" ref="F6:F18" si="1">E6-C6</f>
        <v>855533</v>
      </c>
    </row>
    <row r="7" spans="1:8" ht="13.7" customHeight="1" x14ac:dyDescent="0.2">
      <c r="A7" s="579" t="s">
        <v>154</v>
      </c>
      <c r="B7" s="1724">
        <f>'Revenues 9-14'!F5</f>
        <v>213879</v>
      </c>
      <c r="C7" s="1664"/>
      <c r="D7" s="1725">
        <f t="shared" si="0"/>
        <v>213879</v>
      </c>
      <c r="E7" s="1664">
        <v>212467</v>
      </c>
      <c r="F7" s="1725">
        <f t="shared" si="1"/>
        <v>212467</v>
      </c>
    </row>
    <row r="8" spans="1:8" ht="13.7" customHeight="1" x14ac:dyDescent="0.2">
      <c r="A8" s="579" t="s">
        <v>1169</v>
      </c>
      <c r="B8" s="1724">
        <f>'Revenues 9-14'!G5</f>
        <v>104795</v>
      </c>
      <c r="C8" s="1664"/>
      <c r="D8" s="1725">
        <f t="shared" si="0"/>
        <v>104795</v>
      </c>
      <c r="E8" s="1664">
        <v>105171</v>
      </c>
      <c r="F8" s="1725">
        <f t="shared" si="1"/>
        <v>105171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89116</v>
      </c>
      <c r="C10" s="1664"/>
      <c r="D10" s="1725">
        <f t="shared" si="0"/>
        <v>89116</v>
      </c>
      <c r="E10" s="1664">
        <v>88528</v>
      </c>
      <c r="F10" s="1725">
        <f t="shared" si="1"/>
        <v>88528</v>
      </c>
    </row>
    <row r="11" spans="1:8" x14ac:dyDescent="0.2">
      <c r="A11" s="579" t="s">
        <v>406</v>
      </c>
      <c r="B11" s="1724">
        <f>'Revenues 9-14'!J5</f>
        <v>194423</v>
      </c>
      <c r="C11" s="1664"/>
      <c r="D11" s="1725">
        <f t="shared" si="0"/>
        <v>194423</v>
      </c>
      <c r="E11" s="1664">
        <v>195115</v>
      </c>
      <c r="F11" s="1725">
        <f t="shared" si="1"/>
        <v>195115</v>
      </c>
    </row>
    <row r="12" spans="1:8" ht="13.7" customHeight="1" x14ac:dyDescent="0.2">
      <c r="A12" s="579" t="s">
        <v>156</v>
      </c>
      <c r="B12" s="1724">
        <f>'Revenues 9-14'!K5</f>
        <v>89116</v>
      </c>
      <c r="C12" s="1664"/>
      <c r="D12" s="1725">
        <f t="shared" si="0"/>
        <v>89116</v>
      </c>
      <c r="E12" s="1664">
        <v>88528</v>
      </c>
      <c r="F12" s="1725">
        <f t="shared" si="1"/>
        <v>88528</v>
      </c>
    </row>
    <row r="13" spans="1:8" ht="13.7" customHeight="1" x14ac:dyDescent="0.2">
      <c r="A13" s="579" t="s">
        <v>930</v>
      </c>
      <c r="B13" s="1724">
        <f>SUM('Revenues 9-14'!C6:D6)</f>
        <v>29944</v>
      </c>
      <c r="C13" s="1664"/>
      <c r="D13" s="1725">
        <f t="shared" si="0"/>
        <v>29944</v>
      </c>
      <c r="E13" s="1664">
        <v>30099</v>
      </c>
      <c r="F13" s="1725">
        <f t="shared" si="1"/>
        <v>30099</v>
      </c>
    </row>
    <row r="14" spans="1:8" ht="13.7" customHeight="1" x14ac:dyDescent="0.2">
      <c r="A14" s="579" t="s">
        <v>407</v>
      </c>
      <c r="B14" s="1724">
        <f>SUM('Revenues 9-14'!C7:D7,'Revenues 9-14'!F7:H7)</f>
        <v>35646</v>
      </c>
      <c r="C14" s="1664"/>
      <c r="D14" s="1725">
        <f t="shared" si="0"/>
        <v>35646</v>
      </c>
      <c r="E14" s="1664">
        <v>35411</v>
      </c>
      <c r="F14" s="1725">
        <f t="shared" si="1"/>
        <v>35411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114780</v>
      </c>
      <c r="C16" s="1664"/>
      <c r="D16" s="1725">
        <f t="shared" si="0"/>
        <v>114780</v>
      </c>
      <c r="E16" s="1664">
        <v>115086</v>
      </c>
      <c r="F16" s="1725">
        <f t="shared" si="1"/>
        <v>115086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4855202</v>
      </c>
      <c r="C19" s="1726">
        <f>SUM(C4:C18)</f>
        <v>0</v>
      </c>
      <c r="D19" s="1726">
        <f>SUM(D4:D18)</f>
        <v>4855202</v>
      </c>
      <c r="E19" s="1726">
        <f>SUM(E4:E18)</f>
        <v>4859822</v>
      </c>
      <c r="F19" s="1726">
        <f>SUM(F4:F18)</f>
        <v>4859822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3" t="s">
        <v>625</v>
      </c>
      <c r="B1" s="2331"/>
      <c r="C1" s="585"/>
    </row>
    <row r="2" spans="1:7" ht="33.75" x14ac:dyDescent="0.2">
      <c r="A2" s="2338" t="s">
        <v>1779</v>
      </c>
      <c r="B2" s="233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0" t="s">
        <v>1104</v>
      </c>
      <c r="B3" s="2341"/>
      <c r="C3" s="2334"/>
      <c r="D3" s="2335"/>
      <c r="E3" s="2335"/>
      <c r="F3" s="2336"/>
    </row>
    <row r="4" spans="1:7" ht="12.75" customHeight="1" thickBot="1" x14ac:dyDescent="0.25">
      <c r="A4" s="2328" t="s">
        <v>626</v>
      </c>
      <c r="B4" s="2329"/>
      <c r="C4" s="1656"/>
      <c r="D4" s="1656"/>
      <c r="E4" s="1656"/>
      <c r="F4" s="1732">
        <f>SUM(C4+D4)-E4</f>
        <v>0</v>
      </c>
    </row>
    <row r="5" spans="1:7" ht="15.75" customHeight="1" thickTop="1" x14ac:dyDescent="0.2">
      <c r="A5" s="2332" t="s">
        <v>1101</v>
      </c>
      <c r="B5" s="2327"/>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4" t="s">
        <v>627</v>
      </c>
      <c r="B15" s="2325"/>
      <c r="C15" s="1732">
        <f>SUM(C6:C14)</f>
        <v>0</v>
      </c>
      <c r="D15" s="1732">
        <f>SUM(D6:D14)</f>
        <v>0</v>
      </c>
      <c r="E15" s="1732">
        <f>SUM(E6:E14)</f>
        <v>0</v>
      </c>
      <c r="F15" s="1732">
        <f>SUM(F6:F14)</f>
        <v>0</v>
      </c>
      <c r="G15" s="473"/>
    </row>
    <row r="16" spans="1:7" s="197" customFormat="1" ht="15.75" customHeight="1" thickTop="1" x14ac:dyDescent="0.2">
      <c r="A16" s="2337" t="s">
        <v>1102</v>
      </c>
      <c r="B16" s="2327"/>
      <c r="C16" s="2321"/>
      <c r="D16" s="2322"/>
      <c r="E16" s="2322"/>
      <c r="F16" s="2323"/>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324" t="s">
        <v>628</v>
      </c>
      <c r="B21" s="2325"/>
      <c r="C21" s="1732">
        <f>SUM(C17:C20)</f>
        <v>0</v>
      </c>
      <c r="D21" s="1732">
        <f>SUM(D17:D20)</f>
        <v>0</v>
      </c>
      <c r="E21" s="1732">
        <f>SUM(E17:E20)</f>
        <v>0</v>
      </c>
      <c r="F21" s="1732">
        <f>SUM(F17:F20)</f>
        <v>0</v>
      </c>
      <c r="G21" s="473"/>
    </row>
    <row r="22" spans="1:11" ht="15.75" customHeight="1" thickTop="1" x14ac:dyDescent="0.2">
      <c r="A22" s="2326" t="s">
        <v>1103</v>
      </c>
      <c r="B22" s="2327"/>
      <c r="C22" s="2321"/>
      <c r="D22" s="2322"/>
      <c r="E22" s="2322"/>
      <c r="F22" s="2323"/>
    </row>
    <row r="23" spans="1:11" ht="13.5" thickBot="1" x14ac:dyDescent="0.25">
      <c r="A23" s="2328" t="s">
        <v>629</v>
      </c>
      <c r="B23" s="2329"/>
      <c r="C23" s="1656"/>
      <c r="D23" s="1656"/>
      <c r="E23" s="1656"/>
      <c r="F23" s="1732">
        <f>SUM(C23+D23)-E23</f>
        <v>0</v>
      </c>
      <c r="G23" s="473"/>
    </row>
    <row r="24" spans="1:11" ht="15.75" customHeight="1" thickTop="1" x14ac:dyDescent="0.2">
      <c r="A24" s="2326" t="s">
        <v>2006</v>
      </c>
      <c r="B24" s="2327"/>
      <c r="C24" s="2321"/>
      <c r="D24" s="2322"/>
      <c r="E24" s="2322"/>
      <c r="F24" s="2323"/>
    </row>
    <row r="25" spans="1:11" ht="13.5" thickBot="1" x14ac:dyDescent="0.25">
      <c r="A25" s="2328" t="s">
        <v>2007</v>
      </c>
      <c r="B25" s="2329"/>
      <c r="C25" s="1656"/>
      <c r="D25" s="1656"/>
      <c r="E25" s="1656"/>
      <c r="F25" s="1732">
        <f>SUM(C25+D25)-E25</f>
        <v>0</v>
      </c>
      <c r="G25" s="473"/>
    </row>
    <row r="26" spans="1:11" ht="15.75" customHeight="1" thickTop="1" x14ac:dyDescent="0.2">
      <c r="A26" s="2332" t="s">
        <v>652</v>
      </c>
      <c r="B26" s="2327"/>
      <c r="C26" s="589"/>
      <c r="D26" s="589"/>
      <c r="E26" s="589"/>
      <c r="F26" s="590"/>
    </row>
    <row r="27" spans="1:11" ht="13.5" thickBot="1" x14ac:dyDescent="0.25">
      <c r="A27" s="2324" t="s">
        <v>1061</v>
      </c>
      <c r="B27" s="2325"/>
      <c r="C27" s="1664"/>
      <c r="D27" s="1664"/>
      <c r="E27" s="1664"/>
      <c r="F27" s="1732">
        <f>SUM(C27+D27)-E27</f>
        <v>0</v>
      </c>
      <c r="G27" s="473"/>
    </row>
    <row r="28" spans="1:11" ht="7.5" customHeight="1" thickTop="1" x14ac:dyDescent="0.2">
      <c r="A28" s="489"/>
    </row>
    <row r="29" spans="1:11" ht="23.25" customHeight="1" x14ac:dyDescent="0.2">
      <c r="A29" s="2330" t="s">
        <v>578</v>
      </c>
      <c r="B29" s="233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2093</v>
      </c>
      <c r="B31" s="595">
        <v>43048</v>
      </c>
      <c r="C31" s="1734">
        <v>2000000</v>
      </c>
      <c r="D31" s="1735">
        <v>1</v>
      </c>
      <c r="E31" s="1734">
        <v>1565000</v>
      </c>
      <c r="F31" s="1734"/>
      <c r="G31" s="1734"/>
      <c r="H31" s="1734">
        <v>505000</v>
      </c>
      <c r="I31" s="1736">
        <f>((E31+F31)-H31)+G31</f>
        <v>1060000</v>
      </c>
      <c r="J31" s="1734">
        <f>1060000-26955</f>
        <v>1033045</v>
      </c>
      <c r="K31" s="596"/>
    </row>
    <row r="32" spans="1:11" ht="12" customHeight="1" x14ac:dyDescent="0.2">
      <c r="A32" s="594" t="s">
        <v>2094</v>
      </c>
      <c r="B32" s="595">
        <v>43048</v>
      </c>
      <c r="C32" s="1734">
        <v>3255000</v>
      </c>
      <c r="D32" s="1735" t="s">
        <v>2096</v>
      </c>
      <c r="E32" s="1734">
        <v>3255000</v>
      </c>
      <c r="F32" s="1734"/>
      <c r="G32" s="1734"/>
      <c r="H32" s="1734"/>
      <c r="I32" s="1736">
        <f>((E32+F32)-H32)+G32</f>
        <v>3255000</v>
      </c>
      <c r="J32" s="1734">
        <f>3255000-4087</f>
        <v>3250913</v>
      </c>
      <c r="K32" s="596"/>
    </row>
    <row r="33" spans="1:11" ht="12" customHeight="1" x14ac:dyDescent="0.2">
      <c r="A33" s="594" t="s">
        <v>2094</v>
      </c>
      <c r="B33" s="595">
        <v>43349</v>
      </c>
      <c r="C33" s="1734">
        <v>3810000</v>
      </c>
      <c r="D33" s="1735" t="s">
        <v>2096</v>
      </c>
      <c r="E33" s="1734">
        <v>3810000</v>
      </c>
      <c r="F33" s="1734"/>
      <c r="G33" s="1734"/>
      <c r="H33" s="1734"/>
      <c r="I33" s="1736">
        <f t="shared" ref="I33:I48" si="1">((E33+F33)-H33)+G33</f>
        <v>3810000</v>
      </c>
      <c r="J33" s="1734">
        <f>3810000-6528</f>
        <v>3803472</v>
      </c>
      <c r="K33" s="596"/>
    </row>
    <row r="34" spans="1:11" ht="12" customHeight="1" x14ac:dyDescent="0.2">
      <c r="A34" s="594" t="s">
        <v>2095</v>
      </c>
      <c r="B34" s="595">
        <v>43908</v>
      </c>
      <c r="C34" s="1734">
        <v>600000</v>
      </c>
      <c r="D34" s="1735">
        <v>7</v>
      </c>
      <c r="E34" s="1734"/>
      <c r="F34" s="1734"/>
      <c r="G34" s="1734">
        <v>600000</v>
      </c>
      <c r="H34" s="1734"/>
      <c r="I34" s="1736">
        <f t="shared" si="1"/>
        <v>600000</v>
      </c>
      <c r="J34" s="1734">
        <v>600000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9665000</v>
      </c>
      <c r="D49" s="1742"/>
      <c r="E49" s="1736">
        <f t="shared" ref="E49:J49" si="2">SUM(E31:E48)</f>
        <v>8630000</v>
      </c>
      <c r="F49" s="1736">
        <f t="shared" si="2"/>
        <v>0</v>
      </c>
      <c r="G49" s="1736">
        <f t="shared" si="2"/>
        <v>600000</v>
      </c>
      <c r="H49" s="1736">
        <f t="shared" si="2"/>
        <v>505000</v>
      </c>
      <c r="I49" s="1736">
        <f t="shared" si="2"/>
        <v>8725000</v>
      </c>
      <c r="J49" s="1736">
        <f t="shared" si="2"/>
        <v>8687430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t="s">
        <v>2097</v>
      </c>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2" t="s">
        <v>851</v>
      </c>
      <c r="B1" s="2343"/>
      <c r="C1" s="2343"/>
      <c r="D1" s="2343"/>
      <c r="E1" s="2343"/>
      <c r="F1" s="2343"/>
      <c r="G1" s="2344"/>
      <c r="H1" s="1298"/>
      <c r="I1" s="614"/>
      <c r="J1" s="400"/>
    </row>
    <row r="2" spans="1:11" ht="26.25" x14ac:dyDescent="0.2">
      <c r="A2" s="2361" t="s">
        <v>1658</v>
      </c>
      <c r="B2" s="2362"/>
      <c r="C2" s="2362"/>
      <c r="D2" s="2362"/>
      <c r="E2" s="2363"/>
      <c r="F2" s="615" t="s">
        <v>898</v>
      </c>
      <c r="G2" s="616" t="s">
        <v>1655</v>
      </c>
      <c r="H2" s="616" t="s">
        <v>407</v>
      </c>
      <c r="I2" s="616" t="s">
        <v>1148</v>
      </c>
      <c r="J2" s="616" t="s">
        <v>1789</v>
      </c>
      <c r="K2" s="616" t="s">
        <v>137</v>
      </c>
    </row>
    <row r="3" spans="1:11" x14ac:dyDescent="0.2">
      <c r="A3" s="2364" t="str">
        <f>"Cash Basis Fund Balance as of July 1, "&amp;'AFR20'!E2-1</f>
        <v>Cash Basis Fund Balance as of July 1, 2019</v>
      </c>
      <c r="B3" s="2365"/>
      <c r="C3" s="2365"/>
      <c r="D3" s="2365"/>
      <c r="E3" s="2366"/>
      <c r="F3" s="617"/>
      <c r="G3" s="1744"/>
      <c r="H3" s="1744"/>
      <c r="I3" s="1744"/>
      <c r="J3" s="1745">
        <v>166607</v>
      </c>
      <c r="K3" s="1745"/>
    </row>
    <row r="4" spans="1:11" x14ac:dyDescent="0.2">
      <c r="A4" s="2367" t="s">
        <v>366</v>
      </c>
      <c r="B4" s="2368"/>
      <c r="C4" s="2368"/>
      <c r="D4" s="2368"/>
      <c r="E4" s="2314"/>
      <c r="F4" s="620"/>
      <c r="G4" s="1746"/>
      <c r="H4" s="1747"/>
      <c r="I4" s="1746"/>
      <c r="J4" s="1748"/>
      <c r="K4" s="1748"/>
    </row>
    <row r="5" spans="1:11" x14ac:dyDescent="0.2">
      <c r="A5" s="2345" t="s">
        <v>1060</v>
      </c>
      <c r="B5" s="2346"/>
      <c r="C5" s="2346"/>
      <c r="D5" s="2346"/>
      <c r="E5" s="2347"/>
      <c r="F5" s="622" t="s">
        <v>843</v>
      </c>
      <c r="G5" s="1749"/>
      <c r="H5" s="1744">
        <v>35670</v>
      </c>
      <c r="I5" s="1750"/>
      <c r="J5" s="1751"/>
      <c r="K5" s="1751"/>
    </row>
    <row r="6" spans="1:11" x14ac:dyDescent="0.2">
      <c r="A6" s="625" t="s">
        <v>715</v>
      </c>
      <c r="B6" s="626"/>
      <c r="C6" s="626"/>
      <c r="D6" s="626"/>
      <c r="E6" s="627"/>
      <c r="F6" s="628" t="s">
        <v>844</v>
      </c>
      <c r="G6" s="1744"/>
      <c r="H6" s="1744">
        <v>24</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261034</v>
      </c>
      <c r="K8" s="1748"/>
    </row>
    <row r="9" spans="1:11" x14ac:dyDescent="0.2">
      <c r="A9" s="629" t="s">
        <v>137</v>
      </c>
      <c r="B9" s="630"/>
      <c r="C9" s="630"/>
      <c r="D9" s="630"/>
      <c r="E9" s="631"/>
      <c r="F9" s="628" t="s">
        <v>848</v>
      </c>
      <c r="G9" s="1753"/>
      <c r="H9" s="1749"/>
      <c r="I9" s="1749"/>
      <c r="J9" s="1752"/>
      <c r="K9" s="1745"/>
    </row>
    <row r="10" spans="1:11" x14ac:dyDescent="0.2">
      <c r="A10" s="2345" t="s">
        <v>1790</v>
      </c>
      <c r="B10" s="2346"/>
      <c r="C10" s="2346"/>
      <c r="D10" s="2346"/>
      <c r="E10" s="2348"/>
      <c r="F10" s="633" t="s">
        <v>857</v>
      </c>
      <c r="G10" s="1753"/>
      <c r="H10" s="1754"/>
      <c r="I10" s="1744"/>
      <c r="J10" s="1745">
        <v>600000</v>
      </c>
      <c r="K10" s="1745"/>
    </row>
    <row r="11" spans="1:11" x14ac:dyDescent="0.2">
      <c r="A11" s="2345" t="s">
        <v>159</v>
      </c>
      <c r="B11" s="2346"/>
      <c r="C11" s="2346"/>
      <c r="D11" s="2346"/>
      <c r="E11" s="2347"/>
      <c r="F11" s="622" t="s">
        <v>847</v>
      </c>
      <c r="G11" s="1749"/>
      <c r="H11" s="1744"/>
      <c r="I11" s="1744"/>
      <c r="J11" s="1745"/>
      <c r="K11" s="1751"/>
    </row>
    <row r="12" spans="1:11" ht="13.5" thickBot="1" x14ac:dyDescent="0.25">
      <c r="A12" s="2372" t="s">
        <v>899</v>
      </c>
      <c r="B12" s="2373"/>
      <c r="C12" s="2373"/>
      <c r="D12" s="2373"/>
      <c r="E12" s="2374"/>
      <c r="F12" s="1433"/>
      <c r="G12" s="1755">
        <f>SUM(G5:G11)</f>
        <v>0</v>
      </c>
      <c r="H12" s="1755">
        <f>SUM(H5:H11)</f>
        <v>35694</v>
      </c>
      <c r="I12" s="1755">
        <f>SUM(I5:I11)</f>
        <v>0</v>
      </c>
      <c r="J12" s="1755">
        <f>SUM(J5:J11)</f>
        <v>861034</v>
      </c>
      <c r="K12" s="1755">
        <f>SUM(K5:K11)</f>
        <v>0</v>
      </c>
    </row>
    <row r="13" spans="1:11" ht="13.5" thickTop="1" x14ac:dyDescent="0.2">
      <c r="A13" s="2369" t="s">
        <v>367</v>
      </c>
      <c r="B13" s="2370"/>
      <c r="C13" s="2370"/>
      <c r="D13" s="2370"/>
      <c r="E13" s="2371"/>
      <c r="F13" s="634"/>
      <c r="G13" s="1756"/>
      <c r="H13" s="1757"/>
      <c r="I13" s="1758"/>
      <c r="J13" s="1758"/>
      <c r="K13" s="1758"/>
    </row>
    <row r="14" spans="1:11" x14ac:dyDescent="0.2">
      <c r="A14" s="2352" t="s">
        <v>453</v>
      </c>
      <c r="B14" s="2352"/>
      <c r="C14" s="2352"/>
      <c r="D14" s="2352"/>
      <c r="E14" s="2353"/>
      <c r="F14" s="635" t="s">
        <v>849</v>
      </c>
      <c r="G14" s="1753"/>
      <c r="H14" s="1744">
        <v>35694</v>
      </c>
      <c r="I14" s="1749"/>
      <c r="J14" s="1751"/>
      <c r="K14" s="1745"/>
    </row>
    <row r="15" spans="1:11" x14ac:dyDescent="0.2">
      <c r="A15" s="2346" t="s">
        <v>4</v>
      </c>
      <c r="B15" s="2346"/>
      <c r="C15" s="2346"/>
      <c r="D15" s="2346"/>
      <c r="E15" s="2347"/>
      <c r="F15" s="635" t="s">
        <v>850</v>
      </c>
      <c r="G15" s="1749"/>
      <c r="H15" s="1744"/>
      <c r="I15" s="1744"/>
      <c r="J15" s="1745">
        <v>273596</v>
      </c>
      <c r="K15" s="1745"/>
    </row>
    <row r="16" spans="1:11" x14ac:dyDescent="0.2">
      <c r="A16" s="2346" t="s">
        <v>295</v>
      </c>
      <c r="B16" s="2346"/>
      <c r="C16" s="2346"/>
      <c r="D16" s="2346"/>
      <c r="E16" s="2347"/>
      <c r="F16" s="635" t="s">
        <v>917</v>
      </c>
      <c r="G16" s="1750"/>
      <c r="H16" s="1746"/>
      <c r="I16" s="1746"/>
      <c r="J16" s="1748"/>
      <c r="K16" s="1748"/>
    </row>
    <row r="17" spans="1:15" x14ac:dyDescent="0.2">
      <c r="A17" s="2379" t="s">
        <v>929</v>
      </c>
      <c r="B17" s="2379"/>
      <c r="C17" s="2379"/>
      <c r="D17" s="2379"/>
      <c r="E17" s="2380"/>
      <c r="F17" s="636"/>
      <c r="G17" s="1759"/>
      <c r="H17" s="1760"/>
      <c r="I17" s="1760"/>
      <c r="J17" s="1761"/>
      <c r="K17" s="1762"/>
    </row>
    <row r="18" spans="1:15" x14ac:dyDescent="0.2">
      <c r="A18" s="2356" t="s">
        <v>365</v>
      </c>
      <c r="B18" s="2357"/>
      <c r="C18" s="2357"/>
      <c r="D18" s="2357"/>
      <c r="E18" s="2358"/>
      <c r="F18" s="635" t="s">
        <v>926</v>
      </c>
      <c r="G18" s="1753"/>
      <c r="H18" s="1753"/>
      <c r="I18" s="1753"/>
      <c r="J18" s="1745"/>
      <c r="K18" s="1763"/>
    </row>
    <row r="19" spans="1:15" ht="21.75" customHeight="1" x14ac:dyDescent="0.2">
      <c r="A19" s="2354" t="s">
        <v>1786</v>
      </c>
      <c r="B19" s="2354"/>
      <c r="C19" s="2354"/>
      <c r="D19" s="2354"/>
      <c r="E19" s="2355"/>
      <c r="F19" s="635" t="s">
        <v>927</v>
      </c>
      <c r="G19" s="1753"/>
      <c r="H19" s="1753"/>
      <c r="I19" s="1753"/>
      <c r="J19" s="1745">
        <v>317113</v>
      </c>
      <c r="K19" s="1763"/>
    </row>
    <row r="20" spans="1:15" x14ac:dyDescent="0.2">
      <c r="A20" s="2356" t="s">
        <v>1791</v>
      </c>
      <c r="B20" s="2357"/>
      <c r="C20" s="2357"/>
      <c r="D20" s="2357"/>
      <c r="E20" s="2358"/>
      <c r="F20" s="635" t="s">
        <v>928</v>
      </c>
      <c r="G20" s="1753"/>
      <c r="H20" s="1753"/>
      <c r="I20" s="1753"/>
      <c r="J20" s="1745"/>
      <c r="K20" s="1763"/>
    </row>
    <row r="21" spans="1:15" ht="13.5" thickBot="1" x14ac:dyDescent="0.25">
      <c r="A21" s="2375" t="s">
        <v>633</v>
      </c>
      <c r="B21" s="2375"/>
      <c r="C21" s="2375"/>
      <c r="D21" s="2375"/>
      <c r="E21" s="2375"/>
      <c r="F21" s="1434"/>
      <c r="G21" s="1760"/>
      <c r="H21" s="1764"/>
      <c r="I21" s="1764"/>
      <c r="J21" s="1765">
        <f>SUM(J18:J20)</f>
        <v>317113</v>
      </c>
      <c r="K21" s="1761"/>
    </row>
    <row r="22" spans="1:15" ht="13.5" thickTop="1" x14ac:dyDescent="0.2">
      <c r="A22" s="2346" t="s">
        <v>1792</v>
      </c>
      <c r="B22" s="2346"/>
      <c r="C22" s="2346"/>
      <c r="D22" s="2346"/>
      <c r="E22" s="2347"/>
      <c r="F22" s="635" t="s">
        <v>857</v>
      </c>
      <c r="G22" s="1753"/>
      <c r="H22" s="1744"/>
      <c r="I22" s="1744"/>
      <c r="J22" s="1766"/>
      <c r="K22" s="1745"/>
    </row>
    <row r="23" spans="1:15" ht="13.5" thickBot="1" x14ac:dyDescent="0.25">
      <c r="A23" s="2376" t="s">
        <v>900</v>
      </c>
      <c r="B23" s="2375"/>
      <c r="C23" s="2375"/>
      <c r="D23" s="2375"/>
      <c r="E23" s="2375"/>
      <c r="F23" s="1436"/>
      <c r="G23" s="1755">
        <f>SUM(G14:G16,G21,G22)</f>
        <v>0</v>
      </c>
      <c r="H23" s="1755">
        <f>SUM(H14:H16,H21,H22)</f>
        <v>35694</v>
      </c>
      <c r="I23" s="1755">
        <f>SUM(I14:I16,I21,I22)</f>
        <v>0</v>
      </c>
      <c r="J23" s="1755">
        <f>SUM(J14:J16,J21,J22)</f>
        <v>590709</v>
      </c>
      <c r="K23" s="1755">
        <f>SUM(K14:K16,K21,K22)</f>
        <v>0</v>
      </c>
      <c r="M23" s="1846"/>
      <c r="N23" s="1846"/>
      <c r="O23" s="1846"/>
    </row>
    <row r="24" spans="1:15" ht="14.25" thickTop="1" thickBot="1" x14ac:dyDescent="0.25">
      <c r="A24" s="2377" t="str">
        <f>"Ending Cash Basis Fund Balance as of June 30, "&amp;'AFR20'!E2</f>
        <v>Ending Cash Basis Fund Balance as of June 30, 2020</v>
      </c>
      <c r="B24" s="2378"/>
      <c r="C24" s="2378"/>
      <c r="D24" s="2378"/>
      <c r="E24" s="2378"/>
      <c r="F24" s="1437"/>
      <c r="G24" s="1767">
        <f>SUM(G3,G12)-G23</f>
        <v>0</v>
      </c>
      <c r="H24" s="1767">
        <f>SUM(H3,H12)-H23</f>
        <v>0</v>
      </c>
      <c r="I24" s="1767">
        <f>SUM(I3,I12)-I23</f>
        <v>0</v>
      </c>
      <c r="J24" s="1767">
        <f>SUM(J3,J12)-J23</f>
        <v>436932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204046</v>
      </c>
      <c r="K25" s="1766"/>
    </row>
    <row r="26" spans="1:15" ht="13.5" thickBot="1" x14ac:dyDescent="0.25">
      <c r="A26" s="639" t="s">
        <v>339</v>
      </c>
      <c r="B26" s="640"/>
      <c r="C26" s="640"/>
      <c r="D26" s="640"/>
      <c r="E26" s="641"/>
      <c r="F26" s="642">
        <v>730</v>
      </c>
      <c r="G26" s="1755">
        <f>G24-G25</f>
        <v>0</v>
      </c>
      <c r="H26" s="1755">
        <f>H24-H25</f>
        <v>0</v>
      </c>
      <c r="I26" s="1755">
        <f>I24-I25</f>
        <v>0</v>
      </c>
      <c r="J26" s="1755">
        <f>J24-J25</f>
        <v>232886</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1159</v>
      </c>
      <c r="B33" s="341"/>
      <c r="C33" s="341"/>
      <c r="D33" s="341"/>
      <c r="E33" s="341"/>
      <c r="F33" s="341"/>
      <c r="G33" s="653"/>
      <c r="H33" s="2351"/>
      <c r="I33" s="2350"/>
      <c r="J33" s="2350"/>
      <c r="K33" s="235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6" t="s">
        <v>538</v>
      </c>
      <c r="B41" s="2359"/>
      <c r="C41" s="2359"/>
      <c r="D41" s="2359"/>
      <c r="E41" s="2359"/>
      <c r="F41" s="236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3" t="s">
        <v>1875</v>
      </c>
      <c r="B1" s="2384"/>
      <c r="C1" s="2385"/>
      <c r="D1" s="666"/>
      <c r="E1" s="667"/>
      <c r="F1" s="667"/>
      <c r="G1" s="668"/>
      <c r="H1" s="669"/>
      <c r="I1" s="670"/>
      <c r="J1" s="2381"/>
      <c r="K1" s="2382"/>
      <c r="L1" s="238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22721</v>
      </c>
      <c r="D5" s="1770"/>
      <c r="E5" s="1770"/>
      <c r="F5" s="1765">
        <f>(C5+D5)-E5</f>
        <v>22721</v>
      </c>
      <c r="G5" s="676"/>
      <c r="H5" s="680"/>
      <c r="I5" s="680"/>
      <c r="J5" s="680"/>
      <c r="K5" s="637"/>
      <c r="L5" s="1442">
        <f>F5-K5</f>
        <v>22721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14197047</v>
      </c>
      <c r="D8" s="1771">
        <v>330412</v>
      </c>
      <c r="E8" s="1771"/>
      <c r="F8" s="1765">
        <f>(C8+D8)-E8</f>
        <v>14527459</v>
      </c>
      <c r="G8" s="681">
        <v>50</v>
      </c>
      <c r="H8" s="619">
        <v>4951549</v>
      </c>
      <c r="I8" s="619">
        <v>277791</v>
      </c>
      <c r="J8" s="619"/>
      <c r="K8" s="1442">
        <f>(H8+I8)-J8</f>
        <v>5229340</v>
      </c>
      <c r="L8" s="1442">
        <f>F8-K8</f>
        <v>9298119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742601</v>
      </c>
      <c r="D10" s="1772"/>
      <c r="E10" s="1772"/>
      <c r="F10" s="1773">
        <f>(C10+D10)-E10</f>
        <v>742601</v>
      </c>
      <c r="G10" s="681">
        <v>20</v>
      </c>
      <c r="H10" s="683">
        <v>438261</v>
      </c>
      <c r="I10" s="683">
        <v>28073</v>
      </c>
      <c r="J10" s="683"/>
      <c r="K10" s="1442">
        <f>(H10+I10)-J10</f>
        <v>466334</v>
      </c>
      <c r="L10" s="1442">
        <f>F10-K10</f>
        <v>276267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594788</v>
      </c>
      <c r="D12" s="1771">
        <v>12313</v>
      </c>
      <c r="E12" s="1771">
        <v>139525</v>
      </c>
      <c r="F12" s="1765">
        <f>(C12+D12)-E12</f>
        <v>467576</v>
      </c>
      <c r="G12" s="681">
        <v>10</v>
      </c>
      <c r="H12" s="619">
        <v>478487</v>
      </c>
      <c r="I12" s="619">
        <v>46753</v>
      </c>
      <c r="J12" s="619">
        <v>139525</v>
      </c>
      <c r="K12" s="1442">
        <f>(H12+I12)-J12</f>
        <v>385715</v>
      </c>
      <c r="L12" s="1442">
        <f>F12-K12</f>
        <v>81861</v>
      </c>
    </row>
    <row r="13" spans="1:14" ht="14.25" thickTop="1" thickBot="1" x14ac:dyDescent="0.25">
      <c r="A13" s="684" t="s">
        <v>1112</v>
      </c>
      <c r="B13" s="679">
        <v>252</v>
      </c>
      <c r="C13" s="1771">
        <v>635728</v>
      </c>
      <c r="D13" s="1771"/>
      <c r="E13" s="1771"/>
      <c r="F13" s="1765">
        <f>(C13+D13)-E13</f>
        <v>635728</v>
      </c>
      <c r="G13" s="681">
        <v>5</v>
      </c>
      <c r="H13" s="619">
        <v>635460</v>
      </c>
      <c r="I13" s="619">
        <v>135</v>
      </c>
      <c r="J13" s="619"/>
      <c r="K13" s="1442">
        <f>(H13+I13)-J13</f>
        <v>635595</v>
      </c>
      <c r="L13" s="1442">
        <f>F13-K13</f>
        <v>133</v>
      </c>
    </row>
    <row r="14" spans="1:14" ht="14.25" thickTop="1" thickBot="1" x14ac:dyDescent="0.25">
      <c r="A14" s="684" t="s">
        <v>1113</v>
      </c>
      <c r="B14" s="679">
        <v>253</v>
      </c>
      <c r="C14" s="1745">
        <v>2618</v>
      </c>
      <c r="D14" s="1745"/>
      <c r="E14" s="1745"/>
      <c r="F14" s="1765">
        <f>(C14+D14)-E14</f>
        <v>2618</v>
      </c>
      <c r="G14" s="681">
        <v>3</v>
      </c>
      <c r="H14" s="619">
        <v>2618</v>
      </c>
      <c r="I14" s="619"/>
      <c r="J14" s="619"/>
      <c r="K14" s="1442">
        <f>(H14+I14)-J14</f>
        <v>2618</v>
      </c>
      <c r="L14" s="1442">
        <f>F14-K14</f>
        <v>0</v>
      </c>
    </row>
    <row r="15" spans="1:14" ht="15" customHeight="1" thickTop="1" thickBot="1" x14ac:dyDescent="0.25">
      <c r="A15" s="1366" t="s">
        <v>525</v>
      </c>
      <c r="B15" s="1365">
        <v>260</v>
      </c>
      <c r="C15" s="1771"/>
      <c r="D15" s="1771">
        <v>296501</v>
      </c>
      <c r="E15" s="1771"/>
      <c r="F15" s="1765">
        <f>(C15+D15)-E15</f>
        <v>296501</v>
      </c>
      <c r="G15" s="685" t="s">
        <v>857</v>
      </c>
      <c r="H15" s="632"/>
      <c r="I15" s="632"/>
      <c r="J15" s="632"/>
      <c r="K15" s="632"/>
      <c r="L15" s="1442">
        <f>F15-K15</f>
        <v>296501</v>
      </c>
    </row>
    <row r="16" spans="1:14" ht="15" customHeight="1" thickTop="1" thickBot="1" x14ac:dyDescent="0.25">
      <c r="A16" s="1438" t="s">
        <v>638</v>
      </c>
      <c r="B16" s="1439">
        <v>200</v>
      </c>
      <c r="C16" s="1765">
        <f>SUM(C3,C5:C6,C8:C10,C12:C15)</f>
        <v>16195503</v>
      </c>
      <c r="D16" s="1765">
        <f>SUM(D3,D5:D6,D8:D10,D12:D15)</f>
        <v>639226</v>
      </c>
      <c r="E16" s="1765">
        <f>SUM(E3,E5:E6,E8:E10,E12:E15)</f>
        <v>139525</v>
      </c>
      <c r="F16" s="1765">
        <f>SUM(F3,F5:F6,F8:F10,F12:F15)</f>
        <v>16695204</v>
      </c>
      <c r="G16" s="681"/>
      <c r="H16" s="1435">
        <f>SUM(H3,H6,H8:H10,H12:H14,)</f>
        <v>6506375</v>
      </c>
      <c r="I16" s="1435">
        <f>SUM(I3,I6,I8:I10,I12:I14,)</f>
        <v>352752</v>
      </c>
      <c r="J16" s="1435">
        <f>SUM(J3,J6,J8:J10,J12:J14,)</f>
        <v>139525</v>
      </c>
      <c r="K16" s="1435">
        <f>(H16+I16)-J16</f>
        <v>6719602</v>
      </c>
      <c r="L16" s="1435">
        <f>F16-K16</f>
        <v>9975602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352752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1"/>
      <c r="I1" s="701"/>
    </row>
    <row r="2" spans="1:9" ht="15" customHeight="1" thickBot="1" x14ac:dyDescent="0.25">
      <c r="A2" s="2392" t="s">
        <v>474</v>
      </c>
      <c r="B2" s="2393"/>
      <c r="C2" s="2393"/>
      <c r="D2" s="2393"/>
      <c r="E2" s="2393"/>
      <c r="F2" s="239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5"/>
      <c r="B5" s="2396"/>
      <c r="C5" s="2396"/>
      <c r="D5" s="2396"/>
      <c r="E5" s="2396"/>
      <c r="F5" s="2396"/>
    </row>
    <row r="6" spans="1:9" ht="13.5" customHeight="1" thickBot="1" x14ac:dyDescent="0.25">
      <c r="A6" s="2386" t="s">
        <v>1095</v>
      </c>
      <c r="B6" s="2387"/>
      <c r="C6" s="2387"/>
      <c r="D6" s="2387"/>
      <c r="E6" s="2387"/>
      <c r="F6" s="238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5829968</v>
      </c>
      <c r="G8" s="701"/>
    </row>
    <row r="9" spans="1:9" x14ac:dyDescent="0.2">
      <c r="A9" s="705" t="s">
        <v>457</v>
      </c>
      <c r="B9" s="706" t="s">
        <v>1848</v>
      </c>
      <c r="C9" s="707"/>
      <c r="D9" s="705" t="s">
        <v>498</v>
      </c>
      <c r="E9" s="704"/>
      <c r="F9" s="1775">
        <f>'Expenditures 15-22'!K151</f>
        <v>367802</v>
      </c>
      <c r="G9" s="708"/>
    </row>
    <row r="10" spans="1:9" x14ac:dyDescent="0.2">
      <c r="A10" s="705" t="s">
        <v>496</v>
      </c>
      <c r="B10" s="706" t="s">
        <v>1849</v>
      </c>
      <c r="C10" s="707"/>
      <c r="D10" s="705" t="s">
        <v>498</v>
      </c>
      <c r="E10" s="704"/>
      <c r="F10" s="1775">
        <f>'Expenditures 15-22'!K174</f>
        <v>813388</v>
      </c>
      <c r="G10" s="708"/>
    </row>
    <row r="11" spans="1:9" x14ac:dyDescent="0.2">
      <c r="A11" s="705" t="s">
        <v>458</v>
      </c>
      <c r="B11" s="706" t="s">
        <v>1850</v>
      </c>
      <c r="C11" s="707"/>
      <c r="D11" s="705" t="s">
        <v>498</v>
      </c>
      <c r="E11" s="704"/>
      <c r="F11" s="1775">
        <f>'Expenditures 15-22'!K210</f>
        <v>581689</v>
      </c>
      <c r="G11" s="708"/>
    </row>
    <row r="12" spans="1:9" x14ac:dyDescent="0.2">
      <c r="A12" s="705" t="s">
        <v>459</v>
      </c>
      <c r="B12" s="706" t="s">
        <v>1851</v>
      </c>
      <c r="C12" s="707"/>
      <c r="D12" s="705" t="s">
        <v>498</v>
      </c>
      <c r="E12" s="704"/>
      <c r="F12" s="1775">
        <f>'Expenditures 15-22'!K295</f>
        <v>226874</v>
      </c>
      <c r="G12" s="708"/>
    </row>
    <row r="13" spans="1:9" x14ac:dyDescent="0.2">
      <c r="A13" s="705" t="s">
        <v>106</v>
      </c>
      <c r="B13" s="706" t="s">
        <v>1852</v>
      </c>
      <c r="C13" s="707"/>
      <c r="D13" s="705" t="s">
        <v>498</v>
      </c>
      <c r="E13" s="704"/>
      <c r="F13" s="1775">
        <f>'Expenditures 15-22'!K342</f>
        <v>176255</v>
      </c>
      <c r="G13" s="709"/>
    </row>
    <row r="14" spans="1:9" ht="12" customHeight="1" thickBot="1" x14ac:dyDescent="0.25">
      <c r="A14" s="1443"/>
      <c r="B14" s="1444"/>
      <c r="C14" s="1445"/>
      <c r="D14" s="1446" t="s">
        <v>498</v>
      </c>
      <c r="E14" s="1447" t="s">
        <v>952</v>
      </c>
      <c r="F14" s="1776">
        <f>SUM(F8:F13)</f>
        <v>7995976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10422</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70898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5370</v>
      </c>
      <c r="G52" s="701"/>
    </row>
    <row r="53" spans="1:7" x14ac:dyDescent="0.2">
      <c r="A53" s="705" t="s">
        <v>456</v>
      </c>
      <c r="B53" s="705" t="s">
        <v>1458</v>
      </c>
      <c r="C53" s="724">
        <f>'Expenditures 15-22'!B102</f>
        <v>4000</v>
      </c>
      <c r="D53" s="723" t="str">
        <f>'Expenditures 15-22'!A102</f>
        <v>Total Payments to Other Govt Units</v>
      </c>
      <c r="E53" s="704"/>
      <c r="F53" s="1782">
        <f>'Expenditures 15-22'!K102</f>
        <v>439963</v>
      </c>
      <c r="G53" s="701"/>
    </row>
    <row r="54" spans="1:7" x14ac:dyDescent="0.2">
      <c r="A54" s="705" t="s">
        <v>456</v>
      </c>
      <c r="B54" s="705" t="s">
        <v>1459</v>
      </c>
      <c r="C54" s="724" t="s">
        <v>975</v>
      </c>
      <c r="D54" s="720" t="s">
        <v>1086</v>
      </c>
      <c r="E54" s="704"/>
      <c r="F54" s="1782">
        <f>'Expenditures 15-22'!G114</f>
        <v>3688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4185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40644</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1080170</v>
      </c>
      <c r="G77" s="701"/>
    </row>
    <row r="78" spans="1:9" s="728" customFormat="1" ht="12" customHeight="1" thickTop="1" thickBot="1" x14ac:dyDescent="0.25">
      <c r="A78" s="1450"/>
      <c r="B78" s="1448"/>
      <c r="C78" s="1445"/>
      <c r="D78" s="1449" t="s">
        <v>2012</v>
      </c>
      <c r="E78" s="1447"/>
      <c r="F78" s="1788">
        <f>(F14-F77)</f>
        <v>6915806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804.4</v>
      </c>
      <c r="G79" s="733"/>
      <c r="H79" s="705"/>
      <c r="I79" s="705"/>
    </row>
    <row r="80" spans="1:9" s="728" customFormat="1" ht="12" customHeight="1" thickBot="1" x14ac:dyDescent="0.25">
      <c r="A80" s="1452"/>
      <c r="B80" s="1448"/>
      <c r="C80" s="1445"/>
      <c r="D80" s="1449" t="s">
        <v>2013</v>
      </c>
      <c r="E80" s="1447" t="s">
        <v>952</v>
      </c>
      <c r="F80" s="1790">
        <f>IF(F79&gt;0,F78/F79," Complete Line 79")</f>
        <v>8597.4714072600691</v>
      </c>
      <c r="G80" s="705"/>
    </row>
    <row r="81" spans="1:7" s="728" customFormat="1" ht="8.25" customHeight="1" thickTop="1" x14ac:dyDescent="0.2">
      <c r="A81" s="734"/>
      <c r="B81" s="705"/>
      <c r="C81" s="707"/>
      <c r="D81" s="735"/>
      <c r="E81" s="704"/>
      <c r="F81" s="1791"/>
      <c r="G81" s="705"/>
    </row>
    <row r="82" spans="1:7" s="728" customFormat="1" ht="12" thickBot="1" x14ac:dyDescent="0.25">
      <c r="A82" s="2386" t="s">
        <v>1096</v>
      </c>
      <c r="B82" s="2387"/>
      <c r="C82" s="2387"/>
      <c r="D82" s="2387"/>
      <c r="E82" s="2387"/>
      <c r="F82" s="238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86330</v>
      </c>
      <c r="G95" s="745"/>
    </row>
    <row r="96" spans="1:7" x14ac:dyDescent="0.2">
      <c r="A96" s="741" t="s">
        <v>139</v>
      </c>
      <c r="B96" s="741" t="s">
        <v>174</v>
      </c>
      <c r="C96" s="743">
        <v>1700</v>
      </c>
      <c r="D96" s="751" t="str">
        <f>'Revenues 9-14'!A82</f>
        <v>Total District/School Activity Income</v>
      </c>
      <c r="E96" s="739"/>
      <c r="F96" s="1793">
        <f>SUM('Revenues 9-14'!C82,'Revenues 9-14'!D82)</f>
        <v>88837</v>
      </c>
      <c r="G96" s="745"/>
    </row>
    <row r="97" spans="1:7" x14ac:dyDescent="0.2">
      <c r="A97" s="741" t="s">
        <v>456</v>
      </c>
      <c r="B97" s="741" t="s">
        <v>175</v>
      </c>
      <c r="C97" s="743">
        <f>'Revenues 9-14'!B84</f>
        <v>1811</v>
      </c>
      <c r="D97" s="744" t="str">
        <f>'Revenues 9-14'!A84</f>
        <v>Rentals - Regular Textbooks</v>
      </c>
      <c r="E97" s="739"/>
      <c r="F97" s="1793">
        <f>'Revenues 9-14'!C84</f>
        <v>62394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2406</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1760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24639</v>
      </c>
      <c r="G105" s="745"/>
    </row>
    <row r="106" spans="1:7" x14ac:dyDescent="0.2">
      <c r="A106" s="741" t="s">
        <v>500</v>
      </c>
      <c r="B106" s="741" t="s">
        <v>1910</v>
      </c>
      <c r="C106" s="746">
        <v>3100</v>
      </c>
      <c r="D106" s="752" t="str">
        <f>'Revenues 9-14'!A132</f>
        <v>Total Special Education</v>
      </c>
      <c r="E106" s="739"/>
      <c r="F106" s="1793">
        <f>SUM('Revenues 9-14'!C132:D132,'Revenues 9-14'!F132)</f>
        <v>45817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602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142766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49695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68114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3749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184338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15226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3760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1793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185761.19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967987.19</v>
      </c>
    </row>
    <row r="176" spans="1:7" ht="12" customHeight="1" x14ac:dyDescent="0.2">
      <c r="A176" s="1443"/>
      <c r="B176" s="1453"/>
      <c r="C176" s="1454"/>
      <c r="D176" s="1455" t="s">
        <v>2014</v>
      </c>
      <c r="E176" s="1456"/>
      <c r="F176" s="1793">
        <f>'PCTC-OEPP 27-28'!F78-F175</f>
        <v>5947818.8100000005</v>
      </c>
    </row>
    <row r="177" spans="1:9" ht="12" customHeight="1" x14ac:dyDescent="0.2">
      <c r="A177" s="1443"/>
      <c r="B177" s="1453"/>
      <c r="C177" s="1454"/>
      <c r="D177" s="1455" t="s">
        <v>1794</v>
      </c>
      <c r="E177" s="1456"/>
      <c r="F177" s="1793">
        <f>'Cap Outlay Deprec 26'!I18</f>
        <v>352752</v>
      </c>
    </row>
    <row r="178" spans="1:9" ht="12" customHeight="1" x14ac:dyDescent="0.2">
      <c r="A178" s="1443"/>
      <c r="B178" s="1453"/>
      <c r="C178" s="1454"/>
      <c r="D178" s="1455" t="s">
        <v>2015</v>
      </c>
      <c r="E178" s="1456"/>
      <c r="F178" s="1793">
        <f>F176+F177</f>
        <v>6300570.8100000005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804.4</v>
      </c>
      <c r="G179" s="763"/>
      <c r="I179" s="701"/>
    </row>
    <row r="180" spans="1:9" ht="12" customHeight="1" thickBot="1" x14ac:dyDescent="0.25">
      <c r="A180" s="1443"/>
      <c r="B180" s="1457"/>
      <c r="C180" s="1454"/>
      <c r="D180" s="1455" t="s">
        <v>2017</v>
      </c>
      <c r="E180" s="1456" t="s">
        <v>1528</v>
      </c>
      <c r="F180" s="1798">
        <f>F178/F179</f>
        <v>7832.6340253605176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0" t="s">
        <v>1795</v>
      </c>
      <c r="B4" s="2401"/>
      <c r="C4" s="2401"/>
      <c r="D4" s="2401"/>
      <c r="E4" s="2401"/>
      <c r="F4" s="2402"/>
    </row>
    <row r="5" spans="1:6" x14ac:dyDescent="0.25">
      <c r="A5" s="2403"/>
      <c r="B5" s="2404"/>
      <c r="C5" s="2404"/>
      <c r="D5" s="2404"/>
      <c r="E5" s="2404"/>
      <c r="F5" s="2405"/>
    </row>
    <row r="6" spans="1:6" ht="18.75" x14ac:dyDescent="0.25">
      <c r="A6" s="1867" t="s">
        <v>1796</v>
      </c>
      <c r="B6" s="1868"/>
      <c r="C6" s="1869"/>
      <c r="D6" s="1869"/>
      <c r="E6" s="1869"/>
      <c r="F6" s="1870"/>
    </row>
    <row r="7" spans="1:6" ht="47.25" customHeight="1" x14ac:dyDescent="0.25">
      <c r="A7" s="2406" t="s">
        <v>1985</v>
      </c>
      <c r="B7" s="2407"/>
      <c r="C7" s="2407"/>
      <c r="D7" s="2407"/>
      <c r="E7" s="2407"/>
      <c r="F7" s="240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9" t="s">
        <v>1981</v>
      </c>
      <c r="B10" s="2410"/>
      <c r="C10" s="2410"/>
      <c r="D10" s="2410"/>
      <c r="E10" s="2410"/>
      <c r="F10" s="2411"/>
    </row>
    <row r="11" spans="1:6" ht="33" customHeight="1" x14ac:dyDescent="0.25">
      <c r="A11" s="2406" t="s">
        <v>1986</v>
      </c>
      <c r="B11" s="2407"/>
      <c r="C11" s="2407"/>
      <c r="D11" s="2407"/>
      <c r="E11" s="2407"/>
      <c r="F11" s="2408"/>
    </row>
    <row r="12" spans="1:6" ht="15" customHeight="1" x14ac:dyDescent="0.25">
      <c r="A12" s="1873" t="s">
        <v>1982</v>
      </c>
      <c r="B12" s="1874"/>
      <c r="C12" s="1875"/>
      <c r="D12" s="1875"/>
      <c r="E12" s="1875"/>
      <c r="F12" s="1876"/>
    </row>
    <row r="13" spans="1:6" ht="17.25" customHeight="1" x14ac:dyDescent="0.25">
      <c r="A13" s="2406" t="s">
        <v>1983</v>
      </c>
      <c r="B13" s="2407"/>
      <c r="C13" s="2407"/>
      <c r="D13" s="2407"/>
      <c r="E13" s="2407"/>
      <c r="F13" s="2408"/>
    </row>
    <row r="14" spans="1:6" ht="15" customHeight="1" x14ac:dyDescent="0.25">
      <c r="A14" s="1873" t="s">
        <v>1800</v>
      </c>
      <c r="B14" s="1874"/>
      <c r="C14" s="1875"/>
      <c r="D14" s="1875"/>
      <c r="E14" s="1875"/>
      <c r="F14" s="1876"/>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7" t="s">
        <v>2098</v>
      </c>
      <c r="B18" s="1908">
        <v>202540300</v>
      </c>
      <c r="C18" s="2058" t="s">
        <v>2099</v>
      </c>
      <c r="D18" s="1886">
        <v>28808</v>
      </c>
      <c r="E18" s="1906" t="str">
        <f t="shared" ref="E18:E81" si="0">IF(D18&lt;25000,D18,"25,000")</f>
        <v>25,000</v>
      </c>
      <c r="F18" s="1906">
        <f t="shared" ref="F18:F81" si="1">IF(D18&gt;=25000,(D18-E18),"0")</f>
        <v>3808</v>
      </c>
      <c r="G18" s="1887"/>
    </row>
    <row r="19" spans="1:7" x14ac:dyDescent="0.25">
      <c r="A19" s="2057" t="s">
        <v>2100</v>
      </c>
      <c r="B19" s="1908">
        <v>402550300</v>
      </c>
      <c r="C19" s="2058" t="s">
        <v>2101</v>
      </c>
      <c r="D19" s="2059">
        <v>247499</v>
      </c>
      <c r="E19" s="1906" t="str">
        <f t="shared" si="0"/>
        <v>25,000</v>
      </c>
      <c r="F19" s="1906">
        <f t="shared" si="1"/>
        <v>222499</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276307</v>
      </c>
      <c r="E142" s="1893">
        <f>SUM(E18:E141)</f>
        <v>0</v>
      </c>
      <c r="F142" s="1894">
        <f>SUM(F18:F141)</f>
        <v>226307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561975</xdr:colOff>
                <xdr:row>6</xdr:row>
                <xdr:rowOff>466725</xdr:rowOff>
              </from>
              <to>
                <xdr:col>5</xdr:col>
                <xdr:colOff>1476375</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2" t="s">
        <v>1660</v>
      </c>
      <c r="B5" s="2413"/>
      <c r="C5" s="2413"/>
      <c r="D5" s="2413"/>
      <c r="E5" s="2413"/>
      <c r="F5" s="2413"/>
      <c r="G5" s="241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70403</v>
      </c>
      <c r="F10" s="805"/>
      <c r="G10" s="806"/>
      <c r="H10" s="157"/>
      <c r="I10" s="157"/>
    </row>
    <row r="11" spans="1:13" s="542"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801">
        <v>20373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4406276</v>
      </c>
      <c r="F19" s="1802"/>
      <c r="G19" s="1804">
        <f>'Expenditures 15-22'!K33-SUM('Expenditures 15-22'!G33,'Expenditures 15-22'!I33)+'Expenditures 15-22'!D229</f>
        <v>4406276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29023</v>
      </c>
      <c r="F21" s="1805"/>
      <c r="G21" s="1808">
        <f>'Expenditures 15-22'!K42-SUM('Expenditures 15-22'!G42,'Expenditures 15-22'!I42)+'Expenditures 15-22'!K120-SUM('Expenditures 15-22'!G120,'Expenditures 15-22'!I120)+'Expenditures 15-22'!K180-SUM('Expenditures 15-22'!G180,'Expenditures 15-22'!I180)+'Expenditures 15-22'!D238</f>
        <v>29023</v>
      </c>
      <c r="H21" s="817"/>
      <c r="I21" s="157"/>
    </row>
    <row r="22" spans="1:9" s="542" customFormat="1" ht="12" customHeight="1" x14ac:dyDescent="0.2">
      <c r="A22" s="824" t="s">
        <v>560</v>
      </c>
      <c r="B22" s="825"/>
      <c r="C22" s="823">
        <v>2200</v>
      </c>
      <c r="D22" s="1805"/>
      <c r="E22" s="1807">
        <f>'Expenditures 15-22'!K47-SUM('Expenditures 15-22'!G47,'Expenditures 15-22'!I47)+'Expenditures 15-22'!D243</f>
        <v>66572</v>
      </c>
      <c r="F22" s="1805"/>
      <c r="G22" s="1808">
        <f>'Expenditures 15-22'!K47-SUM('Expenditures 15-22'!G47,'Expenditures 15-22'!I47)+'Expenditures 15-22'!D243</f>
        <v>66572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364023</v>
      </c>
      <c r="F23" s="1805"/>
      <c r="G23" s="1807">
        <f>'Expenditures 15-22'!K53-SUM('Expenditures 15-22'!G53,'Expenditures 15-22'!I53)+'Expenditures 15-22'!D257+'Expenditures 15-22'!K330-SUM('Expenditures 15-22'!G330,'Expenditures 15-22'!I330)</f>
        <v>364023</v>
      </c>
      <c r="H23" s="817"/>
      <c r="I23" s="157"/>
    </row>
    <row r="24" spans="1:9" s="542" customFormat="1" ht="12" customHeight="1" x14ac:dyDescent="0.2">
      <c r="A24" s="824" t="s">
        <v>562</v>
      </c>
      <c r="B24" s="825"/>
      <c r="C24" s="823">
        <v>2400</v>
      </c>
      <c r="D24" s="1805"/>
      <c r="E24" s="1807">
        <f>'Expenditures 15-22'!K57-SUM('Expenditures 15-22'!G57,'Expenditures 15-22'!I57)+'Expenditures 15-22'!D261</f>
        <v>328436</v>
      </c>
      <c r="F24" s="1805"/>
      <c r="G24" s="1808">
        <f>'Expenditures 15-22'!K57-SUM('Expenditures 15-22'!G57,'Expenditures 15-22'!I57)+'Expenditures 15-22'!D261</f>
        <v>328436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71812</v>
      </c>
      <c r="E27" s="1807">
        <f>E8</f>
        <v>0</v>
      </c>
      <c r="F27" s="1807">
        <f>'Expenditures 15-22'!K60-SUM('Expenditures 15-22'!G60,'Expenditures 15-22'!I60)+'Expenditures 15-22'!D264-E8</f>
        <v>71812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528881</v>
      </c>
      <c r="F28" s="1809">
        <f>'Expenditures 15-22'!K61-SUM('Expenditures 15-22'!G61,'Expenditures 15-22'!I61)+'Expenditures 15-22'!K124-SUM('Expenditures 15-22'!G124,'Expenditures 15-22'!I124)+'Expenditures 15-22'!D266-E9</f>
        <v>528881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618648</v>
      </c>
      <c r="F29" s="1805"/>
      <c r="G29" s="1808">
        <f>'Expenditures 15-22'!K62-SUM('Expenditures 15-22'!G62,'Expenditures 15-22'!I62)+'Expenditures 15-22'!K125-SUM('Expenditures 15-22'!G125,'Expenditures 15-22'!I125)+'Expenditures 15-22'!K182-SUM('Expenditures 15-22'!G182,'Expenditures 15-22'!I182)+'Expenditures 15-22'!D267</f>
        <v>618648</v>
      </c>
      <c r="H29" s="815"/>
    </row>
    <row r="30" spans="1:9" ht="12" customHeight="1" x14ac:dyDescent="0.2">
      <c r="A30" s="824" t="s">
        <v>100</v>
      </c>
      <c r="B30" s="827"/>
      <c r="C30" s="823">
        <v>2560</v>
      </c>
      <c r="D30" s="1805"/>
      <c r="E30" s="1807">
        <f>'Expenditures 15-22'!K63-SUM('Expenditures 15-22'!G63,'Expenditures 15-22'!I63)+'Expenditures 15-22'!D268-E10</f>
        <v>146263</v>
      </c>
      <c r="F30" s="1805"/>
      <c r="G30" s="1807">
        <f>'Expenditures 15-22'!K63-SUM('Expenditures 15-22'!G63,'Expenditures 15-22'!I63)+'Expenditures 15-22'!D268-E10</f>
        <v>146263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58401</v>
      </c>
      <c r="F38" s="1805"/>
      <c r="G38" s="1807">
        <f>'Expenditures 15-22'!K73-SUM('Expenditures 15-22'!G73,'Expenditures 15-22'!I73)+'Expenditures 15-22'!K128-SUM('Expenditures 15-22'!G128,'Expenditures 15-22'!I128)+'Expenditures 15-22'!K183-SUM('Expenditures 15-22'!G183,'Expenditures 15-22'!I183)+'Expenditures 15-22'!D278</f>
        <v>58401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5370</v>
      </c>
      <c r="F39" s="1805"/>
      <c r="G39" s="1807">
        <f>'Expenditures 15-22'!K75-SUM('Expenditures 15-22'!G75,'Expenditures 15-22'!I75)+'Expenditures 15-22'!K130-SUM('Expenditures 15-22'!G130,'Expenditures 15-22'!I130)+'Expenditures 15-22'!K185-SUM('Expenditures 15-22'!G185,'Expenditures 15-22'!I185)+'Expenditures 15-22'!D280</f>
        <v>5370</v>
      </c>
    </row>
    <row r="40" spans="1:7" ht="12" customHeight="1" x14ac:dyDescent="0.2">
      <c r="A40" s="820" t="s">
        <v>1798</v>
      </c>
      <c r="B40" s="821"/>
      <c r="C40" s="823"/>
      <c r="D40" s="1805"/>
      <c r="E40" s="1809">
        <f>-'Contracts Paid in CY 29'!F142</f>
        <v>-226307</v>
      </c>
      <c r="F40" s="1805"/>
      <c r="G40" s="1809">
        <f>-'Contracts Paid in CY 29'!F142</f>
        <v>-226307</v>
      </c>
    </row>
    <row r="41" spans="1:7" ht="12" customHeight="1" x14ac:dyDescent="0.2">
      <c r="A41" s="828" t="s">
        <v>155</v>
      </c>
      <c r="B41" s="829"/>
      <c r="C41" s="830"/>
      <c r="D41" s="1809">
        <f>SUM(D19:D39)</f>
        <v>71812</v>
      </c>
      <c r="E41" s="1809">
        <f>SUM(E19:E40)</f>
        <v>6325586</v>
      </c>
      <c r="F41" s="1809">
        <f>SUM(F19:F39)</f>
        <v>600693</v>
      </c>
      <c r="G41" s="1809">
        <f>SUM(G19:G40)</f>
        <v>5796705</v>
      </c>
    </row>
    <row r="42" spans="1:7" x14ac:dyDescent="0.2">
      <c r="A42" s="817"/>
      <c r="B42" s="157"/>
      <c r="C42" s="831"/>
      <c r="D42" s="2415" t="s">
        <v>519</v>
      </c>
      <c r="E42" s="2416"/>
      <c r="F42" s="832" t="s">
        <v>520</v>
      </c>
      <c r="G42" s="833"/>
    </row>
    <row r="43" spans="1:7" ht="12" customHeight="1" x14ac:dyDescent="0.2">
      <c r="A43" s="817"/>
      <c r="B43" s="157"/>
      <c r="C43" s="831"/>
      <c r="D43" s="1458" t="s">
        <v>470</v>
      </c>
      <c r="E43" s="1810">
        <f>D41</f>
        <v>71812</v>
      </c>
      <c r="F43" s="1458" t="s">
        <v>470</v>
      </c>
      <c r="G43" s="1810">
        <f>F41</f>
        <v>600693</v>
      </c>
    </row>
    <row r="44" spans="1:7" ht="12" customHeight="1" x14ac:dyDescent="0.2">
      <c r="A44" s="817"/>
      <c r="B44" s="157"/>
      <c r="C44" s="831"/>
      <c r="D44" s="1458" t="s">
        <v>471</v>
      </c>
      <c r="E44" s="1810">
        <f>E41</f>
        <v>6325586</v>
      </c>
      <c r="F44" s="1458" t="s">
        <v>471</v>
      </c>
      <c r="G44" s="1810">
        <f>G41</f>
        <v>5796705</v>
      </c>
    </row>
    <row r="45" spans="1:7" ht="12" customHeight="1" x14ac:dyDescent="0.2">
      <c r="A45" s="817"/>
      <c r="B45" s="157"/>
      <c r="C45" s="157"/>
      <c r="D45" s="1459" t="s">
        <v>999</v>
      </c>
      <c r="E45" s="1811">
        <f>(E43/E44)</f>
        <v>1.1352624088898641E-2</v>
      </c>
      <c r="F45" s="1459" t="s">
        <v>999</v>
      </c>
      <c r="G45" s="1811">
        <f>(G43/G44)</f>
        <v>0.10362662926610894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34" t="s">
        <v>1363</v>
      </c>
      <c r="B1" s="2434"/>
      <c r="C1" s="2434"/>
      <c r="D1" s="2434"/>
      <c r="E1" s="2434"/>
      <c r="F1" s="243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5" t="s">
        <v>1529</v>
      </c>
      <c r="B5" s="2436"/>
      <c r="C5" s="2437"/>
      <c r="D5" s="2437"/>
      <c r="E5" s="2437"/>
      <c r="F5" s="2437"/>
      <c r="G5" s="1507"/>
      <c r="L5" s="1507"/>
      <c r="M5" s="1855"/>
      <c r="N5" s="1855"/>
      <c r="O5" s="1855"/>
    </row>
    <row r="6" spans="1:15" ht="12" customHeight="1" x14ac:dyDescent="0.25">
      <c r="A6" s="1480"/>
      <c r="B6" s="1481"/>
      <c r="C6" s="2438" t="str">
        <f>COVER!A17</f>
        <v xml:space="preserve"> Metamora CCSD 1</v>
      </c>
      <c r="D6" s="2438"/>
      <c r="E6" s="2438"/>
      <c r="F6" s="1482"/>
      <c r="G6" s="1507"/>
      <c r="L6" s="1507"/>
      <c r="M6" s="1855"/>
      <c r="N6" s="1855"/>
      <c r="O6" s="1855"/>
    </row>
    <row r="7" spans="1:15" ht="11.25" customHeight="1" thickBot="1" x14ac:dyDescent="0.3">
      <c r="A7" s="1480"/>
      <c r="B7" s="1481"/>
      <c r="C7" s="2439">
        <f>COVER!A13</f>
        <v>53102001004</v>
      </c>
      <c r="D7" s="2439"/>
      <c r="E7" s="243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2102</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2103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2104</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2106</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40"/>
      <c r="D35" s="2440"/>
      <c r="E35" s="2440"/>
      <c r="F35" s="2441"/>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26"/>
      <c r="B38" s="2427"/>
      <c r="C38" s="2427"/>
      <c r="D38" s="2427"/>
      <c r="E38" s="2427"/>
      <c r="F38" s="2428"/>
    </row>
    <row r="39" spans="1:15" ht="4.5" hidden="1" customHeight="1" x14ac:dyDescent="0.2">
      <c r="A39" s="1502"/>
      <c r="B39" s="1502"/>
      <c r="C39" s="1502"/>
      <c r="D39" s="1502"/>
      <c r="E39" s="1502"/>
      <c r="F39" s="1502"/>
    </row>
    <row r="40" spans="1:15" s="1499" customFormat="1" ht="12" customHeight="1" x14ac:dyDescent="0.25">
      <c r="A40" s="1503" t="s">
        <v>1375</v>
      </c>
      <c r="B40" s="1504"/>
      <c r="C40" s="2429"/>
      <c r="D40" s="2429"/>
      <c r="E40" s="2429"/>
      <c r="F40" s="2430"/>
      <c r="H40" s="1508"/>
      <c r="I40" s="1508"/>
      <c r="J40" s="1508"/>
      <c r="K40" s="1508"/>
    </row>
    <row r="41" spans="1:15" s="1499" customFormat="1" ht="12" customHeight="1" x14ac:dyDescent="0.25">
      <c r="A41" s="2431"/>
      <c r="B41" s="2432"/>
      <c r="C41" s="2432"/>
      <c r="D41" s="2432"/>
      <c r="E41" s="2432"/>
      <c r="F41" s="2433"/>
      <c r="H41" s="1508"/>
      <c r="I41" s="1508"/>
      <c r="J41" s="1508"/>
      <c r="K41" s="1508"/>
    </row>
    <row r="42" spans="1:15" s="1499" customFormat="1" ht="12" customHeight="1" x14ac:dyDescent="0.25">
      <c r="A42" s="2431"/>
      <c r="B42" s="2432"/>
      <c r="C42" s="2432"/>
      <c r="D42" s="2432"/>
      <c r="E42" s="2432"/>
      <c r="F42" s="2433"/>
      <c r="H42" s="1508"/>
      <c r="I42" s="1508"/>
      <c r="J42" s="1508"/>
      <c r="K42" s="1508"/>
    </row>
    <row r="43" spans="1:15" s="1499" customFormat="1" ht="15" x14ac:dyDescent="0.25">
      <c r="A43" s="2420"/>
      <c r="B43" s="2421"/>
      <c r="C43" s="2421"/>
      <c r="D43" s="2421"/>
      <c r="E43" s="2421"/>
      <c r="F43" s="2422"/>
      <c r="H43" s="1508"/>
      <c r="I43" s="1508"/>
      <c r="J43" s="1508"/>
      <c r="K43" s="1508"/>
    </row>
    <row r="44" spans="1:15" s="1499" customFormat="1" ht="12" hidden="1" customHeight="1" x14ac:dyDescent="0.25">
      <c r="A44" s="2420"/>
      <c r="B44" s="2421"/>
      <c r="C44" s="2421"/>
      <c r="D44" s="2421"/>
      <c r="E44" s="2421"/>
      <c r="F44" s="242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0" t="str">
        <f>COVER!A17</f>
        <v xml:space="preserve"> Metamora CCSD 1</v>
      </c>
      <c r="K6" s="2460"/>
      <c r="L6" s="2474"/>
      <c r="M6" s="838"/>
      <c r="N6" s="1998"/>
    </row>
    <row r="7" spans="1:14" x14ac:dyDescent="0.2">
      <c r="A7" s="2475" t="s">
        <v>864</v>
      </c>
      <c r="B7" s="2476"/>
      <c r="C7" s="2476"/>
      <c r="D7" s="2476"/>
      <c r="E7" s="2477"/>
      <c r="F7" s="839"/>
      <c r="G7" s="838"/>
      <c r="H7" s="838"/>
      <c r="I7" s="1924" t="s">
        <v>369</v>
      </c>
      <c r="J7" s="2462">
        <f>COVER!A13</f>
        <v>53102001004</v>
      </c>
      <c r="K7" s="2462"/>
      <c r="L7" s="2462"/>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8" t="s">
        <v>478</v>
      </c>
      <c r="B11" s="2479"/>
      <c r="C11" s="2480"/>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176767</v>
      </c>
      <c r="F12" s="1942"/>
      <c r="G12" s="1968">
        <f>G68</f>
        <v>0</v>
      </c>
      <c r="H12" s="1944">
        <f t="shared" ref="H12:H18" si="0">SUM(E12:G12)</f>
        <v>176767</v>
      </c>
      <c r="I12" s="1943">
        <v>188752</v>
      </c>
      <c r="J12" s="1942"/>
      <c r="K12" s="1943"/>
      <c r="L12" s="1944">
        <f t="shared" ref="L12:L18" si="1">SUM(I12:K12)</f>
        <v>188752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81" t="s">
        <v>7</v>
      </c>
      <c r="C18" s="2482"/>
      <c r="D18" s="248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176767</v>
      </c>
      <c r="F19" s="1950">
        <f t="shared" si="2"/>
        <v>0</v>
      </c>
      <c r="G19" s="1950">
        <f t="shared" ref="G19" si="3">SUM(G12:G17)-G18</f>
        <v>0</v>
      </c>
      <c r="H19" s="1950">
        <f t="shared" si="2"/>
        <v>176767</v>
      </c>
      <c r="I19" s="1950">
        <f t="shared" si="2"/>
        <v>188752</v>
      </c>
      <c r="J19" s="1950">
        <f t="shared" si="2"/>
        <v>0</v>
      </c>
      <c r="K19" s="1950">
        <f t="shared" si="2"/>
        <v>0</v>
      </c>
      <c r="L19" s="1950">
        <f t="shared" si="2"/>
        <v>188752</v>
      </c>
      <c r="M19" s="838"/>
      <c r="N19" s="1998"/>
    </row>
    <row r="20" spans="1:14" ht="13.5" thickTop="1" x14ac:dyDescent="0.2">
      <c r="A20" s="2003">
        <v>9</v>
      </c>
      <c r="B20" s="2484" t="s">
        <v>2021</v>
      </c>
      <c r="C20" s="2484"/>
      <c r="D20" s="2485"/>
      <c r="E20" s="1951"/>
      <c r="F20" s="1951"/>
      <c r="G20" s="1951"/>
      <c r="H20" s="1951"/>
      <c r="I20" s="1951"/>
      <c r="J20" s="1951"/>
      <c r="K20" s="1951"/>
      <c r="L20" s="1952">
        <f>IF(AND(H19&gt;0,L19&gt;0),(((L19-H19)/H19)),"Enter Budget Data")</f>
        <v>6.7801116724275454E-2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6"/>
      <c r="D27" s="2486"/>
      <c r="E27" s="843"/>
      <c r="F27" s="2487"/>
      <c r="G27" s="2487"/>
      <c r="H27" s="2487"/>
      <c r="I27" s="838"/>
      <c r="J27" s="838"/>
      <c r="K27" s="838"/>
      <c r="L27" s="838"/>
      <c r="M27" s="838"/>
      <c r="N27" s="1998"/>
    </row>
    <row r="28" spans="1:14" x14ac:dyDescent="0.2">
      <c r="A28" s="1997"/>
      <c r="B28" s="2007"/>
      <c r="C28" s="1957" t="s">
        <v>1026</v>
      </c>
      <c r="D28" s="844"/>
      <c r="E28" s="1958"/>
      <c r="F28" s="2488" t="s">
        <v>1492</v>
      </c>
      <c r="G28" s="2488"/>
      <c r="H28" s="2488"/>
      <c r="I28" s="838"/>
      <c r="J28" s="838"/>
      <c r="K28" s="838"/>
      <c r="L28" s="838"/>
      <c r="M28" s="838"/>
      <c r="N28" s="1998"/>
    </row>
    <row r="29" spans="1:14" x14ac:dyDescent="0.2">
      <c r="A29" s="1997"/>
      <c r="B29" s="2007"/>
      <c r="C29" s="2489"/>
      <c r="D29" s="2489"/>
      <c r="E29" s="845"/>
      <c r="F29" s="2489"/>
      <c r="G29" s="2489"/>
      <c r="H29" s="2489"/>
      <c r="I29" s="838"/>
      <c r="J29" s="838"/>
      <c r="K29" s="838"/>
      <c r="L29" s="838"/>
      <c r="M29" s="838"/>
      <c r="N29" s="1998"/>
    </row>
    <row r="30" spans="1:14" x14ac:dyDescent="0.2">
      <c r="A30" s="1997"/>
      <c r="B30" s="2007"/>
      <c r="C30" s="1960" t="s">
        <v>1544</v>
      </c>
      <c r="D30" s="838"/>
      <c r="E30" s="1959"/>
      <c r="F30" s="2473" t="s">
        <v>1493</v>
      </c>
      <c r="G30" s="2473"/>
      <c r="H30" s="2473"/>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0" t="s">
        <v>2024</v>
      </c>
      <c r="D34" s="2451"/>
      <c r="E34" s="2451"/>
      <c r="F34" s="2451"/>
      <c r="G34" s="2451"/>
      <c r="H34" s="2451"/>
      <c r="I34" s="2451"/>
      <c r="J34" s="2451"/>
      <c r="K34" s="2016"/>
      <c r="L34" s="838"/>
      <c r="M34" s="838"/>
      <c r="N34" s="1998"/>
    </row>
    <row r="35" spans="1:14" x14ac:dyDescent="0.2">
      <c r="A35" s="1997"/>
      <c r="B35" s="838"/>
      <c r="C35" s="2451"/>
      <c r="D35" s="2451"/>
      <c r="E35" s="2451"/>
      <c r="F35" s="2451"/>
      <c r="G35" s="2451"/>
      <c r="H35" s="2451"/>
      <c r="I35" s="2451"/>
      <c r="J35" s="245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0" t="s">
        <v>2025</v>
      </c>
      <c r="D37" s="2451"/>
      <c r="E37" s="2451"/>
      <c r="F37" s="2451"/>
      <c r="G37" s="2451"/>
      <c r="H37" s="2451"/>
      <c r="I37" s="2451"/>
      <c r="J37" s="2451"/>
      <c r="K37" s="2016"/>
      <c r="L37" s="2018"/>
      <c r="M37" s="838"/>
      <c r="N37" s="1998"/>
    </row>
    <row r="38" spans="1:14" x14ac:dyDescent="0.2">
      <c r="A38" s="1997"/>
      <c r="B38" s="838"/>
      <c r="C38" s="2451"/>
      <c r="D38" s="2451"/>
      <c r="E38" s="2451"/>
      <c r="F38" s="2451"/>
      <c r="G38" s="2451"/>
      <c r="H38" s="2451"/>
      <c r="I38" s="2451"/>
      <c r="J38" s="245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2051</v>
      </c>
      <c r="C40" s="2452" t="s">
        <v>2026</v>
      </c>
      <c r="D40" s="2453"/>
      <c r="E40" s="2453"/>
      <c r="F40" s="2453"/>
      <c r="G40" s="2453"/>
      <c r="H40" s="2453"/>
      <c r="I40" s="2453"/>
      <c r="J40" s="245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4" t="s">
        <v>2027</v>
      </c>
      <c r="B43" s="2455"/>
      <c r="C43" s="2455"/>
      <c r="D43" s="2455"/>
      <c r="E43" s="2455"/>
      <c r="F43" s="2455"/>
      <c r="G43" s="2455"/>
      <c r="H43" s="2455"/>
      <c r="I43" s="2455"/>
      <c r="J43" s="2455"/>
      <c r="K43" s="2455"/>
      <c r="L43" s="2455"/>
      <c r="M43" s="2455"/>
      <c r="N43" s="245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7" t="s">
        <v>2029</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0" t="str">
        <f>J6</f>
        <v xml:space="preserve"> Metamora CCSD 1</v>
      </c>
      <c r="M52" s="2460"/>
      <c r="N52" s="2461"/>
    </row>
    <row r="53" spans="1:14" x14ac:dyDescent="0.2">
      <c r="A53" s="1982"/>
      <c r="B53" s="1983"/>
      <c r="C53" s="1983"/>
      <c r="D53" s="1983"/>
      <c r="E53" s="1983"/>
      <c r="F53" s="1983"/>
      <c r="G53" s="1983"/>
      <c r="H53" s="1983"/>
      <c r="I53" s="1983"/>
      <c r="J53" s="1983"/>
      <c r="K53" s="1924" t="s">
        <v>369</v>
      </c>
      <c r="L53" s="2462">
        <f>J7</f>
        <v>53102001004</v>
      </c>
      <c r="M53" s="2462"/>
      <c r="N53" s="246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4"/>
      <c r="B55" s="2465"/>
      <c r="C55" s="2465"/>
      <c r="D55" s="1970"/>
      <c r="E55" s="1970"/>
      <c r="F55" s="1970"/>
      <c r="G55" s="2466" t="s">
        <v>2030</v>
      </c>
      <c r="H55" s="2466"/>
      <c r="I55" s="2466"/>
      <c r="J55" s="2466"/>
      <c r="K55" s="2466"/>
      <c r="L55" s="2466"/>
      <c r="M55" s="2466"/>
      <c r="N55" s="2467"/>
    </row>
    <row r="56" spans="1:14" ht="63.75" x14ac:dyDescent="0.2">
      <c r="A56" s="2468" t="s">
        <v>2031</v>
      </c>
      <c r="B56" s="2469"/>
      <c r="C56" s="2470"/>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1" t="s">
        <v>296</v>
      </c>
      <c r="B57" s="2472"/>
      <c r="C57" s="247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8" t="s">
        <v>2041</v>
      </c>
      <c r="B58" s="2449"/>
      <c r="C58" s="2449"/>
      <c r="D58" s="1967">
        <v>2362</v>
      </c>
      <c r="E58" s="1977">
        <f>'Expenditures 15-22'!K320</f>
        <v>41491</v>
      </c>
      <c r="F58" s="1972"/>
      <c r="G58" s="2031"/>
      <c r="H58" s="2032"/>
      <c r="I58" s="2032"/>
      <c r="J58" s="2032"/>
      <c r="K58" s="2032"/>
      <c r="L58" s="2032"/>
      <c r="M58" s="2032">
        <v>41491</v>
      </c>
      <c r="N58" s="1975">
        <f>IF((SUM(G58:M58))=E58,SUM(G58:M58),"Column N does not agree with Column E")</f>
        <v>41491</v>
      </c>
    </row>
    <row r="59" spans="1:14" ht="24.75" customHeight="1" x14ac:dyDescent="0.2">
      <c r="A59" s="2442" t="s">
        <v>297</v>
      </c>
      <c r="B59" s="2443"/>
      <c r="C59" s="2443"/>
      <c r="D59" s="1967">
        <v>2363</v>
      </c>
      <c r="E59" s="1977">
        <f>'Expenditures 15-22'!K321</f>
        <v>10462</v>
      </c>
      <c r="F59" s="1972"/>
      <c r="G59" s="2031"/>
      <c r="H59" s="2032"/>
      <c r="I59" s="2032"/>
      <c r="J59" s="2032"/>
      <c r="K59" s="2032"/>
      <c r="L59" s="2032"/>
      <c r="M59" s="2032">
        <v>10462</v>
      </c>
      <c r="N59" s="1975">
        <f>IF((SUM(G59:M59))=E59,SUM(G59:M59),"Column N does not agree with Column E")</f>
        <v>10462</v>
      </c>
    </row>
    <row r="60" spans="1:14" ht="24" customHeight="1" x14ac:dyDescent="0.2">
      <c r="A60" s="2442" t="s">
        <v>236</v>
      </c>
      <c r="B60" s="2443"/>
      <c r="C60" s="2443"/>
      <c r="D60" s="1967">
        <v>2364</v>
      </c>
      <c r="E60" s="1977">
        <f>'Expenditures 15-22'!K322</f>
        <v>43000</v>
      </c>
      <c r="F60" s="1972"/>
      <c r="G60" s="2031"/>
      <c r="H60" s="2032"/>
      <c r="I60" s="2032"/>
      <c r="J60" s="2032"/>
      <c r="K60" s="2032"/>
      <c r="L60" s="2032"/>
      <c r="M60" s="2032">
        <v>43000</v>
      </c>
      <c r="N60" s="1975">
        <f t="shared" ref="N60:N67" si="4">IF((SUM(G60:M60))=E60,SUM(G60:M60),"Column N does not agree with Column E")</f>
        <v>43000</v>
      </c>
    </row>
    <row r="61" spans="1:14" ht="24.75" customHeight="1" x14ac:dyDescent="0.2">
      <c r="A61" s="2442" t="s">
        <v>697</v>
      </c>
      <c r="B61" s="2443"/>
      <c r="C61" s="2443"/>
      <c r="D61" s="1967">
        <v>2365</v>
      </c>
      <c r="E61" s="1977">
        <f>'Expenditures 15-22'!K323</f>
        <v>15214</v>
      </c>
      <c r="F61" s="1972"/>
      <c r="G61" s="2031"/>
      <c r="H61" s="2032"/>
      <c r="I61" s="2032"/>
      <c r="J61" s="2032"/>
      <c r="K61" s="2032"/>
      <c r="L61" s="2032"/>
      <c r="M61" s="2032">
        <v>15214</v>
      </c>
      <c r="N61" s="1975">
        <f t="shared" si="4"/>
        <v>15214</v>
      </c>
    </row>
    <row r="62" spans="1:14" ht="24" customHeight="1" x14ac:dyDescent="0.2">
      <c r="A62" s="2442" t="s">
        <v>237</v>
      </c>
      <c r="B62" s="2443"/>
      <c r="C62" s="2443"/>
      <c r="D62" s="1967">
        <v>2366</v>
      </c>
      <c r="E62" s="1977">
        <f>'Expenditures 15-22'!K324</f>
        <v>0</v>
      </c>
      <c r="F62" s="1972"/>
      <c r="G62" s="2031"/>
      <c r="H62" s="2032"/>
      <c r="I62" s="2032"/>
      <c r="J62" s="2032"/>
      <c r="K62" s="2032"/>
      <c r="L62" s="2032"/>
      <c r="M62" s="2032"/>
      <c r="N62" s="1975">
        <f t="shared" si="4"/>
        <v>0</v>
      </c>
    </row>
    <row r="63" spans="1:14" ht="24" customHeight="1" x14ac:dyDescent="0.2">
      <c r="A63" s="2448" t="s">
        <v>1022</v>
      </c>
      <c r="B63" s="2449"/>
      <c r="C63" s="2449"/>
      <c r="D63" s="1967">
        <v>2367</v>
      </c>
      <c r="E63" s="1977">
        <f>'Expenditures 15-22'!K325</f>
        <v>55467</v>
      </c>
      <c r="F63" s="1972"/>
      <c r="G63" s="2031"/>
      <c r="H63" s="2032"/>
      <c r="I63" s="2032"/>
      <c r="J63" s="2032"/>
      <c r="K63" s="2032"/>
      <c r="L63" s="2032"/>
      <c r="M63" s="2032">
        <v>55467</v>
      </c>
      <c r="N63" s="1975">
        <f t="shared" si="4"/>
        <v>55467</v>
      </c>
    </row>
    <row r="64" spans="1:14" ht="24" customHeight="1" x14ac:dyDescent="0.2">
      <c r="A64" s="2442" t="s">
        <v>1023</v>
      </c>
      <c r="B64" s="2443"/>
      <c r="C64" s="2443"/>
      <c r="D64" s="1967">
        <v>2368</v>
      </c>
      <c r="E64" s="1977">
        <f>'Expenditures 15-22'!K326</f>
        <v>0</v>
      </c>
      <c r="F64" s="1972"/>
      <c r="G64" s="2031"/>
      <c r="H64" s="2032"/>
      <c r="I64" s="2032"/>
      <c r="J64" s="2032"/>
      <c r="K64" s="2032"/>
      <c r="L64" s="2032"/>
      <c r="M64" s="2032"/>
      <c r="N64" s="1975">
        <f t="shared" si="4"/>
        <v>0</v>
      </c>
    </row>
    <row r="65" spans="1:14" ht="24" customHeight="1" x14ac:dyDescent="0.2">
      <c r="A65" s="2442" t="s">
        <v>965</v>
      </c>
      <c r="B65" s="2443"/>
      <c r="C65" s="2443"/>
      <c r="D65" s="1967">
        <v>2369</v>
      </c>
      <c r="E65" s="1977">
        <f>'Expenditures 15-22'!K327</f>
        <v>10621</v>
      </c>
      <c r="F65" s="1972"/>
      <c r="G65" s="2031"/>
      <c r="H65" s="2032"/>
      <c r="I65" s="2032"/>
      <c r="J65" s="2032"/>
      <c r="K65" s="2032"/>
      <c r="L65" s="2032"/>
      <c r="M65" s="2032">
        <v>10621</v>
      </c>
      <c r="N65" s="1975">
        <f t="shared" si="4"/>
        <v>10621</v>
      </c>
    </row>
    <row r="66" spans="1:14" ht="24" customHeight="1" x14ac:dyDescent="0.2">
      <c r="A66" s="2442" t="s">
        <v>469</v>
      </c>
      <c r="B66" s="2443"/>
      <c r="C66" s="2443"/>
      <c r="D66" s="1967">
        <v>2371</v>
      </c>
      <c r="E66" s="1977">
        <f>'Expenditures 15-22'!K328</f>
        <v>0</v>
      </c>
      <c r="F66" s="1972"/>
      <c r="G66" s="2031"/>
      <c r="H66" s="2032"/>
      <c r="I66" s="2032"/>
      <c r="J66" s="2032"/>
      <c r="K66" s="2032"/>
      <c r="L66" s="2032"/>
      <c r="M66" s="2032"/>
      <c r="N66" s="1975">
        <f t="shared" si="4"/>
        <v>0</v>
      </c>
    </row>
    <row r="67" spans="1:14" ht="24.75" customHeight="1" x14ac:dyDescent="0.2">
      <c r="A67" s="2444" t="s">
        <v>2042</v>
      </c>
      <c r="B67" s="2445"/>
      <c r="C67" s="2445"/>
      <c r="D67" s="1969">
        <v>2372</v>
      </c>
      <c r="E67" s="1978">
        <f>'Expenditures 15-22'!K329</f>
        <v>0</v>
      </c>
      <c r="F67" s="1972"/>
      <c r="G67" s="2033"/>
      <c r="H67" s="2034"/>
      <c r="I67" s="2034"/>
      <c r="J67" s="2034"/>
      <c r="K67" s="2034"/>
      <c r="L67" s="2034"/>
      <c r="M67" s="2034"/>
      <c r="N67" s="1975">
        <f t="shared" si="4"/>
        <v>0</v>
      </c>
    </row>
    <row r="68" spans="1:14" x14ac:dyDescent="0.2">
      <c r="A68" s="2446" t="s">
        <v>1151</v>
      </c>
      <c r="B68" s="2447"/>
      <c r="C68" s="2447"/>
      <c r="D68" s="1970"/>
      <c r="E68" s="1974">
        <f>SUM(E57:E67)</f>
        <v>176255</v>
      </c>
      <c r="F68" s="1973"/>
      <c r="G68" s="1974">
        <f t="shared" ref="G68:N68" si="5">SUM(G57:G67)</f>
        <v>0</v>
      </c>
      <c r="H68" s="1974">
        <f t="shared" si="5"/>
        <v>0</v>
      </c>
      <c r="I68" s="1974">
        <f t="shared" si="5"/>
        <v>0</v>
      </c>
      <c r="J68" s="1974">
        <f t="shared" si="5"/>
        <v>0</v>
      </c>
      <c r="K68" s="1974">
        <f t="shared" si="5"/>
        <v>0</v>
      </c>
      <c r="L68" s="1974">
        <f t="shared" si="5"/>
        <v>0</v>
      </c>
      <c r="M68" s="1974">
        <f t="shared" si="5"/>
        <v>176255</v>
      </c>
      <c r="N68" s="1988">
        <f t="shared" si="5"/>
        <v>176255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2107</v>
      </c>
    </row>
    <row r="6" spans="1:2" x14ac:dyDescent="0.2">
      <c r="A6" s="847">
        <v>2</v>
      </c>
      <c r="B6" s="307" t="s">
        <v>2110</v>
      </c>
    </row>
    <row r="7" spans="1:2" x14ac:dyDescent="0.2">
      <c r="A7" s="847">
        <v>3</v>
      </c>
      <c r="B7" s="307" t="s">
        <v>2109</v>
      </c>
    </row>
    <row r="8" spans="1:2" x14ac:dyDescent="0.2">
      <c r="A8" s="847">
        <v>4</v>
      </c>
      <c r="B8" s="307" t="s">
        <v>2108</v>
      </c>
    </row>
    <row r="9" spans="1:2" x14ac:dyDescent="0.2">
      <c r="A9" s="847">
        <v>5</v>
      </c>
      <c r="B9" s="307" t="s">
        <v>2111</v>
      </c>
    </row>
    <row r="10" spans="1:2" x14ac:dyDescent="0.2">
      <c r="A10" s="847">
        <v>6</v>
      </c>
      <c r="B10" s="307" t="s">
        <v>2114</v>
      </c>
    </row>
    <row r="11" spans="1:2" x14ac:dyDescent="0.2">
      <c r="A11" s="847">
        <v>7</v>
      </c>
      <c r="B11" s="307" t="s">
        <v>2112</v>
      </c>
    </row>
    <row r="12" spans="1:2" x14ac:dyDescent="0.2">
      <c r="A12" s="847">
        <v>8</v>
      </c>
      <c r="B12" s="307" t="s">
        <v>2113</v>
      </c>
    </row>
    <row r="13" spans="1:2" x14ac:dyDescent="0.2">
      <c r="A13" s="847">
        <v>9</v>
      </c>
      <c r="B13" s="307" t="s">
        <v>2115</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Metamora CCSD 1</v>
      </c>
    </row>
    <row r="65" spans="2:2" x14ac:dyDescent="0.2">
      <c r="B65" s="849">
        <f>COVER!A13</f>
        <v>53102001004</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6" t="s">
        <v>1056</v>
      </c>
      <c r="B35" s="2176"/>
      <c r="C35" s="2176"/>
      <c r="D35" s="2176"/>
      <c r="E35" s="21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3" t="s">
        <v>686</v>
      </c>
      <c r="B40" s="2173"/>
      <c r="C40" s="2173"/>
      <c r="D40" s="2173"/>
      <c r="E40" s="2173"/>
    </row>
    <row r="41" spans="1:5" x14ac:dyDescent="0.2">
      <c r="A41" s="2174" t="s">
        <v>1591</v>
      </c>
      <c r="B41" s="2174"/>
      <c r="C41" s="2174"/>
      <c r="D41" s="2174"/>
      <c r="E41" s="2174"/>
    </row>
    <row r="42" spans="1:5" ht="12.75" customHeight="1" x14ac:dyDescent="0.2">
      <c r="A42" s="2175" t="s">
        <v>1015</v>
      </c>
      <c r="B42" s="2175"/>
      <c r="C42" s="2175"/>
      <c r="D42" s="2175"/>
      <c r="E42" s="217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22" sqref="E2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0" t="s">
        <v>1665</v>
      </c>
      <c r="B18" s="249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1669</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3"/>
      <c r="H2" s="853"/>
    </row>
    <row r="3" spans="1:8" ht="57" customHeight="1" x14ac:dyDescent="0.2">
      <c r="A3" s="2504" t="s">
        <v>1972</v>
      </c>
      <c r="B3" s="2505"/>
      <c r="C3" s="2505"/>
      <c r="D3" s="2505"/>
      <c r="E3" s="2505"/>
      <c r="F3" s="2506"/>
      <c r="G3" s="853"/>
      <c r="H3" s="853"/>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3"/>
      <c r="H4" s="853"/>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3"/>
      <c r="H5" s="853"/>
    </row>
    <row r="6" spans="1:8" s="854" customFormat="1" ht="41.25" customHeight="1" x14ac:dyDescent="0.2">
      <c r="A6" s="2507" t="s">
        <v>1670</v>
      </c>
      <c r="B6" s="2508"/>
      <c r="C6" s="2508"/>
      <c r="D6" s="2508"/>
      <c r="E6" s="2508"/>
      <c r="F6" s="250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5287007</v>
      </c>
      <c r="C8" s="1813">
        <f>'Acct Summary 7-8'!D8</f>
        <v>446547</v>
      </c>
      <c r="D8" s="1813">
        <f>'Acct Summary 7-8'!F8</f>
        <v>367568</v>
      </c>
      <c r="E8" s="1813">
        <f>'Acct Summary 7-8'!I8</f>
        <v>100673</v>
      </c>
      <c r="F8" s="1813">
        <f>SUM(B8:E8)</f>
        <v>6201795</v>
      </c>
    </row>
    <row r="9" spans="1:8" s="858" customFormat="1" ht="14.25" customHeight="1" thickBot="1" x14ac:dyDescent="0.25">
      <c r="A9" s="857" t="s">
        <v>1353</v>
      </c>
      <c r="B9" s="1814">
        <f>'Acct Summary 7-8'!C17</f>
        <v>5829968</v>
      </c>
      <c r="C9" s="1814">
        <f>'Acct Summary 7-8'!D17</f>
        <v>367802</v>
      </c>
      <c r="D9" s="1814">
        <f>'Acct Summary 7-8'!F17</f>
        <v>581689</v>
      </c>
      <c r="E9" s="1813"/>
      <c r="F9" s="1813">
        <f>SUM(B9:E9)</f>
        <v>6779459</v>
      </c>
    </row>
    <row r="10" spans="1:8" s="858" customFormat="1" ht="14.25" thickTop="1" thickBot="1" x14ac:dyDescent="0.25">
      <c r="A10" s="859" t="s">
        <v>1354</v>
      </c>
      <c r="B10" s="1815">
        <f>(B8-B9)</f>
        <v>-542961</v>
      </c>
      <c r="C10" s="1815">
        <f>(C8-C9)</f>
        <v>78745</v>
      </c>
      <c r="D10" s="1815">
        <f>(D8-D9)</f>
        <v>-214121</v>
      </c>
      <c r="E10" s="1814">
        <f>(E8-E9)</f>
        <v>100673</v>
      </c>
      <c r="F10" s="1816">
        <f>SUM(F8-F9)</f>
        <v>-577664</v>
      </c>
    </row>
    <row r="11" spans="1:8" s="858" customFormat="1" ht="14.25" thickTop="1" thickBot="1" x14ac:dyDescent="0.25">
      <c r="A11" s="860" t="s">
        <v>1903</v>
      </c>
      <c r="B11" s="1817">
        <f>'Acct Summary 7-8'!C81</f>
        <v>538923</v>
      </c>
      <c r="C11" s="1817">
        <f>'Acct Summary 7-8'!D81</f>
        <v>268953</v>
      </c>
      <c r="D11" s="1817">
        <f>'Acct Summary 7-8'!F81</f>
        <v>64105</v>
      </c>
      <c r="E11" s="1817">
        <f>'Acct Summary 7-8'!I81</f>
        <v>2009717</v>
      </c>
      <c r="F11" s="1818">
        <f>SUM(B11:E11)</f>
        <v>2881698</v>
      </c>
    </row>
    <row r="12" spans="1:8" ht="16.5" customHeight="1" thickTop="1" x14ac:dyDescent="0.2">
      <c r="A12" s="861"/>
      <c r="B12" s="862"/>
      <c r="C12" s="2495" t="str">
        <f>IF(AND(F10&lt;0,F11&gt;=0,ABS(F10*3)&gt;ABS(F11)),A16,IF(AND(F10&lt;0,F11&gt;0,ABS(F10*3)&lt;=ABS(F11)),A17,IF(AND(F10&lt;0,F11&lt;0),A16,IF(F11=0,A19,A18))))</f>
        <v>Unbalanced -  however, a deficit reduction plan is not required at this time.</v>
      </c>
      <c r="D12" s="2496"/>
      <c r="E12" s="2496"/>
      <c r="F12" s="2497"/>
    </row>
    <row r="13" spans="1:8" ht="19.5" customHeight="1" x14ac:dyDescent="0.2">
      <c r="A13" s="863"/>
      <c r="B13" s="864"/>
      <c r="C13" s="2495"/>
      <c r="D13" s="2496"/>
      <c r="E13" s="2496"/>
      <c r="F13" s="2497"/>
      <c r="H13" s="853"/>
    </row>
    <row r="14" spans="1:8" ht="19.5" customHeight="1" x14ac:dyDescent="0.2">
      <c r="A14" s="863"/>
      <c r="B14" s="864"/>
      <c r="C14" s="2495"/>
      <c r="D14" s="2496"/>
      <c r="E14" s="2496"/>
      <c r="F14" s="2497"/>
      <c r="H14" s="853"/>
    </row>
    <row r="15" spans="1:8" ht="17.25" customHeight="1" x14ac:dyDescent="0.2">
      <c r="A15" s="863"/>
      <c r="B15" s="864"/>
      <c r="C15" s="2498"/>
      <c r="D15" s="2499"/>
      <c r="E15" s="2499"/>
      <c r="F15" s="2500"/>
      <c r="H15" s="853"/>
    </row>
    <row r="16" spans="1:8" s="288" customFormat="1" ht="51.75" hidden="1" customHeight="1" x14ac:dyDescent="0.2">
      <c r="A16" s="2494" t="s">
        <v>1666</v>
      </c>
      <c r="B16" s="2494"/>
      <c r="C16" s="2494"/>
      <c r="D16" s="2494"/>
      <c r="E16" s="249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6" t="s">
        <v>660</v>
      </c>
      <c r="B3" s="2517"/>
      <c r="C3" s="2517"/>
      <c r="D3" s="251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7" t="s">
        <v>1487</v>
      </c>
      <c r="D7" s="252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9" t="s">
        <v>1001</v>
      </c>
      <c r="B15" s="2520"/>
      <c r="C15" s="2520"/>
      <c r="D15" s="2521"/>
    </row>
    <row r="16" spans="1:4" s="542" customFormat="1" ht="24" customHeight="1" x14ac:dyDescent="0.2">
      <c r="A16" s="2522" t="s">
        <v>658</v>
      </c>
      <c r="B16" s="2523"/>
      <c r="C16" s="2523"/>
      <c r="D16" s="252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1" t="s">
        <v>311</v>
      </c>
      <c r="D21" s="2532"/>
    </row>
    <row r="22" spans="1:10" ht="12.75" x14ac:dyDescent="0.2">
      <c r="A22" s="918"/>
      <c r="B22" s="919">
        <v>2</v>
      </c>
      <c r="C22" s="2529" t="s">
        <v>1507</v>
      </c>
      <c r="D22" s="253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3" t="s">
        <v>533</v>
      </c>
      <c r="D43" s="253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5" t="s">
        <v>779</v>
      </c>
      <c r="D56" s="252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5" t="s">
        <v>1674</v>
      </c>
      <c r="D70" s="252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53102001004</v>
      </c>
      <c r="E2" s="1542">
        <v>2020</v>
      </c>
      <c r="F2" s="1542">
        <v>1</v>
      </c>
      <c r="G2" s="1899">
        <v>101000300</v>
      </c>
    </row>
    <row r="3" spans="1:7" ht="15" x14ac:dyDescent="0.25">
      <c r="A3" t="s">
        <v>950</v>
      </c>
      <c r="B3" s="135" t="str">
        <f>COVER!A15</f>
        <v>Woodford</v>
      </c>
      <c r="E3" s="1830" t="s">
        <v>1971</v>
      </c>
      <c r="F3" s="1830" t="s">
        <v>1970</v>
      </c>
      <c r="G3" s="1899">
        <v>101000400</v>
      </c>
    </row>
    <row r="4" spans="1:7" ht="15" x14ac:dyDescent="0.25">
      <c r="A4" t="s">
        <v>1000</v>
      </c>
      <c r="B4" s="135" t="str">
        <f>COVER!A17</f>
        <v xml:space="preserve"> Metamora CCSD 1</v>
      </c>
      <c r="E4" s="1828">
        <v>44119</v>
      </c>
      <c r="F4" s="1829">
        <v>44151</v>
      </c>
      <c r="G4" s="1899">
        <v>101000600</v>
      </c>
    </row>
    <row r="5" spans="1:7" ht="15" x14ac:dyDescent="0.25">
      <c r="A5" t="s">
        <v>699</v>
      </c>
      <c r="B5" s="135" t="str">
        <f>COVER!A38</f>
        <v>Martin Payne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538923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495227</v>
      </c>
      <c r="D92" s="2" t="str">
        <f t="shared" si="0"/>
        <v>Error?</v>
      </c>
      <c r="G92" s="1899">
        <v>102640600</v>
      </c>
    </row>
    <row r="93" spans="1:7" ht="15" x14ac:dyDescent="0.25">
      <c r="A93" s="5">
        <v>32</v>
      </c>
      <c r="B93" s="1832">
        <f>'Assets-Liab 5-6'!C41</f>
        <v>538923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268953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268953</v>
      </c>
      <c r="D123" s="2" t="str">
        <f t="shared" si="0"/>
        <v>Error?</v>
      </c>
      <c r="G123" s="1899">
        <v>203000400</v>
      </c>
    </row>
    <row r="124" spans="1:7" ht="15" x14ac:dyDescent="0.25">
      <c r="A124" s="5">
        <v>63</v>
      </c>
      <c r="B124" s="1832">
        <f>'Assets-Liab 5-6'!D41</f>
        <v>268953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37570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37570</v>
      </c>
      <c r="D140" s="2" t="str">
        <f t="shared" si="1"/>
        <v>Error?</v>
      </c>
    </row>
    <row r="141" spans="1:7" x14ac:dyDescent="0.2">
      <c r="A141" s="5">
        <v>80</v>
      </c>
      <c r="B141" s="1832">
        <f>'Assets-Liab 5-6'!E41</f>
        <v>37570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64105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64105</v>
      </c>
      <c r="D170" s="2" t="str">
        <f t="shared" si="1"/>
        <v>Error?</v>
      </c>
    </row>
    <row r="171" spans="1:4" x14ac:dyDescent="0.2">
      <c r="A171" s="5">
        <v>110</v>
      </c>
      <c r="B171" s="1832">
        <f>'Assets-Liab 5-6'!F41</f>
        <v>64105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268842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150520</v>
      </c>
      <c r="D189" s="2" t="str">
        <f t="shared" si="1"/>
        <v>Error?</v>
      </c>
    </row>
    <row r="190" spans="1:4" x14ac:dyDescent="0.2">
      <c r="A190" s="5">
        <v>129</v>
      </c>
      <c r="B190" s="1832">
        <f>'Assets-Liab 5-6'!G41</f>
        <v>268842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486932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282886</v>
      </c>
      <c r="D212" s="2" t="str">
        <f t="shared" si="2"/>
        <v>Error?</v>
      </c>
    </row>
    <row r="213" spans="1:4" x14ac:dyDescent="0.2">
      <c r="A213" s="12">
        <v>152</v>
      </c>
      <c r="B213" s="1832">
        <f>'Assets-Liab 5-6'!H41</f>
        <v>486932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22721</v>
      </c>
      <c r="D273" s="2" t="str">
        <f t="shared" si="3"/>
        <v>Error?</v>
      </c>
    </row>
    <row r="274" spans="1:4" x14ac:dyDescent="0.2">
      <c r="A274" s="5">
        <v>213</v>
      </c>
      <c r="B274" s="1832">
        <f>'Assets-Liab 5-6'!M17</f>
        <v>14527459</v>
      </c>
      <c r="D274" s="2" t="str">
        <f t="shared" si="3"/>
        <v>Error?</v>
      </c>
    </row>
    <row r="275" spans="1:4" x14ac:dyDescent="0.2">
      <c r="A275" s="5">
        <v>214</v>
      </c>
      <c r="B275" s="1832">
        <f>'Assets-Liab 5-6'!M18</f>
        <v>742601</v>
      </c>
      <c r="D275" s="2" t="str">
        <f t="shared" si="3"/>
        <v>Error?</v>
      </c>
    </row>
    <row r="276" spans="1:4" x14ac:dyDescent="0.2">
      <c r="A276" s="5">
        <v>215</v>
      </c>
      <c r="B276" s="1832">
        <f>'Assets-Liab 5-6'!M19</f>
        <v>1105922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16695204</v>
      </c>
      <c r="C279" s="2" t="s">
        <v>569</v>
      </c>
      <c r="D279" s="2" t="str">
        <f t="shared" si="3"/>
        <v>Error?</v>
      </c>
    </row>
    <row r="280" spans="1:4" x14ac:dyDescent="0.2">
      <c r="A280" s="5">
        <v>219</v>
      </c>
      <c r="B280" s="1832">
        <f>'Assets-Liab 5-6'!M40</f>
        <v>16695204</v>
      </c>
      <c r="D280" s="2" t="str">
        <f t="shared" si="3"/>
        <v>Error?</v>
      </c>
    </row>
    <row r="281" spans="1:4" x14ac:dyDescent="0.2">
      <c r="A281" s="5">
        <v>220</v>
      </c>
      <c r="B281" s="1832">
        <f>'Assets-Liab 5-6'!M41</f>
        <v>16695204</v>
      </c>
      <c r="C281" s="2" t="s">
        <v>569</v>
      </c>
      <c r="D281" s="2" t="str">
        <f t="shared" si="3"/>
        <v>Error?</v>
      </c>
    </row>
    <row r="282" spans="1:4" x14ac:dyDescent="0.2">
      <c r="A282" s="5">
        <v>221</v>
      </c>
      <c r="B282" s="1832">
        <f>'Assets-Liab 5-6'!N21</f>
        <v>37570</v>
      </c>
      <c r="D282" s="2" t="str">
        <f t="shared" si="3"/>
        <v>Error?</v>
      </c>
    </row>
    <row r="283" spans="1:4" x14ac:dyDescent="0.2">
      <c r="A283" s="5">
        <v>222</v>
      </c>
      <c r="B283" s="1832">
        <f>'Assets-Liab 5-6'!N22</f>
        <v>8687430</v>
      </c>
      <c r="D283" s="2" t="str">
        <f t="shared" si="3"/>
        <v>Error?</v>
      </c>
    </row>
    <row r="284" spans="1:4" x14ac:dyDescent="0.2">
      <c r="A284" s="5">
        <v>223</v>
      </c>
      <c r="B284" s="1832">
        <f>'Assets-Liab 5-6'!N23</f>
        <v>8725000</v>
      </c>
      <c r="C284" s="2" t="s">
        <v>569</v>
      </c>
      <c r="D284" s="2" t="str">
        <f t="shared" si="3"/>
        <v>Error?</v>
      </c>
    </row>
    <row r="285" spans="1:4" x14ac:dyDescent="0.2">
      <c r="A285" s="5">
        <v>224</v>
      </c>
      <c r="B285" s="1832">
        <f>'Assets-Liab 5-6'!N36</f>
        <v>8725000</v>
      </c>
      <c r="D285" s="2" t="str">
        <f t="shared" si="3"/>
        <v>Error?</v>
      </c>
    </row>
    <row r="286" spans="1:4" x14ac:dyDescent="0.2">
      <c r="A286" s="10">
        <v>225</v>
      </c>
      <c r="B286" s="1832"/>
      <c r="D286" s="2" t="str">
        <f t="shared" si="3"/>
        <v>OK</v>
      </c>
    </row>
    <row r="287" spans="1:4" x14ac:dyDescent="0.2">
      <c r="A287" s="5">
        <v>226</v>
      </c>
      <c r="B287" s="1832">
        <f>'Assets-Liab 5-6'!N37</f>
        <v>8725000</v>
      </c>
      <c r="C287" s="2" t="s">
        <v>569</v>
      </c>
      <c r="D287" s="2" t="str">
        <f t="shared" si="3"/>
        <v>Error?</v>
      </c>
    </row>
    <row r="288" spans="1:4" x14ac:dyDescent="0.2">
      <c r="A288" s="5">
        <v>227</v>
      </c>
      <c r="B288" s="1832">
        <f>'Assets-Liab 5-6'!N41</f>
        <v>8725000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2620543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54304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3238486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18263</v>
      </c>
      <c r="D726" s="2" t="str">
        <f t="shared" si="10"/>
        <v>Error?</v>
      </c>
    </row>
    <row r="727" spans="1:4" x14ac:dyDescent="0.2">
      <c r="A727" s="5">
        <v>666</v>
      </c>
      <c r="B727" s="1832">
        <f>'Expenditures 15-22'!C42</f>
        <v>18263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16696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16696</v>
      </c>
      <c r="C731" s="2" t="s">
        <v>569</v>
      </c>
      <c r="D731" s="2" t="str">
        <f t="shared" si="10"/>
        <v>Error?</v>
      </c>
    </row>
    <row r="732" spans="1:4" x14ac:dyDescent="0.2">
      <c r="A732" s="5">
        <v>671</v>
      </c>
      <c r="B732" s="1832">
        <f>'Expenditures 15-22'!C49</f>
        <v>1250</v>
      </c>
      <c r="D732" s="2" t="str">
        <f t="shared" si="10"/>
        <v>Error?</v>
      </c>
    </row>
    <row r="733" spans="1:4" x14ac:dyDescent="0.2">
      <c r="A733" s="5">
        <v>672</v>
      </c>
      <c r="B733" s="1832">
        <f>'Expenditures 15-22'!C50</f>
        <v>130811</v>
      </c>
      <c r="D733" s="2" t="str">
        <f t="shared" si="10"/>
        <v>Error?</v>
      </c>
    </row>
    <row r="734" spans="1:4" x14ac:dyDescent="0.2">
      <c r="A734" s="5">
        <v>673</v>
      </c>
      <c r="B734" s="1832">
        <f>'Expenditures 15-22'!C53</f>
        <v>132061</v>
      </c>
      <c r="C734" s="2" t="s">
        <v>569</v>
      </c>
      <c r="D734" s="2" t="str">
        <f t="shared" si="10"/>
        <v>Error?</v>
      </c>
    </row>
    <row r="735" spans="1:4" x14ac:dyDescent="0.2">
      <c r="A735" s="5">
        <v>674</v>
      </c>
      <c r="B735" s="1832">
        <f>'Expenditures 15-22'!C55</f>
        <v>213709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213709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46500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109546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156046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47800</v>
      </c>
      <c r="D754" s="2" t="str">
        <f t="shared" si="10"/>
        <v>Error?</v>
      </c>
    </row>
    <row r="755" spans="1:4" x14ac:dyDescent="0.2">
      <c r="A755" s="5">
        <v>694</v>
      </c>
      <c r="B755" s="1832">
        <f>'Expenditures 15-22'!C74</f>
        <v>584575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3823061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577886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8460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691106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2490</v>
      </c>
      <c r="D784" s="2" t="str">
        <f t="shared" si="11"/>
        <v>Error?</v>
      </c>
    </row>
    <row r="785" spans="1:4" x14ac:dyDescent="0.2">
      <c r="A785" s="5">
        <v>724</v>
      </c>
      <c r="B785" s="1832">
        <f>'Expenditures 15-22'!D42</f>
        <v>2490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4765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4765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45361</v>
      </c>
      <c r="D791" s="2" t="str">
        <f t="shared" si="11"/>
        <v>Error?</v>
      </c>
    </row>
    <row r="792" spans="1:4" x14ac:dyDescent="0.2">
      <c r="A792" s="5">
        <v>731</v>
      </c>
      <c r="B792" s="1832">
        <f>'Expenditures 15-22'!D53</f>
        <v>45361</v>
      </c>
      <c r="C792" s="2" t="s">
        <v>569</v>
      </c>
      <c r="D792" s="2" t="str">
        <f t="shared" si="11"/>
        <v>Error?</v>
      </c>
    </row>
    <row r="793" spans="1:4" x14ac:dyDescent="0.2">
      <c r="A793" s="5">
        <v>732</v>
      </c>
      <c r="B793" s="1832">
        <f>'Expenditures 15-22'!D55</f>
        <v>96382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96382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6036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13702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19738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168736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859842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48270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17722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67894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2183</v>
      </c>
      <c r="D838" s="2" t="str">
        <f t="shared" si="12"/>
        <v>Error?</v>
      </c>
    </row>
    <row r="839" spans="1:4" x14ac:dyDescent="0.2">
      <c r="A839" s="5">
        <v>778</v>
      </c>
      <c r="B839" s="1832">
        <f>'Expenditures 15-22'!E38</f>
        <v>1400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532</v>
      </c>
      <c r="D842" s="2" t="str">
        <f t="shared" si="12"/>
        <v>Error?</v>
      </c>
    </row>
    <row r="843" spans="1:4" x14ac:dyDescent="0.2">
      <c r="A843" s="5">
        <v>782</v>
      </c>
      <c r="B843" s="1832">
        <f>'Expenditures 15-22'!E42</f>
        <v>4115</v>
      </c>
      <c r="C843" s="2" t="s">
        <v>569</v>
      </c>
      <c r="D843" s="2" t="str">
        <f t="shared" si="12"/>
        <v>Error?</v>
      </c>
    </row>
    <row r="844" spans="1:4" x14ac:dyDescent="0.2">
      <c r="A844" s="5">
        <v>783</v>
      </c>
      <c r="B844" s="1832">
        <f>'Expenditures 15-22'!E44</f>
        <v>27160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27160</v>
      </c>
      <c r="C847" s="2" t="s">
        <v>569</v>
      </c>
      <c r="D847" s="2" t="str">
        <f t="shared" si="12"/>
        <v>Error?</v>
      </c>
    </row>
    <row r="848" spans="1:4" x14ac:dyDescent="0.2">
      <c r="A848" s="5">
        <v>787</v>
      </c>
      <c r="B848" s="1832">
        <f>'Expenditures 15-22'!E49</f>
        <v>38509</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38509</v>
      </c>
      <c r="C850" s="2" t="s">
        <v>569</v>
      </c>
      <c r="D850" s="2" t="str">
        <f t="shared" si="12"/>
        <v>Error?</v>
      </c>
    </row>
    <row r="851" spans="1:4" x14ac:dyDescent="0.2">
      <c r="A851" s="5">
        <v>790</v>
      </c>
      <c r="B851" s="1832">
        <f>'Expenditures 15-22'!E55</f>
        <v>2435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2435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9820</v>
      </c>
      <c r="D855" s="2" t="str">
        <f t="shared" si="12"/>
        <v>Error?</v>
      </c>
    </row>
    <row r="856" spans="1:4" x14ac:dyDescent="0.2">
      <c r="A856" s="5">
        <v>795</v>
      </c>
      <c r="B856" s="1832">
        <f>'Expenditures 15-22'!E61</f>
        <v>15810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2691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28321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100540</v>
      </c>
      <c r="C871" s="2" t="s">
        <v>569</v>
      </c>
      <c r="D871" s="2" t="str">
        <f t="shared" si="12"/>
        <v>Error?</v>
      </c>
    </row>
    <row r="872" spans="1:4" x14ac:dyDescent="0.2">
      <c r="A872" s="5">
        <v>811</v>
      </c>
      <c r="B872" s="1832">
        <f>'Expenditures 15-22'!E75</f>
        <v>4675</v>
      </c>
      <c r="D872" s="2" t="str">
        <f t="shared" si="12"/>
        <v>Error?</v>
      </c>
    </row>
    <row r="873" spans="1:4" x14ac:dyDescent="0.2">
      <c r="A873" s="5">
        <v>812</v>
      </c>
      <c r="B873" s="1832">
        <f>'Expenditures 15-22'!E114</f>
        <v>492876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216819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11009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234102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144</v>
      </c>
      <c r="D900" s="2" t="str">
        <f t="shared" si="13"/>
        <v>Error?</v>
      </c>
    </row>
    <row r="901" spans="1:4" x14ac:dyDescent="0.2">
      <c r="A901" s="5">
        <v>840</v>
      </c>
      <c r="B901" s="1832">
        <f>'Expenditures 15-22'!F42</f>
        <v>144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1011</v>
      </c>
      <c r="D903" s="2" t="str">
        <f t="shared" si="13"/>
        <v>Error?</v>
      </c>
    </row>
    <row r="904" spans="1:4" x14ac:dyDescent="0.2">
      <c r="A904" s="5">
        <v>843</v>
      </c>
      <c r="B904" s="1832">
        <f>'Expenditures 15-22'!F46</f>
        <v>14067</v>
      </c>
      <c r="D904" s="2" t="str">
        <f t="shared" si="13"/>
        <v>Error?</v>
      </c>
    </row>
    <row r="905" spans="1:4" x14ac:dyDescent="0.2">
      <c r="A905" s="5">
        <v>844</v>
      </c>
      <c r="B905" s="1832">
        <f>'Expenditures 15-22'!F47</f>
        <v>15078</v>
      </c>
      <c r="C905" s="2" t="s">
        <v>569</v>
      </c>
      <c r="D905" s="2" t="str">
        <f t="shared" si="13"/>
        <v>Error?</v>
      </c>
    </row>
    <row r="906" spans="1:4" x14ac:dyDescent="0.2">
      <c r="A906" s="5">
        <v>845</v>
      </c>
      <c r="B906" s="1832">
        <f>'Expenditures 15-22'!F49</f>
        <v>803</v>
      </c>
      <c r="D906" s="2" t="str">
        <f t="shared" si="13"/>
        <v>Error?</v>
      </c>
    </row>
    <row r="907" spans="1:4" x14ac:dyDescent="0.2">
      <c r="A907" s="5">
        <v>846</v>
      </c>
      <c r="B907" s="1832">
        <f>'Expenditures 15-22'!F50</f>
        <v>595</v>
      </c>
      <c r="D907" s="2" t="str">
        <f t="shared" si="13"/>
        <v>Error?</v>
      </c>
    </row>
    <row r="908" spans="1:4" x14ac:dyDescent="0.2">
      <c r="A908" s="5">
        <v>847</v>
      </c>
      <c r="B908" s="1832">
        <f>'Expenditures 15-22'!F53</f>
        <v>1398</v>
      </c>
      <c r="C908" s="2" t="s">
        <v>569</v>
      </c>
      <c r="D908" s="2" t="str">
        <f t="shared" si="13"/>
        <v>Error?</v>
      </c>
    </row>
    <row r="909" spans="1:4" x14ac:dyDescent="0.2">
      <c r="A909" s="5">
        <v>848</v>
      </c>
      <c r="B909" s="1832">
        <f>'Expenditures 15-22'!F55</f>
        <v>1981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1981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1102</v>
      </c>
      <c r="D913" s="2" t="str">
        <f t="shared" si="13"/>
        <v>Error?</v>
      </c>
    </row>
    <row r="914" spans="1:4" x14ac:dyDescent="0.2">
      <c r="A914" s="5">
        <v>853</v>
      </c>
      <c r="B914" s="1832">
        <f>'Expenditures 15-22'!F61</f>
        <v>111941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73424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186467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5694</v>
      </c>
      <c r="D928" s="2" t="str">
        <f t="shared" si="13"/>
        <v>Error?</v>
      </c>
    </row>
    <row r="929" spans="1:4" x14ac:dyDescent="0.2">
      <c r="A929" s="5">
        <v>868</v>
      </c>
      <c r="B929" s="1832">
        <f>'Expenditures 15-22'!F74</f>
        <v>210762</v>
      </c>
      <c r="C929" s="2" t="s">
        <v>569</v>
      </c>
      <c r="D929" s="2" t="str">
        <f t="shared" si="13"/>
        <v>Error?</v>
      </c>
    </row>
    <row r="930" spans="1:4" x14ac:dyDescent="0.2">
      <c r="A930" s="5">
        <v>869</v>
      </c>
      <c r="B930" s="1832">
        <f>'Expenditures 15-22'!F75</f>
        <v>695</v>
      </c>
      <c r="D930" s="2" t="str">
        <f t="shared" si="13"/>
        <v>Error?</v>
      </c>
    </row>
    <row r="931" spans="1:4" x14ac:dyDescent="0.2">
      <c r="A931" s="5">
        <v>870</v>
      </c>
      <c r="B931" s="1832">
        <f>'Expenditures 15-22'!F114</f>
        <v>445559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3688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3688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3688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1970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72868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9085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9085</v>
      </c>
      <c r="C1024" s="2" t="s">
        <v>569</v>
      </c>
      <c r="D1024" s="2" t="str">
        <f t="shared" si="15"/>
        <v>Error?</v>
      </c>
    </row>
    <row r="1025" spans="1:4" x14ac:dyDescent="0.2">
      <c r="A1025" s="5">
        <v>964</v>
      </c>
      <c r="B1025" s="1832">
        <f>'Expenditures 15-22'!H55</f>
        <v>2329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2329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464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464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11878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120196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204942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3467206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93465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4308144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2183</v>
      </c>
      <c r="C1110" s="2" t="s">
        <v>569</v>
      </c>
      <c r="D1110" s="2" t="str">
        <f t="shared" si="16"/>
        <v>Error?</v>
      </c>
    </row>
    <row r="1111" spans="1:4" x14ac:dyDescent="0.2">
      <c r="A1111" s="5">
        <v>1050</v>
      </c>
      <c r="B1111" s="1832">
        <f>'Expenditures 15-22'!K38</f>
        <v>1400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21429</v>
      </c>
      <c r="C1114" s="2" t="s">
        <v>569</v>
      </c>
      <c r="D1114" s="2" t="str">
        <f t="shared" si="16"/>
        <v>Error?</v>
      </c>
    </row>
    <row r="1115" spans="1:4" x14ac:dyDescent="0.2">
      <c r="A1115" s="5">
        <v>1054</v>
      </c>
      <c r="B1115" s="1832">
        <f>'Expenditures 15-22'!K42</f>
        <v>25012</v>
      </c>
      <c r="C1115" s="2" t="s">
        <v>569</v>
      </c>
      <c r="D1115" s="2" t="str">
        <f t="shared" si="16"/>
        <v>Error?</v>
      </c>
    </row>
    <row r="1116" spans="1:4" x14ac:dyDescent="0.2">
      <c r="A1116" s="5">
        <v>1055</v>
      </c>
      <c r="B1116" s="1832">
        <f>'Expenditures 15-22'!K44</f>
        <v>27160</v>
      </c>
      <c r="C1116" s="2" t="s">
        <v>569</v>
      </c>
      <c r="D1116" s="2" t="str">
        <f t="shared" si="16"/>
        <v>Error?</v>
      </c>
    </row>
    <row r="1117" spans="1:4" x14ac:dyDescent="0.2">
      <c r="A1117" s="5">
        <v>1056</v>
      </c>
      <c r="B1117" s="1832">
        <f>'Expenditures 15-22'!K45</f>
        <v>22472</v>
      </c>
      <c r="C1117" s="2" t="s">
        <v>569</v>
      </c>
      <c r="D1117" s="2" t="str">
        <f t="shared" si="16"/>
        <v>Error?</v>
      </c>
    </row>
    <row r="1118" spans="1:4" x14ac:dyDescent="0.2">
      <c r="A1118" s="5">
        <v>1057</v>
      </c>
      <c r="B1118" s="1832">
        <f>'Expenditures 15-22'!K46</f>
        <v>14067</v>
      </c>
      <c r="C1118" s="2" t="s">
        <v>569</v>
      </c>
      <c r="D1118" s="2" t="str">
        <f t="shared" si="16"/>
        <v>Error?</v>
      </c>
    </row>
    <row r="1119" spans="1:4" x14ac:dyDescent="0.2">
      <c r="A1119" s="5">
        <v>1058</v>
      </c>
      <c r="B1119" s="1832">
        <f>'Expenditures 15-22'!K47</f>
        <v>63699</v>
      </c>
      <c r="C1119" s="2" t="s">
        <v>569</v>
      </c>
      <c r="D1119" s="2" t="str">
        <f t="shared" si="16"/>
        <v>Error?</v>
      </c>
    </row>
    <row r="1120" spans="1:4" x14ac:dyDescent="0.2">
      <c r="A1120" s="5">
        <v>1059</v>
      </c>
      <c r="B1120" s="1832">
        <f>'Expenditures 15-22'!K49</f>
        <v>49647</v>
      </c>
      <c r="C1120" s="2" t="s">
        <v>569</v>
      </c>
      <c r="D1120" s="2" t="str">
        <f t="shared" si="16"/>
        <v>Error?</v>
      </c>
    </row>
    <row r="1121" spans="1:4" x14ac:dyDescent="0.2">
      <c r="A1121" s="5">
        <v>1060</v>
      </c>
      <c r="B1121" s="1832">
        <f>'Expenditures 15-22'!K50</f>
        <v>176767</v>
      </c>
      <c r="C1121" s="2" t="s">
        <v>569</v>
      </c>
      <c r="D1121" s="2" t="str">
        <f t="shared" si="16"/>
        <v>Error?</v>
      </c>
    </row>
    <row r="1122" spans="1:4" x14ac:dyDescent="0.2">
      <c r="A1122" s="5">
        <v>1061</v>
      </c>
      <c r="B1122" s="1832">
        <f>'Expenditures 15-22'!K53</f>
        <v>226414</v>
      </c>
      <c r="C1122" s="2" t="s">
        <v>569</v>
      </c>
      <c r="D1122" s="2" t="str">
        <f t="shared" si="16"/>
        <v>Error?</v>
      </c>
    </row>
    <row r="1123" spans="1:4" x14ac:dyDescent="0.2">
      <c r="A1123" s="5">
        <v>1062</v>
      </c>
      <c r="B1123" s="1832">
        <f>'Expenditures 15-22'!K55</f>
        <v>316836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316836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63458</v>
      </c>
      <c r="C1127" s="2" t="s">
        <v>569</v>
      </c>
      <c r="D1127" s="2" t="str">
        <f t="shared" si="16"/>
        <v>Error?</v>
      </c>
    </row>
    <row r="1128" spans="1:4" x14ac:dyDescent="0.2">
      <c r="A1128" s="5">
        <v>1067</v>
      </c>
      <c r="B1128" s="1832">
        <f>'Expenditures 15-22'!K61</f>
        <v>127751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199827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391036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53494</v>
      </c>
      <c r="C1142" s="2" t="s">
        <v>569</v>
      </c>
      <c r="D1142" s="2" t="str">
        <f t="shared" si="16"/>
        <v>Error?</v>
      </c>
    </row>
    <row r="1143" spans="1:4" x14ac:dyDescent="0.2">
      <c r="A1143" s="5">
        <v>1082</v>
      </c>
      <c r="B1143" s="1832">
        <f>'Expenditures 15-22'!K74</f>
        <v>1076491</v>
      </c>
      <c r="C1143" s="2" t="s">
        <v>569</v>
      </c>
      <c r="D1143" s="2" t="str">
        <f t="shared" si="16"/>
        <v>Error?</v>
      </c>
    </row>
    <row r="1144" spans="1:4" x14ac:dyDescent="0.2">
      <c r="A1144" s="5">
        <v>1083</v>
      </c>
      <c r="B1144" s="1832">
        <f>'Expenditures 15-22'!K75</f>
        <v>5370</v>
      </c>
      <c r="C1144" s="2" t="s">
        <v>569</v>
      </c>
      <c r="D1144" s="2" t="str">
        <f t="shared" si="16"/>
        <v>Error?</v>
      </c>
    </row>
    <row r="1145" spans="1:4" x14ac:dyDescent="0.2">
      <c r="A1145" s="5">
        <v>1084</v>
      </c>
      <c r="B1145" s="1832">
        <f>'Expenditures 15-22'!K102</f>
        <v>439963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5829968</v>
      </c>
      <c r="C1152" s="2" t="s">
        <v>569</v>
      </c>
      <c r="D1152" s="2" t="str">
        <f t="shared" si="17"/>
        <v>Error?</v>
      </c>
    </row>
    <row r="1153" spans="1:4" x14ac:dyDescent="0.2">
      <c r="A1153" s="5">
        <v>1092</v>
      </c>
      <c r="B1153" s="1832">
        <f>'Expenditures 15-22'!K115</f>
        <v>-542961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222361</v>
      </c>
      <c r="D1221" s="2" t="str">
        <f t="shared" si="18"/>
        <v>Error?</v>
      </c>
    </row>
    <row r="1222" spans="1:4" x14ac:dyDescent="0.2">
      <c r="A1222" s="10">
        <v>1161</v>
      </c>
      <c r="B1222" s="1832"/>
      <c r="D1222" s="2" t="str">
        <f t="shared" si="18"/>
        <v>OK</v>
      </c>
    </row>
    <row r="1223" spans="1:4" x14ac:dyDescent="0.2">
      <c r="A1223" s="5">
        <v>1162</v>
      </c>
      <c r="B1223" s="1832">
        <f>'Expenditures 15-22'!C127</f>
        <v>222361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222361</v>
      </c>
      <c r="C1225" s="2" t="s">
        <v>569</v>
      </c>
      <c r="D1225" s="2" t="str">
        <f t="shared" si="18"/>
        <v>Error?</v>
      </c>
    </row>
    <row r="1226" spans="1:4" x14ac:dyDescent="0.2">
      <c r="A1226" s="5">
        <v>1165</v>
      </c>
      <c r="B1226" s="1832">
        <f>'Expenditures 15-22'!C151</f>
        <v>222361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39373</v>
      </c>
      <c r="D1229" s="2" t="str">
        <f t="shared" si="18"/>
        <v>Error?</v>
      </c>
    </row>
    <row r="1230" spans="1:4" x14ac:dyDescent="0.2">
      <c r="A1230" s="10">
        <v>1169</v>
      </c>
      <c r="B1230" s="1832"/>
      <c r="D1230" s="2" t="str">
        <f t="shared" si="18"/>
        <v>OK</v>
      </c>
    </row>
    <row r="1231" spans="1:4" x14ac:dyDescent="0.2">
      <c r="A1231" s="5">
        <v>1170</v>
      </c>
      <c r="B1231" s="1832">
        <f>'Expenditures 15-22'!D127</f>
        <v>39373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39373</v>
      </c>
      <c r="C1233" s="2" t="s">
        <v>569</v>
      </c>
      <c r="D1233" s="2" t="str">
        <f t="shared" si="18"/>
        <v>Error?</v>
      </c>
    </row>
    <row r="1234" spans="1:4" x14ac:dyDescent="0.2">
      <c r="A1234" s="5">
        <v>1173</v>
      </c>
      <c r="B1234" s="1832">
        <f>'Expenditures 15-22'!D151</f>
        <v>39373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73075</v>
      </c>
      <c r="D1237" s="2" t="str">
        <f t="shared" si="18"/>
        <v>Error?</v>
      </c>
    </row>
    <row r="1238" spans="1:4" x14ac:dyDescent="0.2">
      <c r="A1238" s="10">
        <v>1177</v>
      </c>
      <c r="B1238" s="1832"/>
      <c r="D1238" s="2" t="str">
        <f t="shared" si="18"/>
        <v>OK</v>
      </c>
    </row>
    <row r="1239" spans="1:4" x14ac:dyDescent="0.2">
      <c r="A1239" s="5">
        <v>1178</v>
      </c>
      <c r="B1239" s="1832">
        <f>'Expenditures 15-22'!E127</f>
        <v>73075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73075</v>
      </c>
      <c r="C1241" s="2" t="s">
        <v>569</v>
      </c>
      <c r="D1241" s="2" t="str">
        <f t="shared" si="18"/>
        <v>Error?</v>
      </c>
    </row>
    <row r="1242" spans="1:4" x14ac:dyDescent="0.2">
      <c r="A1242" s="5">
        <v>1181</v>
      </c>
      <c r="B1242" s="1832">
        <f>'Expenditures 15-22'!E151</f>
        <v>73075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28808</v>
      </c>
      <c r="D1245" s="2" t="str">
        <f t="shared" si="18"/>
        <v>Error?</v>
      </c>
    </row>
    <row r="1246" spans="1:4" x14ac:dyDescent="0.2">
      <c r="A1246" s="10">
        <v>1185</v>
      </c>
      <c r="B1246" s="1832"/>
      <c r="D1246" s="2" t="str">
        <f t="shared" si="18"/>
        <v>OK</v>
      </c>
    </row>
    <row r="1247" spans="1:4" x14ac:dyDescent="0.2">
      <c r="A1247" s="5">
        <v>1186</v>
      </c>
      <c r="B1247" s="1832">
        <f>'Expenditures 15-22'!F127</f>
        <v>28808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28808</v>
      </c>
      <c r="C1249" s="2" t="s">
        <v>569</v>
      </c>
      <c r="D1249" s="2" t="str">
        <f t="shared" si="18"/>
        <v>Error?</v>
      </c>
    </row>
    <row r="1250" spans="1:4" x14ac:dyDescent="0.2">
      <c r="A1250" s="5">
        <v>1189</v>
      </c>
      <c r="B1250" s="1832">
        <f>'Expenditures 15-22'!F151</f>
        <v>28808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4185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4185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4185</v>
      </c>
      <c r="C1258" s="2" t="s">
        <v>569</v>
      </c>
      <c r="D1258" s="2" t="str">
        <f t="shared" si="18"/>
        <v>Error?</v>
      </c>
    </row>
    <row r="1259" spans="1:4" x14ac:dyDescent="0.2">
      <c r="A1259" s="5">
        <v>1198</v>
      </c>
      <c r="B1259" s="1832">
        <f>'Expenditures 15-22'!G151</f>
        <v>4185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367802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367802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367802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367802</v>
      </c>
      <c r="C1288" s="2" t="s">
        <v>569</v>
      </c>
      <c r="D1288" s="2" t="str">
        <f t="shared" si="19"/>
        <v>Error?</v>
      </c>
    </row>
    <row r="1289" spans="1:4" x14ac:dyDescent="0.2">
      <c r="A1289" s="5">
        <v>1228</v>
      </c>
      <c r="B1289" s="1832">
        <f>'Expenditures 15-22'!K152</f>
        <v>78745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1300</v>
      </c>
      <c r="D1307" s="2" t="str">
        <f t="shared" si="19"/>
        <v>Error?</v>
      </c>
    </row>
    <row r="1308" spans="1:4" x14ac:dyDescent="0.2">
      <c r="A1308" s="5">
        <v>1247</v>
      </c>
      <c r="B1308" s="1832">
        <f>'Expenditures 15-22'!E172</f>
        <v>1300</v>
      </c>
      <c r="C1308" s="2" t="s">
        <v>569</v>
      </c>
      <c r="D1308" s="2" t="str">
        <f t="shared" si="19"/>
        <v>Error?</v>
      </c>
    </row>
    <row r="1309" spans="1:4" x14ac:dyDescent="0.2">
      <c r="A1309" s="5">
        <v>1248</v>
      </c>
      <c r="B1309" s="1832">
        <f>'Expenditures 15-22'!E174</f>
        <v>1300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307088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505000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812088</v>
      </c>
      <c r="C1317" s="2" t="s">
        <v>569</v>
      </c>
      <c r="D1317" s="2" t="str">
        <f t="shared" si="19"/>
        <v>Error?</v>
      </c>
    </row>
    <row r="1318" spans="1:4" x14ac:dyDescent="0.2">
      <c r="A1318" s="5">
        <v>1257</v>
      </c>
      <c r="B1318" s="1832">
        <f>'Expenditures 15-22'!H174</f>
        <v>812088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307088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505000</v>
      </c>
      <c r="C1329" s="2" t="s">
        <v>569</v>
      </c>
      <c r="D1329" s="2" t="str">
        <f t="shared" si="19"/>
        <v>Error?</v>
      </c>
    </row>
    <row r="1330" spans="1:4" x14ac:dyDescent="0.2">
      <c r="A1330" s="5">
        <v>1269</v>
      </c>
      <c r="B1330" s="1832">
        <f>'Expenditures 15-22'!K171</f>
        <v>1300</v>
      </c>
      <c r="C1330" s="2" t="s">
        <v>569</v>
      </c>
      <c r="D1330" s="2" t="str">
        <f t="shared" si="19"/>
        <v>Error?</v>
      </c>
    </row>
    <row r="1331" spans="1:4" x14ac:dyDescent="0.2">
      <c r="A1331" s="5">
        <v>1270</v>
      </c>
      <c r="B1331" s="1832">
        <f>'Expenditures 15-22'!K172</f>
        <v>813388</v>
      </c>
      <c r="C1331" s="2" t="s">
        <v>569</v>
      </c>
      <c r="D1331" s="2" t="str">
        <f t="shared" si="19"/>
        <v>Error?</v>
      </c>
    </row>
    <row r="1332" spans="1:4" x14ac:dyDescent="0.2">
      <c r="A1332" s="5">
        <v>1271</v>
      </c>
      <c r="B1332" s="1832">
        <f>'Expenditures 15-22'!K174</f>
        <v>813388</v>
      </c>
      <c r="C1332" s="2" t="s">
        <v>569</v>
      </c>
      <c r="D1332" s="2" t="str">
        <f t="shared" si="19"/>
        <v>Error?</v>
      </c>
    </row>
    <row r="1333" spans="1:4" x14ac:dyDescent="0.2">
      <c r="A1333" s="5">
        <v>1272</v>
      </c>
      <c r="B1333" s="1832">
        <f>'Expenditures 15-22'!K175</f>
        <v>16595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261814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261814</v>
      </c>
      <c r="C1339" s="2" t="s">
        <v>569</v>
      </c>
      <c r="D1339" s="2" t="str">
        <f t="shared" si="19"/>
        <v>Error?</v>
      </c>
    </row>
    <row r="1340" spans="1:4" x14ac:dyDescent="0.2">
      <c r="A1340" s="5">
        <v>1279</v>
      </c>
      <c r="B1340" s="1832">
        <f>'Expenditures 15-22'!C210</f>
        <v>261814</v>
      </c>
      <c r="C1340" s="2" t="s">
        <v>569</v>
      </c>
      <c r="D1340" s="2" t="str">
        <f t="shared" si="19"/>
        <v>Error?</v>
      </c>
    </row>
    <row r="1341" spans="1:4" x14ac:dyDescent="0.2">
      <c r="A1341" s="5">
        <v>1280</v>
      </c>
      <c r="B1341" s="1832">
        <f>'Expenditures 15-22'!D182</f>
        <v>27273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27273</v>
      </c>
      <c r="C1345" s="2" t="s">
        <v>569</v>
      </c>
      <c r="D1345" s="2" t="str">
        <f t="shared" si="20"/>
        <v>Error?</v>
      </c>
    </row>
    <row r="1346" spans="1:4" x14ac:dyDescent="0.2">
      <c r="A1346" s="5">
        <v>1285</v>
      </c>
      <c r="B1346" s="1832">
        <f>'Expenditures 15-22'!D210</f>
        <v>27273</v>
      </c>
      <c r="C1346" s="2" t="s">
        <v>569</v>
      </c>
      <c r="D1346" s="2" t="str">
        <f t="shared" si="20"/>
        <v>Error?</v>
      </c>
    </row>
    <row r="1347" spans="1:4" x14ac:dyDescent="0.2">
      <c r="A1347" s="5">
        <v>1286</v>
      </c>
      <c r="B1347" s="1832">
        <f>'Expenditures 15-22'!E182</f>
        <v>255635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255635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255635</v>
      </c>
      <c r="C1353" s="2" t="s">
        <v>569</v>
      </c>
      <c r="D1353" s="2" t="str">
        <f t="shared" si="20"/>
        <v>Error?</v>
      </c>
    </row>
    <row r="1354" spans="1:4" x14ac:dyDescent="0.2">
      <c r="A1354" s="5">
        <v>1293</v>
      </c>
      <c r="B1354" s="1832">
        <f>'Expenditures 15-22'!F182</f>
        <v>35764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35764</v>
      </c>
      <c r="C1358" s="2" t="s">
        <v>569</v>
      </c>
      <c r="D1358" s="2" t="str">
        <f t="shared" si="20"/>
        <v>Error?</v>
      </c>
    </row>
    <row r="1359" spans="1:4" x14ac:dyDescent="0.2">
      <c r="A1359" s="5">
        <v>1298</v>
      </c>
      <c r="B1359" s="1832">
        <f>'Expenditures 15-22'!F210</f>
        <v>35764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1203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1203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1203</v>
      </c>
      <c r="C1376" s="2" t="s">
        <v>569</v>
      </c>
      <c r="D1376" s="2" t="str">
        <f t="shared" si="20"/>
        <v>Error?</v>
      </c>
    </row>
    <row r="1377" spans="1:4" x14ac:dyDescent="0.2">
      <c r="A1377" s="5">
        <v>1316</v>
      </c>
      <c r="B1377" s="1832">
        <f>'Expenditures 15-22'!K182</f>
        <v>581689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581689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581689</v>
      </c>
      <c r="C1388" s="2" t="s">
        <v>569</v>
      </c>
      <c r="D1388" s="2" t="str">
        <f t="shared" si="20"/>
        <v>Error?</v>
      </c>
    </row>
    <row r="1389" spans="1:4" x14ac:dyDescent="0.2">
      <c r="A1389" s="5">
        <v>1328</v>
      </c>
      <c r="B1389" s="1832">
        <f>'Expenditures 15-22'!K211</f>
        <v>-214121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2737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101820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4011</v>
      </c>
      <c r="D1416" s="2" t="str">
        <f t="shared" si="21"/>
        <v>Error?</v>
      </c>
    </row>
    <row r="1417" spans="1:4" x14ac:dyDescent="0.2">
      <c r="A1417" s="5">
        <v>1356</v>
      </c>
      <c r="B1417" s="1832">
        <f>'Expenditures 15-22'!D238</f>
        <v>4011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2873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2873</v>
      </c>
      <c r="C1421" s="2" t="s">
        <v>569</v>
      </c>
      <c r="D1421" s="2" t="str">
        <f t="shared" si="21"/>
        <v>Error?</v>
      </c>
    </row>
    <row r="1422" spans="1:4" x14ac:dyDescent="0.2">
      <c r="A1422" s="5">
        <v>1361</v>
      </c>
      <c r="B1422" s="1832">
        <f>'Expenditures 15-22'!D245</f>
        <v>96</v>
      </c>
      <c r="D1422" s="2" t="str">
        <f t="shared" si="21"/>
        <v>Error?</v>
      </c>
    </row>
    <row r="1423" spans="1:4" x14ac:dyDescent="0.2">
      <c r="A1423" s="5">
        <v>1362</v>
      </c>
      <c r="B1423" s="1832">
        <f>'Expenditures 15-22'!D246</f>
        <v>1902</v>
      </c>
      <c r="D1423" s="2" t="str">
        <f t="shared" si="21"/>
        <v>Error?</v>
      </c>
    </row>
    <row r="1424" spans="1:4" x14ac:dyDescent="0.2">
      <c r="A1424" s="5">
        <v>1363</v>
      </c>
      <c r="B1424" s="1832">
        <f>'Expenditures 15-22'!D257</f>
        <v>1998</v>
      </c>
      <c r="C1424" s="2" t="s">
        <v>569</v>
      </c>
      <c r="D1424" s="2" t="str">
        <f t="shared" si="21"/>
        <v>Error?</v>
      </c>
    </row>
    <row r="1425" spans="1:4" x14ac:dyDescent="0.2">
      <c r="A1425" s="5">
        <v>1364</v>
      </c>
      <c r="B1425" s="1832">
        <f>'Expenditures 15-22'!D259</f>
        <v>11600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11600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8354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37513</v>
      </c>
      <c r="D1431" s="2" t="str">
        <f t="shared" si="21"/>
        <v>Error?</v>
      </c>
    </row>
    <row r="1432" spans="1:4" x14ac:dyDescent="0.2">
      <c r="A1432" s="5">
        <v>1371</v>
      </c>
      <c r="B1432" s="1832">
        <f>'Expenditures 15-22'!D267</f>
        <v>36959</v>
      </c>
      <c r="D1432" s="2" t="str">
        <f t="shared" si="21"/>
        <v>Error?</v>
      </c>
    </row>
    <row r="1433" spans="1:4" x14ac:dyDescent="0.2">
      <c r="A1433" s="5">
        <v>1372</v>
      </c>
      <c r="B1433" s="1832">
        <f>'Expenditures 15-22'!D268</f>
        <v>16839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99665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4907</v>
      </c>
      <c r="D1445" s="2" t="str">
        <f t="shared" si="21"/>
        <v>Error?</v>
      </c>
    </row>
    <row r="1446" spans="1:4" x14ac:dyDescent="0.2">
      <c r="A1446" s="5">
        <v>1385</v>
      </c>
      <c r="B1446" s="1832">
        <f>'Expenditures 15-22'!D279</f>
        <v>125054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226874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2737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101820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4011</v>
      </c>
      <c r="C1480" s="2" t="s">
        <v>569</v>
      </c>
      <c r="D1480" s="2" t="str">
        <f t="shared" si="22"/>
        <v>Error?</v>
      </c>
    </row>
    <row r="1481" spans="1:4" x14ac:dyDescent="0.2">
      <c r="A1481" s="5">
        <v>1420</v>
      </c>
      <c r="B1481" s="1832">
        <f>'Expenditures 15-22'!K238</f>
        <v>4011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2873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2873</v>
      </c>
      <c r="C1485" s="2" t="s">
        <v>569</v>
      </c>
      <c r="D1485" s="2" t="str">
        <f t="shared" si="22"/>
        <v>Error?</v>
      </c>
    </row>
    <row r="1486" spans="1:4" x14ac:dyDescent="0.2">
      <c r="A1486" s="5">
        <v>1425</v>
      </c>
      <c r="B1486" s="1832">
        <f>'Expenditures 15-22'!K245</f>
        <v>96</v>
      </c>
      <c r="C1486" s="2" t="s">
        <v>569</v>
      </c>
      <c r="D1486" s="2" t="str">
        <f t="shared" si="22"/>
        <v>Error?</v>
      </c>
    </row>
    <row r="1487" spans="1:4" x14ac:dyDescent="0.2">
      <c r="A1487" s="5">
        <v>1426</v>
      </c>
      <c r="B1487" s="1832">
        <f>'Expenditures 15-22'!K246</f>
        <v>1902</v>
      </c>
      <c r="C1487" s="2" t="s">
        <v>569</v>
      </c>
      <c r="D1487" s="2" t="str">
        <f t="shared" si="22"/>
        <v>Error?</v>
      </c>
    </row>
    <row r="1488" spans="1:4" x14ac:dyDescent="0.2">
      <c r="A1488" s="5">
        <v>1427</v>
      </c>
      <c r="B1488" s="1832">
        <f>'Expenditures 15-22'!K257</f>
        <v>1998</v>
      </c>
      <c r="C1488" s="2" t="s">
        <v>569</v>
      </c>
      <c r="D1488" s="2" t="str">
        <f t="shared" si="22"/>
        <v>Error?</v>
      </c>
    </row>
    <row r="1489" spans="1:4" x14ac:dyDescent="0.2">
      <c r="A1489" s="5">
        <v>1428</v>
      </c>
      <c r="B1489" s="1832">
        <f>'Expenditures 15-22'!K259</f>
        <v>11600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11600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8354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37513</v>
      </c>
      <c r="C1495" s="2" t="s">
        <v>569</v>
      </c>
      <c r="D1495" s="2" t="str">
        <f t="shared" si="22"/>
        <v>Error?</v>
      </c>
    </row>
    <row r="1496" spans="1:4" x14ac:dyDescent="0.2">
      <c r="A1496" s="5">
        <v>1435</v>
      </c>
      <c r="B1496" s="1832">
        <f>'Expenditures 15-22'!K267</f>
        <v>36959</v>
      </c>
      <c r="C1496" s="2" t="s">
        <v>569</v>
      </c>
      <c r="D1496" s="2" t="str">
        <f t="shared" si="22"/>
        <v>Error?</v>
      </c>
    </row>
    <row r="1497" spans="1:4" x14ac:dyDescent="0.2">
      <c r="A1497" s="5">
        <v>1436</v>
      </c>
      <c r="B1497" s="1832">
        <f>'Expenditures 15-22'!K268</f>
        <v>16839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99665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4907</v>
      </c>
      <c r="C1509" s="2" t="s">
        <v>569</v>
      </c>
      <c r="D1509" s="2" t="str">
        <f t="shared" si="22"/>
        <v>Error?</v>
      </c>
    </row>
    <row r="1510" spans="1:4" x14ac:dyDescent="0.2">
      <c r="A1510" s="5">
        <v>1449</v>
      </c>
      <c r="B1510" s="1832">
        <f>'Expenditures 15-22'!K279</f>
        <v>125054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226874</v>
      </c>
      <c r="C1517" s="2" t="s">
        <v>569</v>
      </c>
      <c r="D1517" s="2" t="str">
        <f t="shared" si="22"/>
        <v>Error?</v>
      </c>
    </row>
    <row r="1518" spans="1:4" x14ac:dyDescent="0.2">
      <c r="A1518" s="5">
        <v>1457</v>
      </c>
      <c r="B1518" s="1832">
        <f>'Expenditures 15-22'!K296</f>
        <v>3421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590709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590709</v>
      </c>
      <c r="C1547" s="2" t="s">
        <v>569</v>
      </c>
      <c r="D1547" s="2" t="str">
        <f t="shared" si="23"/>
        <v>Error?</v>
      </c>
    </row>
    <row r="1548" spans="1:4" x14ac:dyDescent="0.2">
      <c r="A1548" s="5">
        <v>1487</v>
      </c>
      <c r="B1548" s="1832">
        <f>'Expenditures 15-22'!G312</f>
        <v>590709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590709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590709</v>
      </c>
      <c r="C1559" s="2" t="s">
        <v>569</v>
      </c>
      <c r="D1559" s="2" t="str">
        <f t="shared" si="23"/>
        <v>Error?</v>
      </c>
    </row>
    <row r="1560" spans="1:4" x14ac:dyDescent="0.2">
      <c r="A1560" s="5">
        <v>1499</v>
      </c>
      <c r="B1560" s="1832">
        <f>'Expenditures 15-22'!K312</f>
        <v>590709</v>
      </c>
      <c r="C1560" s="2" t="s">
        <v>569</v>
      </c>
      <c r="D1560" s="2" t="str">
        <f t="shared" si="23"/>
        <v>Error?</v>
      </c>
    </row>
    <row r="1561" spans="1:4" x14ac:dyDescent="0.2">
      <c r="A1561" s="5">
        <v>1500</v>
      </c>
      <c r="B1561" s="1832">
        <f>'Expenditures 15-22'!K313</f>
        <v>-279675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761277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538923</v>
      </c>
      <c r="C1630" s="2" t="s">
        <v>569</v>
      </c>
      <c r="D1630" s="2" t="str">
        <f t="shared" si="24"/>
        <v>Error?</v>
      </c>
    </row>
    <row r="1631" spans="1:4" x14ac:dyDescent="0.2">
      <c r="A1631" s="5">
        <v>1570</v>
      </c>
      <c r="B1631" s="1832">
        <f>'Acct Summary 7-8'!D79</f>
        <v>321158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268953</v>
      </c>
      <c r="C1644" s="2" t="s">
        <v>569</v>
      </c>
      <c r="D1644" s="2" t="str">
        <f t="shared" si="24"/>
        <v>Error?</v>
      </c>
    </row>
    <row r="1645" spans="1:4" x14ac:dyDescent="0.2">
      <c r="A1645" s="5">
        <v>1584</v>
      </c>
      <c r="B1645" s="1832">
        <f>'Acct Summary 7-8'!E79</f>
        <v>20975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37570</v>
      </c>
      <c r="C1658" s="2" t="s">
        <v>569</v>
      </c>
      <c r="D1658" s="2" t="str">
        <f t="shared" si="24"/>
        <v>Error?</v>
      </c>
    </row>
    <row r="1659" spans="1:4" x14ac:dyDescent="0.2">
      <c r="A1659" s="5">
        <v>1598</v>
      </c>
      <c r="B1659" s="1832">
        <f>'Acct Summary 7-8'!F79</f>
        <v>110226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64105</v>
      </c>
      <c r="C1672" s="2" t="s">
        <v>569</v>
      </c>
      <c r="D1672" s="2" t="str">
        <f t="shared" si="25"/>
        <v>Error?</v>
      </c>
    </row>
    <row r="1673" spans="1:4" x14ac:dyDescent="0.2">
      <c r="A1673" s="5">
        <v>1612</v>
      </c>
      <c r="B1673" s="1832">
        <f>'Acct Summary 7-8'!G79</f>
        <v>265421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268842</v>
      </c>
      <c r="C1686" s="2" t="s">
        <v>569</v>
      </c>
      <c r="D1686" s="2" t="str">
        <f t="shared" si="25"/>
        <v>Error?</v>
      </c>
    </row>
    <row r="1687" spans="1:4" x14ac:dyDescent="0.2">
      <c r="A1687" s="5">
        <v>1626</v>
      </c>
      <c r="B1687" s="1832">
        <f>'Acct Summary 7-8'!H79</f>
        <v>166607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486932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2709137</v>
      </c>
      <c r="C1744" s="2" t="s">
        <v>569</v>
      </c>
      <c r="D1744" s="2" t="str">
        <f t="shared" si="26"/>
        <v>Error?</v>
      </c>
    </row>
    <row r="1745" spans="1:5" x14ac:dyDescent="0.2">
      <c r="A1745" s="5">
        <v>1684</v>
      </c>
      <c r="B1745" s="1832">
        <f>'Tax Sched 23'!B5</f>
        <v>445582</v>
      </c>
      <c r="C1745" s="2" t="s">
        <v>569</v>
      </c>
      <c r="D1745" s="2" t="str">
        <f t="shared" si="26"/>
        <v>Error?</v>
      </c>
    </row>
    <row r="1746" spans="1:5" x14ac:dyDescent="0.2">
      <c r="A1746" s="5">
        <v>1685</v>
      </c>
      <c r="B1746" s="1832">
        <f>'Tax Sched 23'!B6</f>
        <v>828784</v>
      </c>
      <c r="C1746" s="2" t="s">
        <v>569</v>
      </c>
      <c r="D1746" s="2" t="str">
        <f t="shared" si="26"/>
        <v>Error?</v>
      </c>
    </row>
    <row r="1747" spans="1:5" x14ac:dyDescent="0.2">
      <c r="A1747" s="5">
        <v>1686</v>
      </c>
      <c r="B1747" s="1832">
        <f>'Tax Sched 23'!B7</f>
        <v>213879</v>
      </c>
      <c r="C1747" s="2" t="s">
        <v>569</v>
      </c>
      <c r="D1747" s="2" t="str">
        <f t="shared" si="26"/>
        <v>Error?</v>
      </c>
    </row>
    <row r="1748" spans="1:5" x14ac:dyDescent="0.2">
      <c r="A1748" s="5">
        <v>1687</v>
      </c>
      <c r="B1748" s="1832">
        <f>'Tax Sched 23'!B8</f>
        <v>104795</v>
      </c>
      <c r="C1748" s="2" t="s">
        <v>569</v>
      </c>
      <c r="D1748" s="2" t="str">
        <f t="shared" si="26"/>
        <v>Error?</v>
      </c>
    </row>
    <row r="1749" spans="1:5" x14ac:dyDescent="0.2">
      <c r="A1749" s="5">
        <v>1688</v>
      </c>
      <c r="B1749" s="1832">
        <f>'Tax Sched 23'!B10</f>
        <v>89116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194423</v>
      </c>
      <c r="C1752" s="2" t="s">
        <v>569</v>
      </c>
      <c r="D1752" s="2" t="str">
        <f t="shared" si="26"/>
        <v>Error?</v>
      </c>
    </row>
    <row r="1753" spans="1:5" x14ac:dyDescent="0.2">
      <c r="A1753" s="5">
        <v>1692</v>
      </c>
      <c r="B1753" s="1832">
        <f>'Tax Sched 23'!B12</f>
        <v>89116</v>
      </c>
      <c r="C1753" s="2" t="s">
        <v>569</v>
      </c>
      <c r="D1753" s="2" t="str">
        <f t="shared" si="26"/>
        <v>Error?</v>
      </c>
    </row>
    <row r="1754" spans="1:5" x14ac:dyDescent="0.2">
      <c r="A1754" s="5">
        <v>1693</v>
      </c>
      <c r="B1754" s="1832">
        <f>'Tax Sched 23'!B14</f>
        <v>35646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4855202</v>
      </c>
      <c r="C1759" s="2" t="s">
        <v>569</v>
      </c>
      <c r="D1759" s="2" t="str">
        <f t="shared" si="26"/>
        <v>Error?</v>
      </c>
    </row>
    <row r="1760" spans="1:5" x14ac:dyDescent="0.2">
      <c r="A1760" s="5">
        <v>1699</v>
      </c>
      <c r="B1760" s="1832">
        <f>'Tax Sched 23'!D4</f>
        <v>2709137</v>
      </c>
      <c r="C1760" s="2" t="s">
        <v>569</v>
      </c>
      <c r="D1760" s="2" t="str">
        <f t="shared" si="26"/>
        <v>Error?</v>
      </c>
    </row>
    <row r="1761" spans="1:7" x14ac:dyDescent="0.2">
      <c r="A1761" s="5">
        <v>1700</v>
      </c>
      <c r="B1761" s="1832">
        <f>'Tax Sched 23'!D5</f>
        <v>445582</v>
      </c>
      <c r="C1761" s="2" t="s">
        <v>569</v>
      </c>
      <c r="D1761" s="2" t="str">
        <f t="shared" si="26"/>
        <v>Error?</v>
      </c>
    </row>
    <row r="1762" spans="1:7" s="8" customFormat="1" x14ac:dyDescent="0.2">
      <c r="A1762" s="5">
        <v>1701</v>
      </c>
      <c r="B1762" s="1832">
        <f>'Tax Sched 23'!D6</f>
        <v>828784</v>
      </c>
      <c r="C1762" s="2" t="s">
        <v>569</v>
      </c>
      <c r="D1762" s="2" t="str">
        <f t="shared" si="26"/>
        <v>Error?</v>
      </c>
      <c r="E1762" s="9"/>
      <c r="G1762"/>
    </row>
    <row r="1763" spans="1:7" x14ac:dyDescent="0.2">
      <c r="A1763" s="5">
        <v>1702</v>
      </c>
      <c r="B1763" s="1832">
        <f>'Tax Sched 23'!D7</f>
        <v>213879</v>
      </c>
      <c r="C1763" s="2" t="s">
        <v>569</v>
      </c>
      <c r="D1763" s="2" t="str">
        <f t="shared" si="26"/>
        <v>Error?</v>
      </c>
    </row>
    <row r="1764" spans="1:7" x14ac:dyDescent="0.2">
      <c r="A1764" s="5">
        <v>1703</v>
      </c>
      <c r="B1764" s="1832">
        <f>'Tax Sched 23'!D8</f>
        <v>104795</v>
      </c>
      <c r="C1764" s="2" t="s">
        <v>569</v>
      </c>
      <c r="D1764" s="2" t="str">
        <f t="shared" si="26"/>
        <v>Error?</v>
      </c>
    </row>
    <row r="1765" spans="1:7" x14ac:dyDescent="0.2">
      <c r="A1765" s="5">
        <v>1704</v>
      </c>
      <c r="B1765" s="1832">
        <f>'Tax Sched 23'!D10</f>
        <v>89116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194423</v>
      </c>
      <c r="C1768" s="2" t="s">
        <v>569</v>
      </c>
      <c r="D1768" s="2" t="str">
        <f t="shared" si="26"/>
        <v>Error?</v>
      </c>
    </row>
    <row r="1769" spans="1:7" x14ac:dyDescent="0.2">
      <c r="A1769" s="5">
        <v>1708</v>
      </c>
      <c r="B1769" s="1832">
        <f>'Tax Sched 23'!D12</f>
        <v>89116</v>
      </c>
      <c r="C1769" s="2" t="s">
        <v>569</v>
      </c>
      <c r="D1769" s="2" t="str">
        <f t="shared" si="26"/>
        <v>Error?</v>
      </c>
    </row>
    <row r="1770" spans="1:7" x14ac:dyDescent="0.2">
      <c r="A1770" s="5">
        <v>1709</v>
      </c>
      <c r="B1770" s="1832">
        <f>'Tax Sched 23'!D14</f>
        <v>35646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4855202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2691245</v>
      </c>
      <c r="C1792" s="2" t="s">
        <v>569</v>
      </c>
      <c r="D1792" s="2" t="str">
        <f t="shared" si="27"/>
        <v>Error?</v>
      </c>
    </row>
    <row r="1793" spans="1:4" x14ac:dyDescent="0.2">
      <c r="A1793" s="5">
        <v>1732</v>
      </c>
      <c r="B1793" s="1832">
        <f>'Tax Sched 23'!F5</f>
        <v>442639</v>
      </c>
      <c r="C1793" s="2" t="s">
        <v>569</v>
      </c>
      <c r="D1793" s="2" t="str">
        <f t="shared" si="27"/>
        <v>Error?</v>
      </c>
    </row>
    <row r="1794" spans="1:4" x14ac:dyDescent="0.2">
      <c r="A1794" s="5">
        <v>1733</v>
      </c>
      <c r="B1794" s="1832">
        <f>'Tax Sched 23'!F6</f>
        <v>855533</v>
      </c>
      <c r="C1794" s="2" t="s">
        <v>569</v>
      </c>
      <c r="D1794" s="2" t="str">
        <f t="shared" si="27"/>
        <v>Error?</v>
      </c>
    </row>
    <row r="1795" spans="1:4" x14ac:dyDescent="0.2">
      <c r="A1795" s="5">
        <v>1734</v>
      </c>
      <c r="B1795" s="1832">
        <f>'Tax Sched 23'!F7</f>
        <v>212467</v>
      </c>
      <c r="C1795" s="2" t="s">
        <v>569</v>
      </c>
      <c r="D1795" s="2" t="str">
        <f t="shared" si="27"/>
        <v>Error?</v>
      </c>
    </row>
    <row r="1796" spans="1:4" x14ac:dyDescent="0.2">
      <c r="A1796" s="5">
        <v>1735</v>
      </c>
      <c r="B1796" s="1832">
        <f>'Tax Sched 23'!F8</f>
        <v>105171</v>
      </c>
      <c r="C1796" s="2" t="s">
        <v>569</v>
      </c>
      <c r="D1796" s="2" t="str">
        <f t="shared" si="27"/>
        <v>Error?</v>
      </c>
    </row>
    <row r="1797" spans="1:4" x14ac:dyDescent="0.2">
      <c r="A1797" s="5">
        <v>1736</v>
      </c>
      <c r="B1797" s="1832">
        <f>'Tax Sched 23'!F10</f>
        <v>88528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195115</v>
      </c>
      <c r="C1800" s="2" t="s">
        <v>569</v>
      </c>
      <c r="D1800" s="2" t="str">
        <f t="shared" si="27"/>
        <v>Error?</v>
      </c>
    </row>
    <row r="1801" spans="1:4" x14ac:dyDescent="0.2">
      <c r="A1801" s="5">
        <v>1740</v>
      </c>
      <c r="B1801" s="1832">
        <f>'Tax Sched 23'!F12</f>
        <v>88528</v>
      </c>
      <c r="C1801" s="2" t="s">
        <v>569</v>
      </c>
      <c r="D1801" s="2" t="str">
        <f t="shared" si="27"/>
        <v>Error?</v>
      </c>
    </row>
    <row r="1802" spans="1:4" x14ac:dyDescent="0.2">
      <c r="A1802" s="5">
        <v>1741</v>
      </c>
      <c r="B1802" s="1832">
        <f>'Tax Sched 23'!F14</f>
        <v>35411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4859822</v>
      </c>
      <c r="C1807" s="2" t="s">
        <v>569</v>
      </c>
      <c r="D1807" s="2" t="str">
        <f t="shared" si="27"/>
        <v>Error?</v>
      </c>
    </row>
    <row r="1808" spans="1:4" x14ac:dyDescent="0.2">
      <c r="A1808" s="5">
        <v>1747</v>
      </c>
      <c r="B1808" s="1832">
        <f>'Tax Sched 23'!E4</f>
        <v>2691245</v>
      </c>
      <c r="D1808" s="2" t="str">
        <f t="shared" si="27"/>
        <v>Error?</v>
      </c>
    </row>
    <row r="1809" spans="1:4" x14ac:dyDescent="0.2">
      <c r="A1809" s="5">
        <v>1748</v>
      </c>
      <c r="B1809" s="1832">
        <f>'Tax Sched 23'!E5</f>
        <v>442639</v>
      </c>
      <c r="D1809" s="2" t="str">
        <f t="shared" si="27"/>
        <v>Error?</v>
      </c>
    </row>
    <row r="1810" spans="1:4" x14ac:dyDescent="0.2">
      <c r="A1810" s="5">
        <v>1749</v>
      </c>
      <c r="B1810" s="1832">
        <f>'Tax Sched 23'!E6</f>
        <v>855533</v>
      </c>
      <c r="D1810" s="2" t="str">
        <f t="shared" si="27"/>
        <v>Error?</v>
      </c>
    </row>
    <row r="1811" spans="1:4" x14ac:dyDescent="0.2">
      <c r="A1811" s="5">
        <v>1750</v>
      </c>
      <c r="B1811" s="1832">
        <f>'Tax Sched 23'!E7</f>
        <v>212467</v>
      </c>
      <c r="D1811" s="2" t="str">
        <f t="shared" si="27"/>
        <v>Error?</v>
      </c>
    </row>
    <row r="1812" spans="1:4" x14ac:dyDescent="0.2">
      <c r="A1812" s="5">
        <v>1751</v>
      </c>
      <c r="B1812" s="1832">
        <f>'Tax Sched 23'!E8</f>
        <v>105171</v>
      </c>
      <c r="D1812" s="2" t="str">
        <f t="shared" si="27"/>
        <v>Error?</v>
      </c>
    </row>
    <row r="1813" spans="1:4" x14ac:dyDescent="0.2">
      <c r="A1813" s="5">
        <v>1752</v>
      </c>
      <c r="B1813" s="1832">
        <f>'Tax Sched 23'!E10</f>
        <v>88528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195115</v>
      </c>
      <c r="D1816" s="2" t="str">
        <f t="shared" si="27"/>
        <v>Error?</v>
      </c>
    </row>
    <row r="1817" spans="1:4" x14ac:dyDescent="0.2">
      <c r="A1817" s="5">
        <v>1756</v>
      </c>
      <c r="B1817" s="1832">
        <f>'Tax Sched 23'!E12</f>
        <v>88528</v>
      </c>
      <c r="D1817" s="2" t="str">
        <f t="shared" si="27"/>
        <v>Error?</v>
      </c>
    </row>
    <row r="1818" spans="1:4" x14ac:dyDescent="0.2">
      <c r="A1818" s="5">
        <v>1757</v>
      </c>
      <c r="B1818" s="1832">
        <f>'Tax Sched 23'!E14</f>
        <v>35411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4859822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8630000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35670</v>
      </c>
      <c r="D1972" s="2" t="str">
        <f t="shared" si="29"/>
        <v>Error?</v>
      </c>
    </row>
    <row r="1973" spans="1:5" x14ac:dyDescent="0.2">
      <c r="A1973" s="5">
        <v>1912</v>
      </c>
      <c r="B1973" s="1832">
        <f>'Rest Tax Levies-Tort Im 25'!H6</f>
        <v>24</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35694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35694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22721</v>
      </c>
      <c r="D2008" s="2" t="str">
        <f t="shared" si="30"/>
        <v>Error?</v>
      </c>
    </row>
    <row r="2009" spans="1:4" x14ac:dyDescent="0.2">
      <c r="A2009" s="5">
        <v>1948</v>
      </c>
      <c r="B2009" s="1832">
        <f>'Cap Outlay Deprec 26'!C8</f>
        <v>14197047</v>
      </c>
      <c r="D2009" s="2" t="str">
        <f t="shared" si="30"/>
        <v>Error?</v>
      </c>
    </row>
    <row r="2010" spans="1:4" x14ac:dyDescent="0.2">
      <c r="A2010" s="5">
        <v>1949</v>
      </c>
      <c r="B2010" s="1832">
        <f>'Cap Outlay Deprec 26'!C10</f>
        <v>742601</v>
      </c>
      <c r="D2010" s="2" t="str">
        <f t="shared" si="30"/>
        <v>Error?</v>
      </c>
    </row>
    <row r="2011" spans="1:4" x14ac:dyDescent="0.2">
      <c r="A2011" s="5">
        <v>1950</v>
      </c>
      <c r="B2011" s="1832">
        <f>'Cap Outlay Deprec 26'!C12</f>
        <v>594788</v>
      </c>
      <c r="D2011" s="2" t="str">
        <f t="shared" si="30"/>
        <v>Error?</v>
      </c>
    </row>
    <row r="2012" spans="1:4" x14ac:dyDescent="0.2">
      <c r="A2012" s="5">
        <v>1951</v>
      </c>
      <c r="B2012" s="1832">
        <f>'Cap Outlay Deprec 26'!C13</f>
        <v>635728</v>
      </c>
      <c r="D2012" s="2" t="str">
        <f t="shared" si="30"/>
        <v>Error?</v>
      </c>
    </row>
    <row r="2013" spans="1:4" x14ac:dyDescent="0.2">
      <c r="A2013" s="5">
        <v>1952</v>
      </c>
      <c r="B2013" s="1832">
        <f>'Cap Outlay Deprec 26'!C16</f>
        <v>16195503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330412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12313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639226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139525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139525</v>
      </c>
      <c r="C2025" s="2" t="s">
        <v>569</v>
      </c>
      <c r="D2025" s="2" t="str">
        <f t="shared" si="30"/>
        <v>Error?</v>
      </c>
    </row>
    <row r="2026" spans="1:4" x14ac:dyDescent="0.2">
      <c r="A2026" s="5">
        <v>1965</v>
      </c>
      <c r="B2026" s="1832">
        <f>'Cap Outlay Deprec 26'!F5</f>
        <v>22721</v>
      </c>
      <c r="C2026" s="2" t="s">
        <v>569</v>
      </c>
      <c r="D2026" s="2" t="str">
        <f t="shared" si="30"/>
        <v>Error?</v>
      </c>
    </row>
    <row r="2027" spans="1:4" x14ac:dyDescent="0.2">
      <c r="A2027" s="5">
        <v>1966</v>
      </c>
      <c r="B2027" s="1832">
        <f>'Cap Outlay Deprec 26'!F8</f>
        <v>14527459</v>
      </c>
      <c r="C2027" s="2" t="s">
        <v>569</v>
      </c>
      <c r="D2027" s="2" t="str">
        <f t="shared" si="30"/>
        <v>Error?</v>
      </c>
    </row>
    <row r="2028" spans="1:4" x14ac:dyDescent="0.2">
      <c r="A2028" s="5">
        <v>1967</v>
      </c>
      <c r="B2028" s="1832">
        <f>'Cap Outlay Deprec 26'!F10</f>
        <v>742601</v>
      </c>
      <c r="C2028" s="2" t="s">
        <v>569</v>
      </c>
      <c r="D2028" s="2" t="str">
        <f t="shared" si="30"/>
        <v>Error?</v>
      </c>
    </row>
    <row r="2029" spans="1:4" x14ac:dyDescent="0.2">
      <c r="A2029" s="5">
        <v>1968</v>
      </c>
      <c r="B2029" s="1832">
        <f>'Cap Outlay Deprec 26'!F12</f>
        <v>467576</v>
      </c>
      <c r="C2029" s="2" t="s">
        <v>569</v>
      </c>
      <c r="D2029" s="2" t="str">
        <f t="shared" si="30"/>
        <v>Error?</v>
      </c>
    </row>
    <row r="2030" spans="1:4" x14ac:dyDescent="0.2">
      <c r="A2030" s="5">
        <v>1969</v>
      </c>
      <c r="B2030" s="1832">
        <f>'Cap Outlay Deprec 26'!F13</f>
        <v>635728</v>
      </c>
      <c r="C2030" s="2" t="s">
        <v>569</v>
      </c>
      <c r="D2030" s="2" t="str">
        <f t="shared" si="30"/>
        <v>Error?</v>
      </c>
    </row>
    <row r="2031" spans="1:4" x14ac:dyDescent="0.2">
      <c r="A2031" s="5">
        <v>1970</v>
      </c>
      <c r="B2031" s="1832">
        <f>'Cap Outlay Deprec 26'!F16</f>
        <v>16695204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4951549</v>
      </c>
      <c r="D2033" s="2" t="str">
        <f t="shared" si="30"/>
        <v>Error?</v>
      </c>
    </row>
    <row r="2034" spans="1:4" x14ac:dyDescent="0.2">
      <c r="A2034" s="5">
        <v>1973</v>
      </c>
      <c r="B2034" s="1832">
        <f>'Cap Outlay Deprec 26'!H10</f>
        <v>438261</v>
      </c>
      <c r="D2034" s="2" t="str">
        <f t="shared" si="30"/>
        <v>Error?</v>
      </c>
    </row>
    <row r="2035" spans="1:4" x14ac:dyDescent="0.2">
      <c r="A2035" s="5">
        <v>1974</v>
      </c>
      <c r="B2035" s="1832">
        <f>'Cap Outlay Deprec 26'!H12</f>
        <v>478487</v>
      </c>
      <c r="D2035" s="2" t="str">
        <f t="shared" si="30"/>
        <v>Error?</v>
      </c>
    </row>
    <row r="2036" spans="1:4" x14ac:dyDescent="0.2">
      <c r="A2036" s="5">
        <v>1975</v>
      </c>
      <c r="B2036" s="1832">
        <f>'Cap Outlay Deprec 26'!H13</f>
        <v>635460</v>
      </c>
      <c r="D2036" s="2" t="str">
        <f t="shared" si="30"/>
        <v>Error?</v>
      </c>
    </row>
    <row r="2037" spans="1:4" x14ac:dyDescent="0.2">
      <c r="A2037" s="5">
        <v>1976</v>
      </c>
      <c r="B2037" s="1832">
        <f>'Cap Outlay Deprec 26'!H16</f>
        <v>6506375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277791</v>
      </c>
      <c r="D2039" s="2" t="str">
        <f t="shared" si="30"/>
        <v>Error?</v>
      </c>
    </row>
    <row r="2040" spans="1:4" x14ac:dyDescent="0.2">
      <c r="A2040" s="5">
        <v>1979</v>
      </c>
      <c r="B2040" s="1832">
        <f>'Cap Outlay Deprec 26'!I10</f>
        <v>28073</v>
      </c>
      <c r="D2040" s="2" t="str">
        <f t="shared" si="30"/>
        <v>Error?</v>
      </c>
    </row>
    <row r="2041" spans="1:4" x14ac:dyDescent="0.2">
      <c r="A2041" s="5">
        <v>1980</v>
      </c>
      <c r="B2041" s="1832">
        <f>'Cap Outlay Deprec 26'!I12</f>
        <v>46753</v>
      </c>
      <c r="D2041" s="2" t="str">
        <f t="shared" si="30"/>
        <v>Error?</v>
      </c>
    </row>
    <row r="2042" spans="1:4" x14ac:dyDescent="0.2">
      <c r="A2042" s="5">
        <v>1981</v>
      </c>
      <c r="B2042" s="1832">
        <f>'Cap Outlay Deprec 26'!I13</f>
        <v>135</v>
      </c>
      <c r="D2042" s="2" t="str">
        <f t="shared" si="30"/>
        <v>Error?</v>
      </c>
    </row>
    <row r="2043" spans="1:4" x14ac:dyDescent="0.2">
      <c r="A2043" s="5">
        <v>1982</v>
      </c>
      <c r="B2043" s="1832">
        <f>'Cap Outlay Deprec 26'!I16</f>
        <v>352752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139525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139525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5229340</v>
      </c>
      <c r="C2051" s="2" t="s">
        <v>569</v>
      </c>
      <c r="D2051" s="2" t="str">
        <f t="shared" si="31"/>
        <v>Error?</v>
      </c>
    </row>
    <row r="2052" spans="1:4" x14ac:dyDescent="0.2">
      <c r="A2052" s="5">
        <v>1991</v>
      </c>
      <c r="B2052" s="1832">
        <f>'Cap Outlay Deprec 26'!K10</f>
        <v>466334</v>
      </c>
      <c r="C2052" s="2" t="s">
        <v>569</v>
      </c>
      <c r="D2052" s="2" t="str">
        <f t="shared" si="31"/>
        <v>Error?</v>
      </c>
    </row>
    <row r="2053" spans="1:4" x14ac:dyDescent="0.2">
      <c r="A2053" s="5">
        <v>1992</v>
      </c>
      <c r="B2053" s="1832">
        <f>'Cap Outlay Deprec 26'!K12</f>
        <v>385715</v>
      </c>
      <c r="C2053" s="2" t="s">
        <v>569</v>
      </c>
      <c r="D2053" s="2" t="str">
        <f t="shared" si="31"/>
        <v>Error?</v>
      </c>
    </row>
    <row r="2054" spans="1:4" x14ac:dyDescent="0.2">
      <c r="A2054" s="5">
        <v>1993</v>
      </c>
      <c r="B2054" s="1832">
        <f>'Cap Outlay Deprec 26'!K13</f>
        <v>635595</v>
      </c>
      <c r="C2054" s="2" t="s">
        <v>569</v>
      </c>
      <c r="D2054" s="2" t="str">
        <f t="shared" si="31"/>
        <v>Error?</v>
      </c>
    </row>
    <row r="2055" spans="1:4" x14ac:dyDescent="0.2">
      <c r="A2055" s="5">
        <v>1994</v>
      </c>
      <c r="B2055" s="1832">
        <f>'Cap Outlay Deprec 26'!K16</f>
        <v>6719602</v>
      </c>
      <c r="C2055" s="2" t="s">
        <v>569</v>
      </c>
      <c r="D2055" s="2" t="str">
        <f t="shared" si="31"/>
        <v>Error?</v>
      </c>
    </row>
    <row r="2056" spans="1:4" x14ac:dyDescent="0.2">
      <c r="A2056" s="5">
        <v>1995</v>
      </c>
      <c r="B2056" s="1832">
        <f>'Cap Outlay Deprec 26'!L5</f>
        <v>22721</v>
      </c>
      <c r="C2056" s="2" t="s">
        <v>569</v>
      </c>
      <c r="D2056" s="2" t="str">
        <f t="shared" si="31"/>
        <v>Error?</v>
      </c>
    </row>
    <row r="2057" spans="1:4" x14ac:dyDescent="0.2">
      <c r="A2057" s="5">
        <v>1996</v>
      </c>
      <c r="B2057" s="1832">
        <f>'Cap Outlay Deprec 26'!L8</f>
        <v>9298119</v>
      </c>
      <c r="C2057" s="2" t="s">
        <v>569</v>
      </c>
      <c r="D2057" s="2" t="str">
        <f t="shared" si="31"/>
        <v>Error?</v>
      </c>
    </row>
    <row r="2058" spans="1:4" x14ac:dyDescent="0.2">
      <c r="A2058" s="5">
        <v>1997</v>
      </c>
      <c r="B2058" s="1832">
        <f>'Cap Outlay Deprec 26'!L10</f>
        <v>276267</v>
      </c>
      <c r="C2058" s="2" t="s">
        <v>569</v>
      </c>
      <c r="D2058" s="2" t="str">
        <f t="shared" si="31"/>
        <v>Error?</v>
      </c>
    </row>
    <row r="2059" spans="1:4" x14ac:dyDescent="0.2">
      <c r="A2059" s="5">
        <v>1998</v>
      </c>
      <c r="B2059" s="1832">
        <f>'Cap Outlay Deprec 26'!L12</f>
        <v>81861</v>
      </c>
      <c r="C2059" s="2" t="s">
        <v>569</v>
      </c>
      <c r="D2059" s="2" t="str">
        <f t="shared" si="31"/>
        <v>Error?</v>
      </c>
    </row>
    <row r="2060" spans="1:4" x14ac:dyDescent="0.2">
      <c r="A2060" s="5">
        <v>1999</v>
      </c>
      <c r="B2060" s="1832">
        <f>'Cap Outlay Deprec 26'!L13</f>
        <v>133</v>
      </c>
      <c r="C2060" s="2" t="s">
        <v>569</v>
      </c>
      <c r="D2060" s="2" t="str">
        <f t="shared" si="31"/>
        <v>Error?</v>
      </c>
    </row>
    <row r="2061" spans="1:4" x14ac:dyDescent="0.2">
      <c r="A2061" s="5">
        <v>2000</v>
      </c>
      <c r="B2061" s="1832">
        <f>'Cap Outlay Deprec 26'!L16</f>
        <v>9975602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319767</v>
      </c>
      <c r="C2088" s="2" t="s">
        <v>569</v>
      </c>
      <c r="D2088" s="2" t="str">
        <f t="shared" si="31"/>
        <v>Error?</v>
      </c>
    </row>
    <row r="2089" spans="1:4" x14ac:dyDescent="0.2">
      <c r="A2089" s="5">
        <v>2028</v>
      </c>
      <c r="B2089" s="1832">
        <f>'Expenditures 15-22'!K92</f>
        <v>120196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357657</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43696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118322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204046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3109777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1836406</v>
      </c>
      <c r="C2553" s="2" t="s">
        <v>569</v>
      </c>
      <c r="D2553" s="2" t="str">
        <f t="shared" si="38"/>
        <v>Error?</v>
      </c>
    </row>
    <row r="2554" spans="1:4" x14ac:dyDescent="0.2">
      <c r="A2554" s="5">
        <v>2493</v>
      </c>
      <c r="B2554" s="1832">
        <f>'Acct Summary 7-8'!C7</f>
        <v>340824</v>
      </c>
      <c r="C2554" s="2" t="s">
        <v>569</v>
      </c>
      <c r="D2554" s="2" t="str">
        <f t="shared" si="38"/>
        <v>Error?</v>
      </c>
    </row>
    <row r="2555" spans="1:4" x14ac:dyDescent="0.2">
      <c r="A2555" s="5">
        <v>2494</v>
      </c>
      <c r="B2555" s="1832">
        <f>'Acct Summary 7-8'!C8</f>
        <v>5287007</v>
      </c>
      <c r="C2555" s="2" t="s">
        <v>569</v>
      </c>
      <c r="D2555" s="2" t="str">
        <f t="shared" si="38"/>
        <v>Error?</v>
      </c>
    </row>
    <row r="2556" spans="1:4" x14ac:dyDescent="0.2">
      <c r="A2556" s="5">
        <v>2495</v>
      </c>
      <c r="B2556" s="1832">
        <f>'Acct Summary 7-8'!C12</f>
        <v>4308144</v>
      </c>
      <c r="C2556" s="2" t="s">
        <v>569</v>
      </c>
      <c r="D2556" s="2" t="str">
        <f t="shared" si="38"/>
        <v>Error?</v>
      </c>
    </row>
    <row r="2557" spans="1:4" x14ac:dyDescent="0.2">
      <c r="A2557" s="5">
        <v>2496</v>
      </c>
      <c r="B2557" s="1832">
        <f>'Acct Summary 7-8'!C13</f>
        <v>1076491</v>
      </c>
      <c r="C2557" s="2" t="s">
        <v>569</v>
      </c>
      <c r="D2557" s="2" t="str">
        <f t="shared" si="38"/>
        <v>Error?</v>
      </c>
    </row>
    <row r="2558" spans="1:4" x14ac:dyDescent="0.2">
      <c r="A2558" s="5">
        <v>2497</v>
      </c>
      <c r="B2558" s="1832">
        <f>'Acct Summary 7-8'!C14</f>
        <v>5370</v>
      </c>
      <c r="C2558" s="2" t="s">
        <v>569</v>
      </c>
      <c r="D2558" s="2" t="str">
        <f t="shared" si="38"/>
        <v>Error?</v>
      </c>
    </row>
    <row r="2559" spans="1:4" x14ac:dyDescent="0.2">
      <c r="A2559" s="5">
        <v>2498</v>
      </c>
      <c r="B2559" s="1832">
        <f>'Acct Summary 7-8'!C15</f>
        <v>439963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5829968</v>
      </c>
      <c r="C2561" s="2" t="s">
        <v>569</v>
      </c>
      <c r="D2561" s="2" t="str">
        <f t="shared" si="39"/>
        <v>Error?</v>
      </c>
    </row>
    <row r="2562" spans="1:4" x14ac:dyDescent="0.2">
      <c r="A2562" s="5">
        <v>2501</v>
      </c>
      <c r="B2562" s="1832">
        <f>'Acct Summary 7-8'!C20</f>
        <v>-542961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446547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446547</v>
      </c>
      <c r="C2568" s="2" t="s">
        <v>569</v>
      </c>
      <c r="D2568" s="2" t="str">
        <f t="shared" si="39"/>
        <v>Error?</v>
      </c>
    </row>
    <row r="2569" spans="1:4" x14ac:dyDescent="0.2">
      <c r="A2569" s="5">
        <v>2508</v>
      </c>
      <c r="B2569" s="1832">
        <f>'Acct Summary 7-8'!D13</f>
        <v>367802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367802</v>
      </c>
      <c r="C2573" s="2" t="s">
        <v>569</v>
      </c>
      <c r="D2573" s="2" t="str">
        <f t="shared" si="39"/>
        <v>Error?</v>
      </c>
    </row>
    <row r="2574" spans="1:4" x14ac:dyDescent="0.2">
      <c r="A2574" s="5">
        <v>2513</v>
      </c>
      <c r="B2574" s="1832">
        <f>'Acct Summary 7-8'!D20</f>
        <v>78745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224802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142766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367568</v>
      </c>
      <c r="C2595" s="2" t="s">
        <v>569</v>
      </c>
      <c r="D2595" s="2" t="str">
        <f t="shared" si="39"/>
        <v>Error?</v>
      </c>
    </row>
    <row r="2596" spans="1:4" x14ac:dyDescent="0.2">
      <c r="A2596" s="5">
        <v>2535</v>
      </c>
      <c r="B2596" s="1832">
        <f>'Acct Summary 7-8'!F13</f>
        <v>581689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581689</v>
      </c>
      <c r="C2600" s="2" t="s">
        <v>569</v>
      </c>
      <c r="D2600" s="2" t="str">
        <f t="shared" si="39"/>
        <v>Error?</v>
      </c>
    </row>
    <row r="2601" spans="1:4" x14ac:dyDescent="0.2">
      <c r="A2601" s="5">
        <v>2540</v>
      </c>
      <c r="B2601" s="1832">
        <f>'Acct Summary 7-8'!F20</f>
        <v>-214121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230295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230295</v>
      </c>
      <c r="C2606" s="2" t="s">
        <v>569</v>
      </c>
      <c r="D2606" s="2" t="str">
        <f t="shared" si="39"/>
        <v>Error?</v>
      </c>
    </row>
    <row r="2607" spans="1:4" x14ac:dyDescent="0.2">
      <c r="A2607" s="5">
        <v>2546</v>
      </c>
      <c r="B2607" s="1832">
        <f>'Acct Summary 7-8'!G12</f>
        <v>101820</v>
      </c>
      <c r="C2607" s="2" t="s">
        <v>569</v>
      </c>
      <c r="D2607" s="2" t="str">
        <f t="shared" si="39"/>
        <v>Error?</v>
      </c>
    </row>
    <row r="2608" spans="1:4" x14ac:dyDescent="0.2">
      <c r="A2608" s="5">
        <v>2547</v>
      </c>
      <c r="B2608" s="1832">
        <f>'Acct Summary 7-8'!G13</f>
        <v>125054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226874</v>
      </c>
      <c r="C2612" s="2" t="s">
        <v>569</v>
      </c>
      <c r="D2612" s="2" t="str">
        <f t="shared" si="39"/>
        <v>Error?</v>
      </c>
    </row>
    <row r="2613" spans="1:4" x14ac:dyDescent="0.2">
      <c r="A2613" s="5">
        <v>2552</v>
      </c>
      <c r="B2613" s="1832">
        <f>'Acct Summary 7-8'!G20</f>
        <v>3421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829983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829983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813388</v>
      </c>
      <c r="C2634" s="2" t="s">
        <v>569</v>
      </c>
      <c r="D2634" s="2" t="str">
        <f t="shared" si="40"/>
        <v>Error?</v>
      </c>
    </row>
    <row r="2635" spans="1:4" x14ac:dyDescent="0.2">
      <c r="A2635" s="5">
        <v>2574</v>
      </c>
      <c r="B2635" s="1832">
        <f>'Acct Summary 7-8'!E17</f>
        <v>813388</v>
      </c>
      <c r="C2635" s="2" t="s">
        <v>569</v>
      </c>
      <c r="D2635" s="2" t="str">
        <f t="shared" si="40"/>
        <v>Error?</v>
      </c>
    </row>
    <row r="2636" spans="1:4" x14ac:dyDescent="0.2">
      <c r="A2636" s="5">
        <v>2575</v>
      </c>
      <c r="B2636" s="1832">
        <f>'Acct Summary 7-8'!E20</f>
        <v>16595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261034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311034</v>
      </c>
      <c r="C2658" s="2" t="s">
        <v>569</v>
      </c>
      <c r="D2658" s="2" t="str">
        <f t="shared" si="40"/>
        <v>Error?</v>
      </c>
    </row>
    <row r="2659" spans="1:4" x14ac:dyDescent="0.2">
      <c r="A2659" s="5">
        <v>2598</v>
      </c>
      <c r="B2659" s="1832">
        <f>'Acct Summary 7-8'!H13</f>
        <v>590709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590709</v>
      </c>
      <c r="C2661" s="2" t="s">
        <v>569</v>
      </c>
      <c r="D2661" s="2" t="str">
        <f t="shared" si="40"/>
        <v>Error?</v>
      </c>
    </row>
    <row r="2662" spans="1:4" x14ac:dyDescent="0.2">
      <c r="A2662" s="5">
        <v>2601</v>
      </c>
      <c r="B2662" s="1832">
        <f>'Acct Summary 7-8'!H20</f>
        <v>-279675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319767</v>
      </c>
      <c r="C2789" s="2" t="s">
        <v>569</v>
      </c>
      <c r="D2789" s="2" t="str">
        <f t="shared" si="42"/>
        <v>Error?</v>
      </c>
    </row>
    <row r="2790" spans="1:4" x14ac:dyDescent="0.2">
      <c r="A2790" s="5">
        <v>2729</v>
      </c>
      <c r="B2790" s="1832">
        <f>'Expenditures 15-22'!E102</f>
        <v>319767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296501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248000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2009717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8051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90657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2009717</v>
      </c>
      <c r="D2912" s="2" t="str">
        <f t="shared" si="44"/>
        <v>Error?</v>
      </c>
    </row>
    <row r="2913" spans="1:4" x14ac:dyDescent="0.2">
      <c r="A2913" s="5">
        <v>2852</v>
      </c>
      <c r="B2913" s="1832">
        <f>'Assets-Liab 5-6'!I41</f>
        <v>2009717</v>
      </c>
      <c r="C2913" s="2" t="s">
        <v>569</v>
      </c>
      <c r="D2913" s="2" t="str">
        <f t="shared" si="44"/>
        <v>Error?</v>
      </c>
    </row>
    <row r="2914" spans="1:4" x14ac:dyDescent="0.2">
      <c r="A2914" s="5">
        <v>2853</v>
      </c>
      <c r="B2914" s="1832">
        <f>'Assets-Liab 5-6'!L33</f>
        <v>90657</v>
      </c>
      <c r="D2914" s="2" t="str">
        <f t="shared" si="44"/>
        <v>Error?</v>
      </c>
    </row>
    <row r="2915" spans="1:4" x14ac:dyDescent="0.2">
      <c r="A2915" s="10">
        <v>2854</v>
      </c>
      <c r="B2915" s="1832"/>
      <c r="D2915" s="2" t="str">
        <f t="shared" si="44"/>
        <v>OK</v>
      </c>
    </row>
    <row r="2916" spans="1:4" x14ac:dyDescent="0.2">
      <c r="A2916" s="5">
        <v>2855</v>
      </c>
      <c r="B2916" s="1832">
        <f>'Assets-Liab 5-6'!L34</f>
        <v>90657</v>
      </c>
      <c r="C2916" s="2" t="s">
        <v>569</v>
      </c>
      <c r="D2916" s="2" t="str">
        <f t="shared" si="44"/>
        <v>Error?</v>
      </c>
    </row>
    <row r="2917" spans="1:4" x14ac:dyDescent="0.2">
      <c r="A2917" s="5">
        <v>2856</v>
      </c>
      <c r="B2917" s="1832">
        <f>'Assets-Liab 5-6'!L41</f>
        <v>90657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319767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319767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73081</v>
      </c>
      <c r="D3055" s="2" t="str">
        <f t="shared" si="46"/>
        <v>Error?</v>
      </c>
    </row>
    <row r="3056" spans="1:4" x14ac:dyDescent="0.2">
      <c r="A3056" s="5">
        <v>2995</v>
      </c>
      <c r="B3056" s="1832">
        <f>'Expenditures 15-22'!D10</f>
        <v>20922</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5442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99445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12848</v>
      </c>
      <c r="D3064" s="2" t="str">
        <f t="shared" si="46"/>
        <v>Error?</v>
      </c>
    </row>
    <row r="3065" spans="1:4" x14ac:dyDescent="0.2">
      <c r="A3065" s="5">
        <v>3004</v>
      </c>
      <c r="B3065" s="1832">
        <f>'Expenditures 15-22'!K219</f>
        <v>12848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100673</v>
      </c>
      <c r="C3225" s="2" t="s">
        <v>569</v>
      </c>
      <c r="D3225" s="2" t="str">
        <f t="shared" si="49"/>
        <v>Error?</v>
      </c>
    </row>
    <row r="3226" spans="1:4" x14ac:dyDescent="0.2">
      <c r="A3226" s="5">
        <v>3165</v>
      </c>
      <c r="B3226" s="1832">
        <f>'Acct Summary 7-8'!I8</f>
        <v>100673</v>
      </c>
      <c r="C3226" s="2" t="s">
        <v>569</v>
      </c>
      <c r="D3226" s="2" t="str">
        <f t="shared" si="49"/>
        <v>Error?</v>
      </c>
    </row>
    <row r="3227" spans="1:4" x14ac:dyDescent="0.2">
      <c r="A3227" s="5">
        <v>3166</v>
      </c>
      <c r="B3227" s="1832">
        <f>'Acct Summary 7-8'!I20</f>
        <v>100673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320607</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320607</v>
      </c>
      <c r="C3232" s="2" t="s">
        <v>569</v>
      </c>
      <c r="D3232" s="2" t="str">
        <f t="shared" si="49"/>
        <v>Error?</v>
      </c>
    </row>
    <row r="3233" spans="1:4" x14ac:dyDescent="0.2">
      <c r="A3233" s="5">
        <v>3172</v>
      </c>
      <c r="B3233" s="1832">
        <f>'Acct Summary 7-8'!C78</f>
        <v>-222354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130950</v>
      </c>
      <c r="C3237" s="2" t="s">
        <v>569</v>
      </c>
      <c r="D3237" s="2" t="str">
        <f t="shared" si="49"/>
        <v>Error?</v>
      </c>
    </row>
    <row r="3238" spans="1:4" x14ac:dyDescent="0.2">
      <c r="A3238" s="5">
        <v>3177</v>
      </c>
      <c r="B3238" s="1832">
        <f>'Acct Summary 7-8'!D77</f>
        <v>-130950</v>
      </c>
      <c r="C3238" s="2" t="s">
        <v>569</v>
      </c>
      <c r="D3238" s="2" t="str">
        <f t="shared" si="49"/>
        <v>Error?</v>
      </c>
    </row>
    <row r="3239" spans="1:4" x14ac:dyDescent="0.2">
      <c r="A3239" s="5">
        <v>3178</v>
      </c>
      <c r="B3239" s="1832">
        <f>'Acct Summary 7-8'!D78</f>
        <v>-52205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168000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168000</v>
      </c>
      <c r="C3255" s="2" t="s">
        <v>569</v>
      </c>
      <c r="D3255" s="2" t="str">
        <f t="shared" si="49"/>
        <v>Error?</v>
      </c>
    </row>
    <row r="3256" spans="1:4" x14ac:dyDescent="0.2">
      <c r="A3256" s="5">
        <v>3195</v>
      </c>
      <c r="B3256" s="1832">
        <f>'Acct Summary 7-8'!F78</f>
        <v>-46121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3421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16595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600000</v>
      </c>
      <c r="D3295" s="2" t="str">
        <f t="shared" si="50"/>
        <v>Error?</v>
      </c>
    </row>
    <row r="3296" spans="1:4" x14ac:dyDescent="0.2">
      <c r="A3296" s="5">
        <v>3235</v>
      </c>
      <c r="B3296" s="1832">
        <f>'Acct Summary 7-8'!H44</f>
        <v>600000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600000</v>
      </c>
      <c r="C3299" s="2" t="s">
        <v>569</v>
      </c>
      <c r="D3299" s="2" t="str">
        <f t="shared" si="50"/>
        <v>Error?</v>
      </c>
    </row>
    <row r="3300" spans="1:4" x14ac:dyDescent="0.2">
      <c r="A3300" s="5">
        <v>3239</v>
      </c>
      <c r="B3300" s="1832">
        <f>'Acct Summary 7-8'!H78</f>
        <v>320325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357657</v>
      </c>
      <c r="C3318" s="2" t="s">
        <v>569</v>
      </c>
      <c r="D3318" s="2" t="str">
        <f t="shared" si="50"/>
        <v>Error?</v>
      </c>
    </row>
    <row r="3319" spans="1:4" x14ac:dyDescent="0.2">
      <c r="A3319" s="5">
        <v>3258</v>
      </c>
      <c r="B3319" s="1832">
        <f>'Acct Summary 7-8'!I77</f>
        <v>-357657</v>
      </c>
      <c r="C3319" s="2" t="s">
        <v>569</v>
      </c>
      <c r="D3319" s="2" t="str">
        <f t="shared" si="50"/>
        <v>Error?</v>
      </c>
    </row>
    <row r="3320" spans="1:4" x14ac:dyDescent="0.2">
      <c r="A3320" s="5">
        <v>3259</v>
      </c>
      <c r="B3320" s="1832">
        <f>'Acct Summary 7-8'!I78</f>
        <v>-256984</v>
      </c>
      <c r="C3320" s="2" t="s">
        <v>569</v>
      </c>
      <c r="D3320" s="2" t="str">
        <f t="shared" si="50"/>
        <v>Error?</v>
      </c>
    </row>
    <row r="3321" spans="1:4" x14ac:dyDescent="0.2">
      <c r="A3321" s="5">
        <v>3260</v>
      </c>
      <c r="B3321" s="1832">
        <f>'Acct Summary 7-8'!I79</f>
        <v>2266701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2009717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490558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83838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1902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832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577130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46370</v>
      </c>
      <c r="D3387" s="2" t="str">
        <f t="shared" si="51"/>
        <v>Error?</v>
      </c>
    </row>
    <row r="3388" spans="1:4" x14ac:dyDescent="0.2">
      <c r="A3388" s="5">
        <v>3327</v>
      </c>
      <c r="B3388" s="1832">
        <f>'Expenditures 15-22'!D217</f>
        <v>39865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46370</v>
      </c>
      <c r="C3390" s="2" t="s">
        <v>569</v>
      </c>
      <c r="D3390" s="2" t="str">
        <f t="shared" si="51"/>
        <v>Error?</v>
      </c>
    </row>
    <row r="3391" spans="1:4" x14ac:dyDescent="0.2">
      <c r="A3391" s="5">
        <v>3330</v>
      </c>
      <c r="B3391" s="1832">
        <f>'Expenditures 15-22'!K217</f>
        <v>39865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538923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268953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37570</v>
      </c>
      <c r="D3417" s="2" t="str">
        <f t="shared" si="52"/>
        <v>Error?</v>
      </c>
    </row>
    <row r="3418" spans="1:4" x14ac:dyDescent="0.2">
      <c r="A3418" s="10">
        <v>3357</v>
      </c>
      <c r="B3418" s="1832"/>
      <c r="D3418" s="2" t="str">
        <f t="shared" si="52"/>
        <v>OK</v>
      </c>
    </row>
    <row r="3419" spans="1:4" x14ac:dyDescent="0.2">
      <c r="A3419" s="5">
        <v>3358</v>
      </c>
      <c r="B3419" s="1832">
        <f>'Assets-Liab 5-6'!F4</f>
        <v>64105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268842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486932</v>
      </c>
      <c r="D3425" s="2" t="str">
        <f t="shared" si="52"/>
        <v>Error?</v>
      </c>
    </row>
    <row r="3426" spans="1:4" x14ac:dyDescent="0.2">
      <c r="A3426" s="10">
        <v>3365</v>
      </c>
      <c r="B3426" s="1832"/>
      <c r="D3426" s="2" t="str">
        <f t="shared" si="52"/>
        <v>OK</v>
      </c>
    </row>
    <row r="3427" spans="1:4" x14ac:dyDescent="0.2">
      <c r="A3427" s="5">
        <v>3366</v>
      </c>
      <c r="B3427" s="1832">
        <f>'Assets-Liab 5-6'!I4</f>
        <v>1761717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82606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114780</v>
      </c>
      <c r="C3446" s="2" t="s">
        <v>569</v>
      </c>
      <c r="D3446" s="2" t="str">
        <f t="shared" si="52"/>
        <v>Error?</v>
      </c>
    </row>
    <row r="3447" spans="1:4" x14ac:dyDescent="0.2">
      <c r="A3447" s="5">
        <v>3386</v>
      </c>
      <c r="B3447" s="1832">
        <f>'Tax Sched 23'!D16</f>
        <v>114780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115086</v>
      </c>
      <c r="C3449" s="2" t="s">
        <v>569</v>
      </c>
      <c r="D3449" s="2" t="str">
        <f t="shared" si="52"/>
        <v>Error?</v>
      </c>
    </row>
    <row r="3450" spans="1:4" x14ac:dyDescent="0.2">
      <c r="A3450" s="5">
        <v>3389</v>
      </c>
      <c r="B3450" s="1832">
        <f>'Tax Sched 23'!E16</f>
        <v>115086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296501</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296501</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296501</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322092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322092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322092</v>
      </c>
      <c r="D3567" s="2" t="str">
        <f t="shared" si="54"/>
        <v>Error?</v>
      </c>
    </row>
    <row r="3568" spans="1:4" x14ac:dyDescent="0.2">
      <c r="A3568" s="5">
        <v>3507</v>
      </c>
      <c r="B3568" s="1832">
        <f>'Assets-Liab 5-6'!K41</f>
        <v>322092</v>
      </c>
      <c r="C3568" s="2" t="s">
        <v>569</v>
      </c>
      <c r="D3568" s="2" t="str">
        <f t="shared" si="54"/>
        <v>Error?</v>
      </c>
    </row>
    <row r="3569" spans="1:4" x14ac:dyDescent="0.2">
      <c r="A3569" s="5">
        <v>3508</v>
      </c>
      <c r="B3569" s="1832">
        <f>'Acct Summary 7-8'!K4</f>
        <v>89398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89398</v>
      </c>
      <c r="C3571" s="2" t="s">
        <v>569</v>
      </c>
      <c r="D3571" s="2" t="str">
        <f t="shared" si="54"/>
        <v>Error?</v>
      </c>
    </row>
    <row r="3572" spans="1:4" x14ac:dyDescent="0.2">
      <c r="A3572" s="5">
        <v>3511</v>
      </c>
      <c r="B3572" s="1832">
        <f>'Acct Summary 7-8'!K13</f>
        <v>13493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13493</v>
      </c>
      <c r="C3575" s="2" t="s">
        <v>569</v>
      </c>
      <c r="D3575" s="2" t="str">
        <f t="shared" si="54"/>
        <v>Error?</v>
      </c>
    </row>
    <row r="3576" spans="1:4" x14ac:dyDescent="0.2">
      <c r="A3576" s="5">
        <v>3515</v>
      </c>
      <c r="B3576" s="1832">
        <f>'Acct Summary 7-8'!K20</f>
        <v>75905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75905</v>
      </c>
      <c r="C3588" s="2" t="s">
        <v>569</v>
      </c>
      <c r="D3588" s="2" t="str">
        <f t="shared" si="55"/>
        <v>Error?</v>
      </c>
    </row>
    <row r="3589" spans="1:4" x14ac:dyDescent="0.2">
      <c r="A3589" s="5">
        <v>3528</v>
      </c>
      <c r="B3589" s="1832">
        <f>'Acct Summary 7-8'!K79</f>
        <v>246187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322092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4378</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4378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4378</v>
      </c>
      <c r="C3635" s="2" t="s">
        <v>569</v>
      </c>
      <c r="D3635" s="2" t="str">
        <f t="shared" si="55"/>
        <v>Error?</v>
      </c>
    </row>
    <row r="3636" spans="1:4" x14ac:dyDescent="0.2">
      <c r="A3636" s="5">
        <v>3575</v>
      </c>
      <c r="B3636" s="1832">
        <f>'Expenditures 15-22'!E367</f>
        <v>4378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9115</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9115</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9115</v>
      </c>
      <c r="C3642" s="2" t="s">
        <v>569</v>
      </c>
      <c r="D3642" s="2" t="str">
        <f t="shared" si="55"/>
        <v>Error?</v>
      </c>
    </row>
    <row r="3643" spans="1:4" x14ac:dyDescent="0.2">
      <c r="A3643" s="5">
        <v>3582</v>
      </c>
      <c r="B3643" s="1832">
        <f>'Expenditures 15-22'!F367</f>
        <v>9115</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13493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13493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13493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13493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75905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29944</v>
      </c>
      <c r="C3725" s="2" t="s">
        <v>569</v>
      </c>
      <c r="D3725" s="2" t="str">
        <f t="shared" si="57"/>
        <v>Error?</v>
      </c>
    </row>
    <row r="3726" spans="1:4" x14ac:dyDescent="0.2">
      <c r="A3726" s="5">
        <v>3665</v>
      </c>
      <c r="B3726" s="1832">
        <f>'Tax Sched 23'!D13</f>
        <v>29944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30099</v>
      </c>
      <c r="C3728" s="2" t="s">
        <v>569</v>
      </c>
      <c r="D3728" s="2" t="str">
        <f t="shared" si="57"/>
        <v>Error?</v>
      </c>
    </row>
    <row r="3729" spans="1:4" x14ac:dyDescent="0.2">
      <c r="A3729" s="5">
        <v>3668</v>
      </c>
      <c r="B3729" s="1832">
        <f>'Tax Sched 23'!E13</f>
        <v>30099</v>
      </c>
      <c r="D3729" s="2" t="str">
        <f t="shared" si="57"/>
        <v>Error?</v>
      </c>
    </row>
    <row r="3730" spans="1:4" x14ac:dyDescent="0.2">
      <c r="A3730" s="5">
        <v>3669</v>
      </c>
      <c r="B3730" s="1832">
        <f>'ICR Computation 30'!E10</f>
        <v>70403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2673499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7960506</v>
      </c>
      <c r="C4122" s="2" t="s">
        <v>569</v>
      </c>
      <c r="D4122" s="2" t="str">
        <f t="shared" si="63"/>
        <v>Error?</v>
      </c>
    </row>
    <row r="4123" spans="1:4" x14ac:dyDescent="0.2">
      <c r="A4123" s="5">
        <v>4062</v>
      </c>
      <c r="B4123" s="1832">
        <f>'Acct Summary 7-8'!D10</f>
        <v>446547</v>
      </c>
      <c r="C4123" s="2" t="s">
        <v>569</v>
      </c>
      <c r="D4123" s="2" t="str">
        <f t="shared" si="63"/>
        <v>Error?</v>
      </c>
    </row>
    <row r="4124" spans="1:4" x14ac:dyDescent="0.2">
      <c r="A4124" s="5">
        <v>4063</v>
      </c>
      <c r="B4124" s="1832">
        <f>'Acct Summary 7-8'!E10</f>
        <v>829983</v>
      </c>
      <c r="C4124" s="2" t="s">
        <v>569</v>
      </c>
      <c r="D4124" s="2" t="str">
        <f t="shared" si="63"/>
        <v>Error?</v>
      </c>
    </row>
    <row r="4125" spans="1:4" x14ac:dyDescent="0.2">
      <c r="A4125" s="5">
        <v>4064</v>
      </c>
      <c r="B4125" s="1832">
        <f>'Acct Summary 7-8'!F10</f>
        <v>367568</v>
      </c>
      <c r="C4125" s="2" t="s">
        <v>569</v>
      </c>
      <c r="D4125" s="2" t="str">
        <f t="shared" si="63"/>
        <v>Error?</v>
      </c>
    </row>
    <row r="4126" spans="1:4" x14ac:dyDescent="0.2">
      <c r="A4126" s="5">
        <v>4065</v>
      </c>
      <c r="B4126" s="1832">
        <f>'Acct Summary 7-8'!G10</f>
        <v>230295</v>
      </c>
      <c r="C4126" s="2" t="s">
        <v>569</v>
      </c>
      <c r="D4126" s="2" t="str">
        <f t="shared" si="63"/>
        <v>Error?</v>
      </c>
    </row>
    <row r="4127" spans="1:4" x14ac:dyDescent="0.2">
      <c r="A4127" s="5">
        <v>4066</v>
      </c>
      <c r="B4127" s="1832">
        <f>'Acct Summary 7-8'!H10</f>
        <v>311034</v>
      </c>
      <c r="C4127" s="2" t="s">
        <v>569</v>
      </c>
      <c r="D4127" s="2" t="str">
        <f t="shared" si="63"/>
        <v>Error?</v>
      </c>
    </row>
    <row r="4128" spans="1:4" x14ac:dyDescent="0.2">
      <c r="A4128" s="5">
        <v>4067</v>
      </c>
      <c r="B4128" s="1832">
        <f>'Acct Summary 7-8'!I10</f>
        <v>100673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89398</v>
      </c>
      <c r="C4130" s="2" t="s">
        <v>569</v>
      </c>
      <c r="D4130" s="2" t="str">
        <f t="shared" si="63"/>
        <v>Error?</v>
      </c>
    </row>
    <row r="4131" spans="1:4" x14ac:dyDescent="0.2">
      <c r="A4131" s="5">
        <v>4070</v>
      </c>
      <c r="B4131" s="1832">
        <f>'Acct Summary 7-8'!C18</f>
        <v>2673499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8503467</v>
      </c>
      <c r="C4136" s="2" t="s">
        <v>569</v>
      </c>
      <c r="D4136" s="2" t="str">
        <f t="shared" si="63"/>
        <v>Error?</v>
      </c>
    </row>
    <row r="4137" spans="1:4" x14ac:dyDescent="0.2">
      <c r="A4137" s="5">
        <v>4076</v>
      </c>
      <c r="B4137" s="1832">
        <f>'Acct Summary 7-8'!D19</f>
        <v>367802</v>
      </c>
      <c r="C4137" s="2" t="s">
        <v>569</v>
      </c>
      <c r="D4137" s="2" t="str">
        <f t="shared" si="63"/>
        <v>Error?</v>
      </c>
    </row>
    <row r="4138" spans="1:4" x14ac:dyDescent="0.2">
      <c r="A4138" s="5">
        <v>4077</v>
      </c>
      <c r="B4138" s="1832">
        <f>'Acct Summary 7-8'!E19</f>
        <v>813388</v>
      </c>
      <c r="C4138" s="2" t="s">
        <v>569</v>
      </c>
      <c r="D4138" s="2" t="str">
        <f t="shared" si="63"/>
        <v>Error?</v>
      </c>
    </row>
    <row r="4139" spans="1:4" x14ac:dyDescent="0.2">
      <c r="A4139" s="5">
        <v>4078</v>
      </c>
      <c r="B4139" s="1832">
        <f>'Acct Summary 7-8'!F19</f>
        <v>581689</v>
      </c>
      <c r="C4139" s="2" t="s">
        <v>569</v>
      </c>
      <c r="D4139" s="2" t="str">
        <f t="shared" si="63"/>
        <v>Error?</v>
      </c>
    </row>
    <row r="4140" spans="1:4" x14ac:dyDescent="0.2">
      <c r="A4140" s="5">
        <v>4079</v>
      </c>
      <c r="B4140" s="1832">
        <f>'Acct Summary 7-8'!G19</f>
        <v>226874</v>
      </c>
      <c r="C4140" s="2" t="s">
        <v>569</v>
      </c>
      <c r="D4140" s="2" t="str">
        <f t="shared" si="63"/>
        <v>Error?</v>
      </c>
    </row>
    <row r="4141" spans="1:4" x14ac:dyDescent="0.2">
      <c r="A4141" s="5">
        <v>4080</v>
      </c>
      <c r="B4141" s="1832">
        <f>'Acct Summary 7-8'!H19</f>
        <v>590709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13493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8725000</v>
      </c>
      <c r="C4171" s="2" t="s">
        <v>569</v>
      </c>
      <c r="D4171" s="2" t="str">
        <f t="shared" si="64"/>
        <v>Error?</v>
      </c>
    </row>
    <row r="4172" spans="1:4" x14ac:dyDescent="0.2">
      <c r="A4172" s="5">
        <v>4111</v>
      </c>
      <c r="B4172" s="1832">
        <f>'Short-Term Long-Term Debt 24'!J49</f>
        <v>8687430</v>
      </c>
      <c r="C4172" s="2" t="s">
        <v>569</v>
      </c>
      <c r="D4172" s="2" t="str">
        <f t="shared" si="64"/>
        <v>Error?</v>
      </c>
    </row>
    <row r="4173" spans="1:4" x14ac:dyDescent="0.2">
      <c r="A4173" s="5">
        <v>4112</v>
      </c>
      <c r="B4173" s="1832">
        <f>'Short-Term Long-Term Debt 24'!H49</f>
        <v>505000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600000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1520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1890</v>
      </c>
      <c r="C4268" s="2" t="s">
        <v>569</v>
      </c>
      <c r="D4268" s="2" t="str">
        <f t="shared" si="65"/>
        <v>Error?</v>
      </c>
    </row>
    <row r="4269" spans="1:5" x14ac:dyDescent="0.2">
      <c r="A4269" s="12">
        <v>4208</v>
      </c>
      <c r="B4269" s="1832">
        <f>'FP Info 3'!J16</f>
        <v>2881698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3760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1793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3749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15226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177055586</v>
      </c>
      <c r="D4995" s="2" t="str">
        <f t="shared" si="77"/>
        <v>Error?</v>
      </c>
    </row>
    <row r="4996" spans="1:4" x14ac:dyDescent="0.2">
      <c r="A4996" s="12">
        <v>4935</v>
      </c>
      <c r="B4996" s="1832">
        <f>'FP Info 3'!H31</f>
        <v>12216835.434</v>
      </c>
      <c r="D4996" s="2" t="str">
        <f t="shared" si="77"/>
        <v>Error?</v>
      </c>
    </row>
    <row r="4997" spans="1:4" x14ac:dyDescent="0.2">
      <c r="A4997" s="12">
        <v>4936</v>
      </c>
      <c r="B4997" s="1832">
        <f>'FP Info 3'!H37</f>
        <v>8725000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45950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85000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130950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29944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2709137</v>
      </c>
      <c r="D5061" s="2" t="str">
        <f t="shared" si="78"/>
        <v>Error?</v>
      </c>
    </row>
    <row r="5062" spans="1:4" x14ac:dyDescent="0.2">
      <c r="A5062" s="10">
        <v>5001</v>
      </c>
      <c r="B5062" s="1832"/>
      <c r="D5062" s="2" t="str">
        <f t="shared" si="78"/>
        <v>OK</v>
      </c>
    </row>
    <row r="5063" spans="1:4" x14ac:dyDescent="0.2">
      <c r="A5063" s="5">
        <v>5002</v>
      </c>
      <c r="B5063" s="1832">
        <f>'Revenues 9-14'!C7</f>
        <v>35646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2774727</v>
      </c>
      <c r="C5066" s="2" t="s">
        <v>569</v>
      </c>
      <c r="D5066" s="2" t="str">
        <f t="shared" si="78"/>
        <v>Error?</v>
      </c>
    </row>
    <row r="5067" spans="1:4" x14ac:dyDescent="0.2">
      <c r="A5067" s="5">
        <v>5006</v>
      </c>
      <c r="B5067" s="1832">
        <f>'Revenues 9-14'!C14</f>
        <v>1206</v>
      </c>
      <c r="D5067" s="2" t="str">
        <f t="shared" si="78"/>
        <v>Error?</v>
      </c>
    </row>
    <row r="5068" spans="1:4" x14ac:dyDescent="0.2">
      <c r="A5068" s="5">
        <v>5007</v>
      </c>
      <c r="B5068" s="1832">
        <f>'Revenues 9-14'!C15</f>
        <v>611</v>
      </c>
      <c r="D5068" s="2" t="str">
        <f t="shared" si="78"/>
        <v>Error?</v>
      </c>
    </row>
    <row r="5069" spans="1:4" x14ac:dyDescent="0.2">
      <c r="A5069" s="5">
        <v>5008</v>
      </c>
      <c r="B5069" s="1832">
        <f>'Revenues 9-14'!C16</f>
        <v>50061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51878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4551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4551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175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86330</v>
      </c>
      <c r="C5096" s="2" t="s">
        <v>569</v>
      </c>
      <c r="D5096" s="2" t="str">
        <f t="shared" si="78"/>
        <v>Error?</v>
      </c>
    </row>
    <row r="5097" spans="1:4" x14ac:dyDescent="0.2">
      <c r="A5097" s="5">
        <v>5036</v>
      </c>
      <c r="B5097" s="1832">
        <f>'Revenues 9-14'!C77</f>
        <v>8456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74473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5908</v>
      </c>
      <c r="D5101" s="2" t="str">
        <f t="shared" si="78"/>
        <v>Error?</v>
      </c>
    </row>
    <row r="5102" spans="1:4" x14ac:dyDescent="0.2">
      <c r="A5102" s="5">
        <v>5041</v>
      </c>
      <c r="B5102" s="1832">
        <f>'Revenues 9-14'!C82</f>
        <v>88837</v>
      </c>
      <c r="C5102" s="2" t="s">
        <v>569</v>
      </c>
      <c r="D5102" s="2" t="str">
        <f t="shared" si="78"/>
        <v>Error?</v>
      </c>
    </row>
    <row r="5103" spans="1:4" x14ac:dyDescent="0.2">
      <c r="A5103" s="5">
        <v>5042</v>
      </c>
      <c r="B5103" s="1832">
        <f>'Revenues 9-14'!C84</f>
        <v>62394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2406</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64800</v>
      </c>
      <c r="C5112" s="2" t="s">
        <v>569</v>
      </c>
      <c r="D5112" s="2" t="str">
        <f t="shared" si="78"/>
        <v>Error?</v>
      </c>
    </row>
    <row r="5113" spans="1:4" x14ac:dyDescent="0.2">
      <c r="A5113" s="5">
        <v>5052</v>
      </c>
      <c r="B5113" s="1832">
        <f>'Revenues 9-14'!C95</f>
        <v>1760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8742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24639</v>
      </c>
      <c r="D5118" s="2" t="str">
        <f t="shared" si="78"/>
        <v>Error?</v>
      </c>
    </row>
    <row r="5119" spans="1:4" x14ac:dyDescent="0.2">
      <c r="A5119" s="5">
        <v>5058</v>
      </c>
      <c r="B5119" s="1832">
        <f>'Revenues 9-14'!C107</f>
        <v>3513</v>
      </c>
      <c r="D5119" s="2" t="str">
        <f t="shared" ref="D5119:D5182" si="79">IF(ISBLANK(B5119),"OK",IF(A5119-B5119=0,"OK","Error?"))</f>
        <v>Error?</v>
      </c>
    </row>
    <row r="5120" spans="1:4" x14ac:dyDescent="0.2">
      <c r="A5120" s="5">
        <v>5059</v>
      </c>
      <c r="B5120" s="1832">
        <f>'Revenues 9-14'!C108</f>
        <v>38654</v>
      </c>
      <c r="C5120" s="2" t="s">
        <v>569</v>
      </c>
      <c r="D5120" s="2" t="str">
        <f t="shared" si="79"/>
        <v>Error?</v>
      </c>
    </row>
    <row r="5121" spans="1:4" x14ac:dyDescent="0.2">
      <c r="A5121" s="5">
        <v>5060</v>
      </c>
      <c r="B5121" s="1832">
        <f>'Revenues 9-14'!C109</f>
        <v>3109777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1789987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1789987</v>
      </c>
      <c r="C5132" s="2" t="s">
        <v>569</v>
      </c>
      <c r="D5132" s="2" t="str">
        <f t="shared" si="79"/>
        <v>Error?</v>
      </c>
    </row>
    <row r="5133" spans="1:4" x14ac:dyDescent="0.2">
      <c r="A5133" s="5">
        <v>5072</v>
      </c>
      <c r="B5133" s="1832">
        <f>'Revenues 9-14'!C125</f>
        <v>38525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7292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45817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602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46419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1836406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46294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3401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49695</v>
      </c>
      <c r="C5246" s="2" t="s">
        <v>569</v>
      </c>
      <c r="D5246" s="2" t="str">
        <f t="shared" si="80"/>
        <v>Error?</v>
      </c>
    </row>
    <row r="5247" spans="1:4" x14ac:dyDescent="0.2">
      <c r="A5247" s="5">
        <v>5186</v>
      </c>
      <c r="B5247" s="1832">
        <f>'Revenues 9-14'!C200</f>
        <v>68114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3749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68114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14149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184338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198487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340824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340824</v>
      </c>
      <c r="C5326" s="2" t="s">
        <v>569</v>
      </c>
      <c r="D5326" s="2" t="str">
        <f t="shared" si="82"/>
        <v>Error?</v>
      </c>
    </row>
    <row r="5327" spans="1:5" x14ac:dyDescent="0.2">
      <c r="A5327" s="5">
        <v>5266</v>
      </c>
      <c r="B5327" s="1832">
        <f>'Revenues 9-14'!C268</f>
        <v>5287007</v>
      </c>
      <c r="C5327" s="2" t="s">
        <v>569</v>
      </c>
      <c r="D5327" s="2" t="str">
        <f t="shared" si="82"/>
        <v>Error?</v>
      </c>
    </row>
    <row r="5328" spans="1:5" x14ac:dyDescent="0.2">
      <c r="A5328" s="5">
        <v>5267</v>
      </c>
      <c r="B5328" s="1832">
        <f>'Revenues 9-14'!D5</f>
        <v>445582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445582</v>
      </c>
      <c r="C5334" s="2" t="s">
        <v>569</v>
      </c>
      <c r="D5334" s="2" t="str">
        <f t="shared" si="82"/>
        <v>Error?</v>
      </c>
    </row>
    <row r="5335" spans="1:4" x14ac:dyDescent="0.2">
      <c r="A5335" s="5">
        <v>5274</v>
      </c>
      <c r="B5335" s="1832">
        <f>'Revenues 9-14'!D14</f>
        <v>194</v>
      </c>
      <c r="D5335" s="2" t="str">
        <f t="shared" si="82"/>
        <v>Error?</v>
      </c>
    </row>
    <row r="5336" spans="1:4" x14ac:dyDescent="0.2">
      <c r="A5336" s="5">
        <v>5275</v>
      </c>
      <c r="B5336" s="1832">
        <f>'Revenues 9-14'!D15</f>
        <v>98</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292</v>
      </c>
      <c r="C5339" s="2" t="s">
        <v>569</v>
      </c>
      <c r="D5339" s="2" t="str">
        <f t="shared" si="82"/>
        <v>Error?</v>
      </c>
    </row>
    <row r="5340" spans="1:4" x14ac:dyDescent="0.2">
      <c r="A5340" s="5">
        <v>5279</v>
      </c>
      <c r="B5340" s="1832">
        <f>'Revenues 9-14'!D65</f>
        <v>673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673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446547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446547</v>
      </c>
      <c r="C5508" s="2" t="s">
        <v>569</v>
      </c>
      <c r="D5508" s="2" t="str">
        <f t="shared" si="85"/>
        <v>Error?</v>
      </c>
    </row>
    <row r="5509" spans="1:4" x14ac:dyDescent="0.2">
      <c r="A5509" s="5">
        <v>5448</v>
      </c>
      <c r="B5509" s="1832">
        <f>'Revenues 9-14'!E5</f>
        <v>828784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828784</v>
      </c>
      <c r="C5513" s="2" t="s">
        <v>569</v>
      </c>
      <c r="D5513" s="2" t="str">
        <f t="shared" si="85"/>
        <v>Error?</v>
      </c>
    </row>
    <row r="5514" spans="1:4" x14ac:dyDescent="0.2">
      <c r="A5514" s="5">
        <v>5453</v>
      </c>
      <c r="B5514" s="1832">
        <f>'Revenues 9-14'!E14</f>
        <v>360</v>
      </c>
      <c r="D5514" s="2" t="str">
        <f t="shared" si="85"/>
        <v>Error?</v>
      </c>
    </row>
    <row r="5515" spans="1:4" x14ac:dyDescent="0.2">
      <c r="A5515" s="5">
        <v>5454</v>
      </c>
      <c r="B5515" s="1832">
        <f>'Revenues 9-14'!E15</f>
        <v>183</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543</v>
      </c>
      <c r="C5518" s="2" t="s">
        <v>569</v>
      </c>
      <c r="D5518" s="2" t="str">
        <f t="shared" si="85"/>
        <v>Error?</v>
      </c>
    </row>
    <row r="5519" spans="1:4" x14ac:dyDescent="0.2">
      <c r="A5519" s="5">
        <v>5458</v>
      </c>
      <c r="B5519" s="1832">
        <f>'Revenues 9-14'!E65</f>
        <v>656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656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829983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829983</v>
      </c>
      <c r="C5552" s="2" t="s">
        <v>569</v>
      </c>
      <c r="D5552" s="2" t="str">
        <f t="shared" si="85"/>
        <v>Error?</v>
      </c>
    </row>
    <row r="5553" spans="1:4" x14ac:dyDescent="0.2">
      <c r="A5553" s="5">
        <v>5492</v>
      </c>
      <c r="B5553" s="1832">
        <f>'Revenues 9-14'!F5</f>
        <v>213879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213879</v>
      </c>
      <c r="C5557" s="2" t="s">
        <v>569</v>
      </c>
      <c r="D5557" s="2" t="str">
        <f t="shared" si="85"/>
        <v>Error?</v>
      </c>
    </row>
    <row r="5558" spans="1:4" x14ac:dyDescent="0.2">
      <c r="A5558" s="5">
        <v>5497</v>
      </c>
      <c r="B5558" s="1832">
        <f>'Revenues 9-14'!F14</f>
        <v>93</v>
      </c>
      <c r="D5558" s="2" t="str">
        <f t="shared" si="85"/>
        <v>Error?</v>
      </c>
    </row>
    <row r="5559" spans="1:4" x14ac:dyDescent="0.2">
      <c r="A5559" s="5">
        <v>5498</v>
      </c>
      <c r="B5559" s="1832">
        <f>'Revenues 9-14'!F15</f>
        <v>47</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140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10422</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10422</v>
      </c>
      <c r="C5579" s="2" t="s">
        <v>569</v>
      </c>
      <c r="D5579" s="2" t="str">
        <f t="shared" si="86"/>
        <v>Error?</v>
      </c>
    </row>
    <row r="5580" spans="1:4" x14ac:dyDescent="0.2">
      <c r="A5580" s="5">
        <v>5519</v>
      </c>
      <c r="B5580" s="1832">
        <f>'Revenues 9-14'!F65</f>
        <v>361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361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224802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79420</v>
      </c>
      <c r="D5615" s="2" t="str">
        <f t="shared" si="86"/>
        <v>Error?</v>
      </c>
    </row>
    <row r="5616" spans="1:4" x14ac:dyDescent="0.2">
      <c r="A5616" s="10">
        <v>5555</v>
      </c>
      <c r="B5616" s="1832"/>
      <c r="D5616" s="2" t="str">
        <f t="shared" si="86"/>
        <v>OK</v>
      </c>
    </row>
    <row r="5617" spans="1:5" x14ac:dyDescent="0.2">
      <c r="A5617" s="5">
        <v>5556</v>
      </c>
      <c r="B5617" s="1832">
        <f>'Revenues 9-14'!F153</f>
        <v>63346</v>
      </c>
      <c r="D5617" s="2" t="str">
        <f t="shared" si="86"/>
        <v>Error?</v>
      </c>
    </row>
    <row r="5618" spans="1:5" x14ac:dyDescent="0.2">
      <c r="A5618" s="5">
        <v>5557</v>
      </c>
      <c r="B5618" s="1832">
        <f>'Revenues 9-14'!F155</f>
        <v>142766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142766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142766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367568</v>
      </c>
      <c r="C5720" s="2" t="s">
        <v>569</v>
      </c>
      <c r="D5720" s="2" t="str">
        <f t="shared" si="88"/>
        <v>Error?</v>
      </c>
    </row>
    <row r="5721" spans="1:4" x14ac:dyDescent="0.2">
      <c r="A5721" s="5">
        <v>5660</v>
      </c>
      <c r="B5721" s="1832">
        <f>'Revenues 9-14'!G5</f>
        <v>104795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114780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219575</v>
      </c>
      <c r="C5725" s="2" t="s">
        <v>569</v>
      </c>
      <c r="D5725" s="2" t="str">
        <f t="shared" si="88"/>
        <v>Error?</v>
      </c>
    </row>
    <row r="5726" spans="1:4" x14ac:dyDescent="0.2">
      <c r="A5726" s="5">
        <v>5665</v>
      </c>
      <c r="B5726" s="1832">
        <f>'Revenues 9-14'!G14</f>
        <v>95</v>
      </c>
      <c r="D5726" s="2" t="str">
        <f t="shared" si="88"/>
        <v>Error?</v>
      </c>
    </row>
    <row r="5727" spans="1:4" x14ac:dyDescent="0.2">
      <c r="A5727" s="5">
        <v>5666</v>
      </c>
      <c r="B5727" s="1832">
        <f>'Revenues 9-14'!G15</f>
        <v>48</v>
      </c>
      <c r="D5727" s="2" t="str">
        <f t="shared" si="88"/>
        <v>Error?</v>
      </c>
    </row>
    <row r="5728" spans="1:4" x14ac:dyDescent="0.2">
      <c r="A5728" s="5">
        <v>5667</v>
      </c>
      <c r="B5728" s="1832">
        <f>'Revenues 9-14'!G16</f>
        <v>9880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10023</v>
      </c>
      <c r="C5730" s="2" t="s">
        <v>569</v>
      </c>
      <c r="D5730" s="2" t="str">
        <f t="shared" si="88"/>
        <v>Error?</v>
      </c>
    </row>
    <row r="5731" spans="1:4" x14ac:dyDescent="0.2">
      <c r="A5731" s="5">
        <v>5670</v>
      </c>
      <c r="B5731" s="1832">
        <f>'Revenues 9-14'!G65</f>
        <v>697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697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230295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261034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311034</v>
      </c>
      <c r="C5915" s="2" t="s">
        <v>569</v>
      </c>
      <c r="D5915" s="2" t="str">
        <f t="shared" si="91"/>
        <v>Error?</v>
      </c>
    </row>
    <row r="5916" spans="1:4" x14ac:dyDescent="0.2">
      <c r="A5916" s="5">
        <v>5855</v>
      </c>
      <c r="B5916" s="1832">
        <f>'Revenues 9-14'!I5</f>
        <v>89116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89116</v>
      </c>
      <c r="C5918" s="2" t="s">
        <v>569</v>
      </c>
      <c r="D5918" s="2" t="str">
        <f t="shared" si="91"/>
        <v>Error?</v>
      </c>
    </row>
    <row r="5919" spans="1:4" x14ac:dyDescent="0.2">
      <c r="A5919" s="5">
        <v>5858</v>
      </c>
      <c r="B5919" s="1832">
        <f>'Revenues 9-14'!I14</f>
        <v>39</v>
      </c>
      <c r="D5919" s="2" t="str">
        <f t="shared" si="91"/>
        <v>Error?</v>
      </c>
    </row>
    <row r="5920" spans="1:4" x14ac:dyDescent="0.2">
      <c r="A5920" s="5">
        <v>5859</v>
      </c>
      <c r="B5920" s="1832">
        <f>'Revenues 9-14'!I15</f>
        <v>20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59</v>
      </c>
      <c r="C5923" s="2" t="s">
        <v>569</v>
      </c>
      <c r="D5923" s="2" t="str">
        <f t="shared" si="91"/>
        <v>Error?</v>
      </c>
    </row>
    <row r="5924" spans="1:4" x14ac:dyDescent="0.2">
      <c r="A5924" s="5">
        <v>5863</v>
      </c>
      <c r="B5924" s="1832">
        <f>'Revenues 9-14'!I65</f>
        <v>11498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11498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100673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89116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89116</v>
      </c>
      <c r="C5987" s="2" t="s">
        <v>569</v>
      </c>
      <c r="D5987" s="2" t="str">
        <f t="shared" si="92"/>
        <v>Error?</v>
      </c>
    </row>
    <row r="5988" spans="1:4" x14ac:dyDescent="0.2">
      <c r="A5988" s="5">
        <v>5927</v>
      </c>
      <c r="B5988" s="1832">
        <f>'Revenues 9-14'!K14</f>
        <v>39</v>
      </c>
      <c r="D5988" s="2" t="str">
        <f t="shared" si="92"/>
        <v>Error?</v>
      </c>
    </row>
    <row r="5989" spans="1:4" x14ac:dyDescent="0.2">
      <c r="A5989" s="5">
        <v>5928</v>
      </c>
      <c r="B5989" s="1832">
        <f>'Revenues 9-14'!K15</f>
        <v>20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59</v>
      </c>
      <c r="C5992" s="2" t="s">
        <v>569</v>
      </c>
      <c r="D5992" s="2" t="str">
        <f t="shared" si="92"/>
        <v>Error?</v>
      </c>
    </row>
    <row r="5993" spans="1:4" x14ac:dyDescent="0.2">
      <c r="A5993" s="5">
        <v>5932</v>
      </c>
      <c r="B5993" s="1832">
        <f>'Revenues 9-14'!K65</f>
        <v>223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223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89398</v>
      </c>
      <c r="C6023" s="2" t="s">
        <v>569</v>
      </c>
      <c r="D6023" s="2" t="str">
        <f t="shared" si="93"/>
        <v>Error?</v>
      </c>
    </row>
    <row r="6024" spans="1:5" x14ac:dyDescent="0.2">
      <c r="A6024" s="5">
        <v>5963</v>
      </c>
      <c r="B6024" s="1832">
        <f>'Revenues 9-14'!G109</f>
        <v>230295</v>
      </c>
      <c r="C6024" s="2" t="s">
        <v>569</v>
      </c>
      <c r="D6024" s="2" t="str">
        <f t="shared" si="93"/>
        <v>Error?</v>
      </c>
    </row>
    <row r="6025" spans="1:5" x14ac:dyDescent="0.2">
      <c r="A6025" s="5">
        <v>5964</v>
      </c>
      <c r="B6025" s="1832">
        <f>'Revenues 9-14'!H109</f>
        <v>261034</v>
      </c>
      <c r="C6025" s="2" t="s">
        <v>569</v>
      </c>
      <c r="D6025" s="2" t="str">
        <f t="shared" si="93"/>
        <v>Error?</v>
      </c>
    </row>
    <row r="6026" spans="1:5" x14ac:dyDescent="0.2">
      <c r="A6026" s="5">
        <v>5965</v>
      </c>
      <c r="B6026" s="1832">
        <f>'Revenues 9-14'!I109</f>
        <v>100673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89398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86155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20373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804.4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213783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213783</v>
      </c>
      <c r="D6215" s="2" t="str">
        <f t="shared" si="96"/>
        <v>Error?</v>
      </c>
      <c r="E6215" s="2" t="s">
        <v>189</v>
      </c>
    </row>
    <row r="6216" spans="1:5" x14ac:dyDescent="0.2">
      <c r="A6216">
        <v>6155</v>
      </c>
      <c r="B6216" s="1832">
        <f>'Assets-Liab 5-6'!J41</f>
        <v>213783</v>
      </c>
      <c r="D6216" s="2" t="str">
        <f t="shared" si="96"/>
        <v>Error?</v>
      </c>
      <c r="E6216" s="2" t="s">
        <v>189</v>
      </c>
    </row>
    <row r="6217" spans="1:5" x14ac:dyDescent="0.2">
      <c r="A6217">
        <v>6156</v>
      </c>
      <c r="B6217" s="1832">
        <f>'Assets-Liab 5-6'!J4</f>
        <v>213783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194913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194913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194913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176255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176255</v>
      </c>
      <c r="D6229" s="2" t="str">
        <f t="shared" si="96"/>
        <v>Error?</v>
      </c>
      <c r="E6229" s="2" t="s">
        <v>189</v>
      </c>
    </row>
    <row r="6230" spans="1:5" x14ac:dyDescent="0.2">
      <c r="A6230">
        <v>6169</v>
      </c>
      <c r="B6230" s="1832">
        <f>'Acct Summary 7-8'!J20</f>
        <v>18658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18658</v>
      </c>
      <c r="D6263" s="2" t="str">
        <f t="shared" si="96"/>
        <v>Error?</v>
      </c>
      <c r="E6263" s="2" t="s">
        <v>189</v>
      </c>
    </row>
    <row r="6264" spans="1:5" x14ac:dyDescent="0.2">
      <c r="A6264">
        <v>6203</v>
      </c>
      <c r="B6264" s="1832">
        <f>'Acct Summary 7-8'!J79</f>
        <v>195125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213783</v>
      </c>
      <c r="D6266" s="2" t="str">
        <f t="shared" si="96"/>
        <v>Error?</v>
      </c>
      <c r="E6266" s="2" t="s">
        <v>189</v>
      </c>
    </row>
    <row r="6267" spans="1:5" x14ac:dyDescent="0.2">
      <c r="A6267">
        <v>6206</v>
      </c>
      <c r="B6267" s="1832">
        <f>'Acct Summary 7-8'!C82</f>
        <v>-222354</v>
      </c>
      <c r="D6267" s="2" t="str">
        <f t="shared" si="96"/>
        <v>Error?</v>
      </c>
      <c r="E6267" s="2" t="s">
        <v>189</v>
      </c>
    </row>
    <row r="6268" spans="1:5" x14ac:dyDescent="0.2">
      <c r="A6268">
        <v>6207</v>
      </c>
      <c r="B6268" s="1832">
        <f>'Acct Summary 7-8'!D82</f>
        <v>-52205</v>
      </c>
      <c r="D6268" s="2" t="str">
        <f t="shared" si="96"/>
        <v>Error?</v>
      </c>
      <c r="E6268" s="2" t="s">
        <v>189</v>
      </c>
    </row>
    <row r="6269" spans="1:5" x14ac:dyDescent="0.2">
      <c r="A6269">
        <v>6208</v>
      </c>
      <c r="B6269" s="1832">
        <f>'Acct Summary 7-8'!E82</f>
        <v>16595</v>
      </c>
      <c r="D6269" s="2" t="str">
        <f t="shared" si="96"/>
        <v>Error?</v>
      </c>
      <c r="E6269" s="2" t="s">
        <v>189</v>
      </c>
    </row>
    <row r="6270" spans="1:5" x14ac:dyDescent="0.2">
      <c r="A6270">
        <v>6209</v>
      </c>
      <c r="B6270" s="1832">
        <f>'Acct Summary 7-8'!F82</f>
        <v>-46121</v>
      </c>
      <c r="D6270" s="2" t="str">
        <f t="shared" si="96"/>
        <v>Error?</v>
      </c>
      <c r="E6270" s="2" t="s">
        <v>189</v>
      </c>
    </row>
    <row r="6271" spans="1:5" x14ac:dyDescent="0.2">
      <c r="A6271">
        <v>6210</v>
      </c>
      <c r="B6271" s="1832">
        <f>'Acct Summary 7-8'!G82</f>
        <v>3421</v>
      </c>
      <c r="D6271" s="2" t="str">
        <f t="shared" ref="D6271:D6334" si="97">IF(ISBLANK(B6271),"OK",IF(A6271-B6271=0,"OK","Error?"))</f>
        <v>Error?</v>
      </c>
      <c r="E6271" s="2" t="s">
        <v>189</v>
      </c>
    </row>
    <row r="6272" spans="1:5" x14ac:dyDescent="0.2">
      <c r="A6272">
        <v>6211</v>
      </c>
      <c r="B6272" s="1832">
        <f>'Acct Summary 7-8'!H82</f>
        <v>320325</v>
      </c>
      <c r="D6272" s="2" t="str">
        <f t="shared" si="97"/>
        <v>Error?</v>
      </c>
      <c r="E6272" s="2" t="s">
        <v>189</v>
      </c>
    </row>
    <row r="6273" spans="1:5" x14ac:dyDescent="0.2">
      <c r="A6273">
        <v>6212</v>
      </c>
      <c r="B6273" s="1832">
        <f>'Acct Summary 7-8'!I82</f>
        <v>-256984</v>
      </c>
      <c r="D6273" s="2" t="str">
        <f t="shared" si="97"/>
        <v>Error?</v>
      </c>
      <c r="E6273" s="2" t="s">
        <v>189</v>
      </c>
    </row>
    <row r="6274" spans="1:5" x14ac:dyDescent="0.2">
      <c r="A6274">
        <v>6213</v>
      </c>
      <c r="B6274" s="1832">
        <f>'Acct Summary 7-8'!J82</f>
        <v>18658</v>
      </c>
      <c r="D6274" s="2" t="str">
        <f t="shared" si="97"/>
        <v>Error?</v>
      </c>
      <c r="E6274" s="2" t="s">
        <v>189</v>
      </c>
    </row>
    <row r="6275" spans="1:5" x14ac:dyDescent="0.2">
      <c r="A6275">
        <v>6214</v>
      </c>
      <c r="B6275" s="1832">
        <f>'Acct Summary 7-8'!K82</f>
        <v>75905</v>
      </c>
      <c r="D6275" s="2" t="str">
        <f t="shared" si="97"/>
        <v>Error?</v>
      </c>
      <c r="E6275" s="2" t="s">
        <v>189</v>
      </c>
    </row>
    <row r="6276" spans="1:5" x14ac:dyDescent="0.2">
      <c r="A6276">
        <v>6215</v>
      </c>
      <c r="B6276" s="1832">
        <f>'Acct Summary 7-8'!C83</f>
        <v>-0.41258955360969934</v>
      </c>
      <c r="D6276" s="2" t="str">
        <f t="shared" si="97"/>
        <v>Error?</v>
      </c>
      <c r="E6276" s="2" t="s">
        <v>189</v>
      </c>
    </row>
    <row r="6277" spans="1:5" x14ac:dyDescent="0.2">
      <c r="A6277">
        <v>6216</v>
      </c>
      <c r="B6277" s="1832">
        <f>'Acct Summary 7-8'!D83</f>
        <v>-0.19410454614746814</v>
      </c>
      <c r="D6277" s="2" t="str">
        <f t="shared" si="97"/>
        <v>Error?</v>
      </c>
      <c r="E6277" s="2" t="s">
        <v>189</v>
      </c>
    </row>
    <row r="6278" spans="1:5" x14ac:dyDescent="0.2">
      <c r="A6278">
        <v>6217</v>
      </c>
      <c r="B6278" s="1832">
        <f>'Acct Summary 7-8'!E83</f>
        <v>0.44170881022092096</v>
      </c>
      <c r="D6278" s="2" t="str">
        <f t="shared" si="97"/>
        <v>Error?</v>
      </c>
      <c r="E6278" s="2" t="s">
        <v>189</v>
      </c>
    </row>
    <row r="6279" spans="1:5" x14ac:dyDescent="0.2">
      <c r="A6279">
        <v>6218</v>
      </c>
      <c r="B6279" s="1832">
        <f>'Acct Summary 7-8'!F83</f>
        <v>-0.71946026051010059</v>
      </c>
      <c r="D6279" s="2" t="str">
        <f t="shared" si="97"/>
        <v>Error?</v>
      </c>
      <c r="E6279" s="2" t="s">
        <v>189</v>
      </c>
    </row>
    <row r="6280" spans="1:5" x14ac:dyDescent="0.2">
      <c r="A6280">
        <v>6219</v>
      </c>
      <c r="B6280" s="1832">
        <f>'Acct Summary 7-8'!G83</f>
        <v>1.2724946250957811E-2</v>
      </c>
      <c r="D6280" s="2" t="str">
        <f t="shared" si="97"/>
        <v>Error?</v>
      </c>
      <c r="E6280" s="2" t="s">
        <v>189</v>
      </c>
    </row>
    <row r="6281" spans="1:5" x14ac:dyDescent="0.2">
      <c r="A6281">
        <v>6220</v>
      </c>
      <c r="B6281" s="1832">
        <f>'Acct Summary 7-8'!H83</f>
        <v>0.657843394970961</v>
      </c>
      <c r="D6281" s="2" t="str">
        <f t="shared" si="97"/>
        <v>Error?</v>
      </c>
      <c r="E6281" s="2" t="s">
        <v>189</v>
      </c>
    </row>
    <row r="6282" spans="1:5" x14ac:dyDescent="0.2">
      <c r="A6282">
        <v>6221</v>
      </c>
      <c r="B6282" s="1832">
        <f>'Acct Summary 7-8'!I83</f>
        <v>-0.12787074000966306</v>
      </c>
      <c r="D6282" s="2" t="str">
        <f t="shared" si="97"/>
        <v>Error?</v>
      </c>
      <c r="E6282" s="2" t="s">
        <v>189</v>
      </c>
    </row>
    <row r="6283" spans="1:5" x14ac:dyDescent="0.2">
      <c r="A6283">
        <v>6222</v>
      </c>
      <c r="B6283" s="1832">
        <f>'Acct Summary 7-8'!J83</f>
        <v>8.7275414789763459E-2</v>
      </c>
      <c r="D6283" s="2" t="str">
        <f t="shared" si="97"/>
        <v>Error?</v>
      </c>
      <c r="E6283" s="2" t="s">
        <v>189</v>
      </c>
    </row>
    <row r="6284" spans="1:5" x14ac:dyDescent="0.2">
      <c r="A6284">
        <v>6223</v>
      </c>
      <c r="B6284" s="1832">
        <f>'Acct Summary 7-8'!K83</f>
        <v>0.23566248152701713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194423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194423</v>
      </c>
      <c r="D6301" s="2" t="str">
        <f t="shared" si="97"/>
        <v>Error?</v>
      </c>
      <c r="E6301" s="2" t="s">
        <v>189</v>
      </c>
    </row>
    <row r="6302" spans="1:5" x14ac:dyDescent="0.2">
      <c r="A6302">
        <v>6241</v>
      </c>
      <c r="B6302" s="1832">
        <f>'Revenues 9-14'!J14</f>
        <v>85</v>
      </c>
      <c r="D6302" s="2" t="str">
        <f t="shared" si="97"/>
        <v>Error?</v>
      </c>
      <c r="E6302" s="2" t="s">
        <v>189</v>
      </c>
    </row>
    <row r="6303" spans="1:5" x14ac:dyDescent="0.2">
      <c r="A6303">
        <v>6242</v>
      </c>
      <c r="B6303" s="1832">
        <f>'Revenues 9-14'!J15</f>
        <v>43</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128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150</v>
      </c>
      <c r="D6350" s="2" t="str">
        <f t="shared" si="98"/>
        <v>Error?</v>
      </c>
      <c r="E6350" s="2" t="s">
        <v>189</v>
      </c>
    </row>
    <row r="6351" spans="1:5" x14ac:dyDescent="0.2">
      <c r="A6351">
        <v>6290</v>
      </c>
      <c r="B6351" s="1832">
        <f>'Revenues 9-14'!J108</f>
        <v>150</v>
      </c>
      <c r="D6351" s="2" t="str">
        <f t="shared" si="98"/>
        <v>Error?</v>
      </c>
      <c r="E6351" s="2" t="s">
        <v>189</v>
      </c>
    </row>
    <row r="6352" spans="1:5" x14ac:dyDescent="0.2">
      <c r="A6352">
        <v>6291</v>
      </c>
      <c r="B6352" s="1832">
        <f>'Revenues 9-14'!J109</f>
        <v>194913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70898</v>
      </c>
      <c r="D6880" s="2" t="str">
        <f t="shared" si="106"/>
        <v>Error?</v>
      </c>
    </row>
    <row r="6881" spans="1:4" x14ac:dyDescent="0.2">
      <c r="A6881">
        <v>6820</v>
      </c>
      <c r="B6881" s="1832">
        <f>'Expenditures 15-22'!K22</f>
        <v>70898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120196</v>
      </c>
      <c r="D6983" s="2" t="str">
        <f t="shared" si="108"/>
        <v>Error?</v>
      </c>
    </row>
    <row r="6984" spans="1:4" x14ac:dyDescent="0.2">
      <c r="A6984">
        <v>6923</v>
      </c>
      <c r="B6984" s="1832">
        <f>'Expenditures 15-22'!K86</f>
        <v>120196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120196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176255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194913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41491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41491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10462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10462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43000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43000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15214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15214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14823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40644</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55467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10621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10621</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135611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40644</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176255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135611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40644</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176255</v>
      </c>
      <c r="D7224" s="2" t="str">
        <f t="shared" si="111"/>
        <v>Error?</v>
      </c>
    </row>
    <row r="7225" spans="1:4" x14ac:dyDescent="0.2">
      <c r="A7225">
        <v>7164</v>
      </c>
      <c r="B7225" s="1832">
        <f>'Expenditures 15-22'!K343</f>
        <v>18658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2618</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2618</v>
      </c>
      <c r="D7618" s="2" t="str">
        <f t="shared" si="124"/>
        <v>Error?</v>
      </c>
      <c r="E7618" s="2" t="s">
        <v>19</v>
      </c>
    </row>
    <row r="7619" spans="1:5" x14ac:dyDescent="0.2">
      <c r="A7619">
        <f t="shared" si="123"/>
        <v>7558</v>
      </c>
      <c r="B7619" s="1832">
        <f>'Cap Outlay Deprec 26'!H14</f>
        <v>2618</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2618</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352752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166607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261034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600000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861034</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35694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273596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317113</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317113</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590709</v>
      </c>
      <c r="D7730" s="2" t="str">
        <f t="shared" si="126"/>
        <v>Error?</v>
      </c>
      <c r="E7730" s="2" t="s">
        <v>822</v>
      </c>
    </row>
    <row r="7731" spans="1:6" x14ac:dyDescent="0.2">
      <c r="A7731">
        <v>7670</v>
      </c>
      <c r="B7731" s="1832">
        <f>'Revenues 9-14'!H103</f>
        <v>261034</v>
      </c>
      <c r="D7731" s="2" t="str">
        <f t="shared" si="126"/>
        <v>Error?</v>
      </c>
      <c r="E7731" s="2" t="s">
        <v>822</v>
      </c>
    </row>
    <row r="7732" spans="1:6" x14ac:dyDescent="0.2">
      <c r="A7732">
        <v>7671</v>
      </c>
      <c r="B7732" s="1832">
        <f>'Rest Tax Levies-Tort Im 25'!J24</f>
        <v>436932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204046</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232886</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274657</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83000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9665000</v>
      </c>
      <c r="D7817" s="2" t="str">
        <f t="shared" si="128"/>
        <v>Error?</v>
      </c>
      <c r="E7817" s="4" t="s">
        <v>1966</v>
      </c>
    </row>
    <row r="7818" spans="1:5" x14ac:dyDescent="0.2">
      <c r="A7818">
        <v>7757</v>
      </c>
      <c r="B7818" s="1832">
        <f>'PCTC-OEPP 27-28'!F172</f>
        <v>185761.19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-226307</v>
      </c>
      <c r="D7820" s="2" t="str">
        <f t="shared" si="128"/>
        <v>Error?</v>
      </c>
    </row>
    <row r="7821" spans="1:5" x14ac:dyDescent="0.2">
      <c r="A7821">
        <v>7760</v>
      </c>
      <c r="B7821" s="1832">
        <f>'ICR Computation 30'!G40</f>
        <v>-226307</v>
      </c>
      <c r="D7821" s="2" t="str">
        <f t="shared" si="128"/>
        <v>Error?</v>
      </c>
    </row>
    <row r="7822" spans="1:5" x14ac:dyDescent="0.2">
      <c r="A7822" s="1">
        <v>7761</v>
      </c>
      <c r="B7822" s="1832">
        <f>'PCTC-OEPP 27-28'!F14</f>
        <v>7995976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5370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1080170</v>
      </c>
      <c r="D7834" s="2" t="str">
        <f t="shared" si="129"/>
        <v>Error?</v>
      </c>
      <c r="E7834" s="4" t="s">
        <v>1998</v>
      </c>
    </row>
    <row r="7835" spans="1:5" x14ac:dyDescent="0.2">
      <c r="A7835">
        <v>7774</v>
      </c>
      <c r="B7835" s="1832">
        <f>'PCTC-OEPP 27-28'!F78</f>
        <v>6915806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8597.4714072600691</v>
      </c>
      <c r="D7837" s="2" t="str">
        <f t="shared" si="129"/>
        <v>Error?</v>
      </c>
      <c r="E7837" s="4" t="s">
        <v>1998</v>
      </c>
    </row>
    <row r="7838" spans="1:5" x14ac:dyDescent="0.2">
      <c r="A7838">
        <v>7777</v>
      </c>
      <c r="B7838" s="1832">
        <f>'PCTC-OEPP 27-28'!F96</f>
        <v>88837</v>
      </c>
      <c r="D7838" s="2" t="str">
        <f t="shared" si="129"/>
        <v>Error?</v>
      </c>
      <c r="E7838" s="4" t="s">
        <v>1998</v>
      </c>
    </row>
    <row r="7839" spans="1:5" x14ac:dyDescent="0.2">
      <c r="A7839">
        <v>7778</v>
      </c>
      <c r="B7839" s="1832">
        <f>'PCTC-OEPP 27-28'!F102</f>
        <v>1760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45817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142766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49695</v>
      </c>
      <c r="D7858" s="2" t="str">
        <f t="shared" si="129"/>
        <v>Error?</v>
      </c>
      <c r="E7858" s="4" t="s">
        <v>1998</v>
      </c>
    </row>
    <row r="7859" spans="1:5" x14ac:dyDescent="0.2">
      <c r="A7859">
        <v>7798</v>
      </c>
      <c r="B7859" s="1832">
        <f>'PCTC-OEPP 27-28'!F127</f>
        <v>68114</v>
      </c>
      <c r="D7859" s="2" t="str">
        <f t="shared" si="129"/>
        <v>Error?</v>
      </c>
      <c r="E7859" s="4" t="s">
        <v>1998</v>
      </c>
    </row>
    <row r="7860" spans="1:5" x14ac:dyDescent="0.2">
      <c r="A7860">
        <v>7799</v>
      </c>
      <c r="B7860" s="1832">
        <f>'PCTC-OEPP 27-28'!F128</f>
        <v>3749</v>
      </c>
      <c r="D7860" s="2" t="str">
        <f t="shared" si="129"/>
        <v>Error?</v>
      </c>
      <c r="E7860" s="4" t="s">
        <v>1998</v>
      </c>
    </row>
    <row r="7861" spans="1:5" x14ac:dyDescent="0.2">
      <c r="A7861">
        <v>7800</v>
      </c>
      <c r="B7861" s="1832">
        <f>'PCTC-OEPP 27-28'!F129</f>
        <v>184338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15226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3760</v>
      </c>
      <c r="D7874" s="2" t="str">
        <f t="shared" si="129"/>
        <v>Error?</v>
      </c>
      <c r="E7874" s="4" t="s">
        <v>1998</v>
      </c>
    </row>
    <row r="7875" spans="1:5" x14ac:dyDescent="0.2">
      <c r="A7875">
        <v>7814</v>
      </c>
      <c r="B7875" s="1832">
        <f>'PCTC-OEPP 27-28'!F170</f>
        <v>1793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967987.19</v>
      </c>
      <c r="D7877" s="2" t="str">
        <f t="shared" si="129"/>
        <v>Error?</v>
      </c>
      <c r="E7877" s="4" t="s">
        <v>1998</v>
      </c>
    </row>
    <row r="7878" spans="1:5" x14ac:dyDescent="0.2">
      <c r="A7878">
        <v>7817</v>
      </c>
      <c r="B7878" s="1832">
        <f>'PCTC-OEPP 27-28'!F176</f>
        <v>5947818.8100000005</v>
      </c>
      <c r="D7878" s="2" t="str">
        <f t="shared" si="129"/>
        <v>Error?</v>
      </c>
      <c r="E7878" s="4" t="s">
        <v>1998</v>
      </c>
    </row>
    <row r="7879" spans="1:5" x14ac:dyDescent="0.2">
      <c r="A7879">
        <v>7818</v>
      </c>
      <c r="B7879" s="1832">
        <f>'PCTC-OEPP 27-28'!F178</f>
        <v>6300570.8100000005</v>
      </c>
      <c r="D7879" s="2" t="str">
        <f t="shared" si="129"/>
        <v>Error?</v>
      </c>
      <c r="E7879" s="4" t="s">
        <v>1998</v>
      </c>
    </row>
    <row r="7880" spans="1:5" x14ac:dyDescent="0.2">
      <c r="A7880">
        <v>7819</v>
      </c>
      <c r="B7880" s="1832">
        <f>'PCTC-OEPP 27-28'!F180</f>
        <v>7832.6340253605176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40644</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Metamora CCSD 1</v>
      </c>
      <c r="B7" s="2539"/>
      <c r="C7" s="2539"/>
      <c r="D7" s="2577"/>
      <c r="E7" s="2578">
        <f>COVER!A13</f>
        <v>53102001004</v>
      </c>
      <c r="F7" s="257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51" t="str">
        <f>COVER!T13</f>
        <v>Gorenz and Associates, Ltd.</v>
      </c>
      <c r="H9" s="2552"/>
      <c r="I9" s="2552"/>
      <c r="J9" s="2552"/>
      <c r="K9" s="2552"/>
      <c r="L9" s="2553"/>
    </row>
    <row r="10" spans="1:29" ht="13.5" customHeight="1" x14ac:dyDescent="0.2">
      <c r="A10" s="2535" t="str">
        <f>COVER!A38</f>
        <v>Martin Payne</v>
      </c>
      <c r="B10" s="2536"/>
      <c r="C10" s="2536"/>
      <c r="D10" s="2536"/>
      <c r="E10" s="2536"/>
      <c r="F10" s="2537"/>
      <c r="G10" s="2551" t="str">
        <f>COVER!T17</f>
        <v>4200 N Knoxville Ave.</v>
      </c>
      <c r="H10" s="2564"/>
      <c r="I10" s="2564"/>
      <c r="J10" s="2564"/>
      <c r="K10" s="2564"/>
      <c r="L10" s="2565"/>
    </row>
    <row r="11" spans="1:29" ht="13.5" customHeight="1" x14ac:dyDescent="0.2">
      <c r="A11" s="963" t="s">
        <v>1502</v>
      </c>
      <c r="B11" s="964"/>
      <c r="C11" s="965"/>
      <c r="D11" s="970"/>
      <c r="E11" s="965"/>
      <c r="F11" s="969"/>
      <c r="G11" s="2551" t="str">
        <f>COVER!T19</f>
        <v>Peoria</v>
      </c>
      <c r="H11" s="2564"/>
      <c r="I11" s="2564"/>
      <c r="J11" s="2564"/>
      <c r="K11" s="2564"/>
      <c r="L11" s="2565"/>
    </row>
    <row r="12" spans="1:29" ht="13.5" customHeight="1" x14ac:dyDescent="0.2">
      <c r="A12" s="2569" t="s">
        <v>1501</v>
      </c>
      <c r="B12" s="2570"/>
      <c r="C12" s="2570"/>
      <c r="D12" s="2570"/>
      <c r="E12" s="2570"/>
      <c r="F12" s="2571"/>
      <c r="G12" s="2566"/>
      <c r="H12" s="2567"/>
      <c r="I12" s="2567"/>
      <c r="J12" s="2567"/>
      <c r="K12" s="2567"/>
      <c r="L12" s="2568"/>
    </row>
    <row r="13" spans="1:29" ht="13.5" customHeight="1" x14ac:dyDescent="0.2">
      <c r="A13" s="2551"/>
      <c r="B13" s="2564"/>
      <c r="C13" s="2564"/>
      <c r="D13" s="2564"/>
      <c r="E13" s="2564"/>
      <c r="F13" s="2565"/>
      <c r="G13" s="2559" t="s">
        <v>1503</v>
      </c>
      <c r="H13" s="2560"/>
      <c r="I13" s="2572" t="str">
        <f>COVER!T25</f>
        <v>jhohulin@gorenzcpa.com</v>
      </c>
      <c r="J13" s="2573"/>
      <c r="K13" s="2573"/>
      <c r="L13" s="2574"/>
    </row>
    <row r="14" spans="1:29" ht="13.5" customHeight="1" x14ac:dyDescent="0.2">
      <c r="A14" s="2551" t="str">
        <f>COVER!A19</f>
        <v>815 East Chatham</v>
      </c>
      <c r="B14" s="2564"/>
      <c r="C14" s="2564"/>
      <c r="D14" s="2564"/>
      <c r="E14" s="2564"/>
      <c r="F14" s="2565"/>
      <c r="G14" s="974" t="s">
        <v>1175</v>
      </c>
      <c r="H14" s="972"/>
      <c r="I14" s="972"/>
      <c r="J14" s="972"/>
      <c r="K14" s="972"/>
      <c r="L14" s="973"/>
    </row>
    <row r="15" spans="1:29" ht="13.5" customHeight="1" x14ac:dyDescent="0.2">
      <c r="A15" s="2551" t="str">
        <f>COVER!A21</f>
        <v>Metamora</v>
      </c>
      <c r="B15" s="2564"/>
      <c r="C15" s="2564"/>
      <c r="D15" s="2564"/>
      <c r="E15" s="2564"/>
      <c r="F15" s="2565"/>
      <c r="G15" s="2561" t="str">
        <f>COVER!T15</f>
        <v>Jason A. Hohulin, CPA</v>
      </c>
      <c r="H15" s="2562"/>
      <c r="I15" s="2562"/>
      <c r="J15" s="2562"/>
      <c r="K15" s="2562"/>
      <c r="L15" s="2563"/>
    </row>
    <row r="16" spans="1:29" ht="12.2" customHeight="1" x14ac:dyDescent="0.2">
      <c r="A16" s="2541">
        <f>COVER!A25</f>
        <v>61548</v>
      </c>
      <c r="B16" s="2542"/>
      <c r="C16" s="2542"/>
      <c r="D16" s="2542"/>
      <c r="E16" s="2542"/>
      <c r="F16" s="2543"/>
      <c r="G16" s="2554"/>
      <c r="H16" s="2555"/>
      <c r="I16" s="2555"/>
      <c r="J16" s="2555"/>
      <c r="K16" s="2555"/>
      <c r="L16" s="2556"/>
    </row>
    <row r="17" spans="1:13" ht="12.2" customHeight="1" x14ac:dyDescent="0.2">
      <c r="A17" s="2557"/>
      <c r="B17" s="2542"/>
      <c r="C17" s="2542"/>
      <c r="D17" s="2542"/>
      <c r="E17" s="2542"/>
      <c r="F17" s="2543"/>
      <c r="G17" s="974" t="s">
        <v>1174</v>
      </c>
      <c r="H17" s="972"/>
      <c r="I17" s="972"/>
      <c r="J17" s="972"/>
      <c r="K17" s="976" t="s">
        <v>1173</v>
      </c>
      <c r="L17" s="969"/>
      <c r="M17" s="962"/>
    </row>
    <row r="18" spans="1:13" ht="12.2" customHeight="1" x14ac:dyDescent="0.2">
      <c r="A18" s="2535"/>
      <c r="B18" s="2536"/>
      <c r="C18" s="2536"/>
      <c r="D18" s="2536"/>
      <c r="E18" s="2536"/>
      <c r="F18" s="2537"/>
      <c r="G18" s="2538" t="str">
        <f>COVER!T21</f>
        <v>309-685-7621</v>
      </c>
      <c r="H18" s="2539"/>
      <c r="I18" s="2539"/>
      <c r="J18" s="2539"/>
      <c r="K18" s="2538"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Metamora CCSD 1</v>
      </c>
      <c r="B1" s="2581"/>
      <c r="C1" s="2581"/>
      <c r="D1" s="2581"/>
    </row>
    <row r="2" spans="1:11" s="991" customFormat="1" ht="12.75" x14ac:dyDescent="0.2">
      <c r="A2" s="2582">
        <f>'Single Audit Cover'!E7</f>
        <v>53102001004</v>
      </c>
      <c r="B2" s="2583"/>
      <c r="C2" s="2583"/>
      <c r="D2" s="2583"/>
    </row>
    <row r="3" spans="1:11" s="991" customFormat="1" ht="12.75" x14ac:dyDescent="0.2">
      <c r="A3" s="2580" t="s">
        <v>1496</v>
      </c>
      <c r="B3" s="2581"/>
      <c r="C3" s="2581"/>
      <c r="D3" s="258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Metamora CCSD 1</v>
      </c>
      <c r="B1" s="2585"/>
      <c r="C1" s="2585"/>
      <c r="D1" s="2585"/>
      <c r="E1" s="2585"/>
    </row>
    <row r="2" spans="1:5" x14ac:dyDescent="0.2">
      <c r="A2" s="2586">
        <f>'Single Audit Cover'!E7</f>
        <v>53102001004</v>
      </c>
      <c r="B2" s="2586"/>
      <c r="C2" s="2586"/>
      <c r="D2" s="2586"/>
      <c r="E2" s="2586"/>
    </row>
    <row r="3" spans="1:5" ht="4.5" customHeight="1" x14ac:dyDescent="0.2"/>
    <row r="4" spans="1:5" x14ac:dyDescent="0.2">
      <c r="A4" s="2585" t="s">
        <v>1234</v>
      </c>
      <c r="B4" s="2585"/>
      <c r="C4" s="2585"/>
      <c r="D4" s="2585"/>
      <c r="E4" s="2585"/>
    </row>
    <row r="5" spans="1:5" x14ac:dyDescent="0.2">
      <c r="A5" s="2588" t="str">
        <f>'Single Audit Cover'!A4</f>
        <v>Year Ending June 30, 2020</v>
      </c>
      <c r="B5" s="2588"/>
      <c r="C5" s="2588"/>
      <c r="D5" s="2588"/>
      <c r="E5" s="2588"/>
    </row>
    <row r="6" spans="1:5" x14ac:dyDescent="0.2">
      <c r="A6" s="2585" t="s">
        <v>1233</v>
      </c>
      <c r="B6" s="2585"/>
      <c r="C6" s="2585"/>
      <c r="D6" s="2585"/>
      <c r="E6" s="2585"/>
    </row>
    <row r="8" spans="1:5" x14ac:dyDescent="0.2">
      <c r="A8" s="1036" t="s">
        <v>1232</v>
      </c>
    </row>
    <row r="10" spans="1:5" x14ac:dyDescent="0.2">
      <c r="A10" s="1037" t="s">
        <v>1231</v>
      </c>
      <c r="B10" s="1038" t="s">
        <v>1230</v>
      </c>
      <c r="C10" s="1038"/>
      <c r="D10" s="1039">
        <f>SUM('Acct Summary 7-8'!C7:K7)</f>
        <v>340824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20373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-1793</v>
      </c>
    </row>
    <row r="19" spans="1:4" ht="13.5" thickBot="1" x14ac:dyDescent="0.25">
      <c r="A19" s="1041" t="s">
        <v>1224</v>
      </c>
      <c r="D19" s="1042">
        <f>SUM(D10:D17)</f>
        <v>359404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7"/>
      <c r="B24" s="2587"/>
      <c r="D24" s="1044"/>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1222</v>
      </c>
      <c r="D32" s="1039">
        <f>SUM(D19:D30)</f>
        <v>359404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1216</v>
      </c>
      <c r="C47" s="1048"/>
      <c r="D47" s="1049">
        <f>SUM(D35:D45)</f>
        <v>0</v>
      </c>
    </row>
    <row r="49" spans="2:4" x14ac:dyDescent="0.2">
      <c r="B49" s="1048" t="s">
        <v>1215</v>
      </c>
      <c r="C49" s="1048"/>
      <c r="D49" s="1049">
        <f>D32-D47</f>
        <v>359404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Metamora CCSD 1</v>
      </c>
      <c r="C1" s="2589"/>
      <c r="D1" s="2589"/>
      <c r="E1" s="2589"/>
      <c r="F1" s="2589"/>
      <c r="G1" s="2589"/>
      <c r="H1" s="2589"/>
      <c r="I1" s="2589"/>
      <c r="J1" s="2589"/>
      <c r="K1" s="2589"/>
      <c r="L1" s="2589"/>
      <c r="M1" s="2589"/>
    </row>
    <row r="2" spans="2:14" ht="15" x14ac:dyDescent="0.2">
      <c r="B2" s="2590">
        <f>'Single Audit Cover'!E7</f>
        <v>53102001004</v>
      </c>
      <c r="C2" s="2590"/>
      <c r="D2" s="2590"/>
      <c r="E2" s="2590"/>
      <c r="F2" s="2590"/>
      <c r="G2" s="2590"/>
      <c r="H2" s="2590"/>
      <c r="I2" s="2590"/>
      <c r="J2" s="2590"/>
      <c r="K2" s="2590"/>
      <c r="L2" s="2590"/>
      <c r="M2" s="2590"/>
      <c r="N2" s="1078"/>
    </row>
    <row r="3" spans="2:14" ht="15" x14ac:dyDescent="0.2">
      <c r="B3" s="2591" t="s">
        <v>1208</v>
      </c>
      <c r="C3" s="2591"/>
      <c r="D3" s="2591"/>
      <c r="E3" s="2591"/>
      <c r="F3" s="2591"/>
      <c r="G3" s="2591"/>
      <c r="H3" s="2591"/>
      <c r="I3" s="2591"/>
      <c r="J3" s="2591"/>
      <c r="K3" s="2591"/>
      <c r="L3" s="2591"/>
      <c r="M3" s="2591"/>
      <c r="N3" s="1078"/>
    </row>
    <row r="4" spans="2:14" ht="15" x14ac:dyDescent="0.2">
      <c r="B4" s="2592" t="str">
        <f>'Single Audit Cover'!A4</f>
        <v>Year Ending June 30, 2020</v>
      </c>
      <c r="C4" s="2592"/>
      <c r="D4" s="2592"/>
      <c r="E4" s="2592"/>
      <c r="F4" s="2592"/>
      <c r="G4" s="2592"/>
      <c r="H4" s="2592"/>
      <c r="I4" s="2592"/>
      <c r="J4" s="2592"/>
      <c r="K4" s="2592"/>
      <c r="L4" s="2592"/>
      <c r="M4" s="2592"/>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 xml:space="preserve"> Metamora CCSD 1</v>
      </c>
      <c r="B1" s="2594"/>
      <c r="C1" s="2594"/>
      <c r="D1" s="2594"/>
      <c r="E1" s="2594"/>
      <c r="F1" s="2594"/>
    </row>
    <row r="2" spans="1:7" ht="13.5" customHeight="1" x14ac:dyDescent="0.2">
      <c r="A2" s="2590">
        <f>'Single Audit Cover'!E7</f>
        <v>53102001004</v>
      </c>
      <c r="B2" s="2590"/>
      <c r="C2" s="2590"/>
      <c r="D2" s="2590"/>
      <c r="E2" s="2590"/>
      <c r="F2" s="2590"/>
      <c r="G2" s="1051"/>
    </row>
    <row r="3" spans="1:7" ht="15.75" customHeight="1" x14ac:dyDescent="0.2">
      <c r="A3" s="2595" t="s">
        <v>1260</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52" t="s">
        <v>1705</v>
      </c>
      <c r="C6" s="295"/>
      <c r="D6" s="295"/>
    </row>
    <row r="7" spans="1:7" ht="60.95" customHeight="1" x14ac:dyDescent="0.2">
      <c r="A7" s="2593" t="s">
        <v>1706</v>
      </c>
      <c r="B7" s="2593"/>
      <c r="C7" s="2593"/>
      <c r="D7" s="2593"/>
      <c r="E7" s="2593"/>
      <c r="F7" s="259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3" t="s">
        <v>1708</v>
      </c>
      <c r="B13" s="2593"/>
      <c r="C13" s="2593"/>
      <c r="D13" s="2593"/>
      <c r="E13" s="2593"/>
      <c r="F13" s="2593"/>
    </row>
    <row r="14" spans="1:7" ht="9.75" customHeight="1" x14ac:dyDescent="0.2">
      <c r="C14" s="1036"/>
      <c r="D14" s="1036"/>
    </row>
    <row r="15" spans="1:7" ht="13.5" customHeight="1" x14ac:dyDescent="0.2">
      <c r="C15" s="1476" t="s">
        <v>1259</v>
      </c>
      <c r="D15" s="2598" t="s">
        <v>1258</v>
      </c>
      <c r="E15" s="2598"/>
      <c r="F15" s="2598"/>
    </row>
    <row r="16" spans="1:7" ht="13.5" customHeight="1" x14ac:dyDescent="0.2">
      <c r="A16" s="1058"/>
      <c r="B16" s="1052" t="s">
        <v>1257</v>
      </c>
      <c r="C16" s="1476" t="s">
        <v>1256</v>
      </c>
      <c r="D16" s="2599" t="s">
        <v>1571</v>
      </c>
      <c r="E16" s="2599"/>
      <c r="F16" s="2599"/>
    </row>
    <row r="17" spans="1:6" ht="20.45" customHeight="1" x14ac:dyDescent="0.2">
      <c r="A17" s="1059"/>
      <c r="B17" s="1060"/>
      <c r="C17" s="1061"/>
      <c r="D17" s="2597"/>
      <c r="E17" s="2597"/>
      <c r="F17" s="2597"/>
    </row>
    <row r="18" spans="1:6" ht="20.65" customHeight="1" x14ac:dyDescent="0.2">
      <c r="A18" s="1059"/>
      <c r="B18" s="1060"/>
      <c r="C18" s="1061"/>
      <c r="D18" s="2597"/>
      <c r="E18" s="2597"/>
      <c r="F18" s="2597"/>
    </row>
    <row r="19" spans="1:6" ht="20.65" customHeight="1" x14ac:dyDescent="0.2">
      <c r="A19" s="1059"/>
      <c r="B19" s="1060"/>
      <c r="C19" s="1061"/>
      <c r="D19" s="2597"/>
      <c r="E19" s="2597"/>
      <c r="F19" s="2597"/>
    </row>
    <row r="20" spans="1:6" ht="20.65" customHeight="1" x14ac:dyDescent="0.2">
      <c r="A20" s="1059"/>
      <c r="B20" s="1060"/>
      <c r="C20" s="1061"/>
      <c r="D20" s="2597"/>
      <c r="E20" s="2597"/>
      <c r="F20" s="2597"/>
    </row>
    <row r="21" spans="1:6" ht="20.65" customHeight="1" x14ac:dyDescent="0.2">
      <c r="A21" s="1059"/>
      <c r="B21" s="1060"/>
      <c r="C21" s="1061"/>
      <c r="D21" s="2597"/>
      <c r="E21" s="2597"/>
      <c r="F21" s="2597"/>
    </row>
    <row r="22" spans="1:6" ht="20.65" customHeight="1" x14ac:dyDescent="0.2">
      <c r="A22" s="1059"/>
      <c r="B22" s="1060"/>
      <c r="C22" s="1061"/>
      <c r="D22" s="2597"/>
      <c r="E22" s="2597"/>
      <c r="F22" s="2597"/>
    </row>
    <row r="23" spans="1:6" ht="20.65" customHeight="1" x14ac:dyDescent="0.2">
      <c r="A23" s="1059"/>
      <c r="B23" s="1060"/>
      <c r="C23" s="1061"/>
      <c r="D23" s="2597"/>
      <c r="E23" s="2597"/>
      <c r="F23" s="2597"/>
    </row>
    <row r="24" spans="1:6" ht="20.65" customHeight="1" x14ac:dyDescent="0.2">
      <c r="A24" s="1059"/>
      <c r="B24" s="1060"/>
      <c r="C24" s="1061"/>
      <c r="D24" s="2597"/>
      <c r="E24" s="2597"/>
      <c r="F24" s="2597"/>
    </row>
    <row r="25" spans="1:6" ht="20.65" customHeight="1" x14ac:dyDescent="0.2">
      <c r="A25" s="1059"/>
      <c r="B25" s="1060"/>
      <c r="C25" s="1061"/>
      <c r="D25" s="2597"/>
      <c r="E25" s="2597"/>
      <c r="F25" s="2597"/>
    </row>
    <row r="26" spans="1:6" ht="20.65" customHeight="1" x14ac:dyDescent="0.2">
      <c r="A26" s="1059"/>
      <c r="B26" s="1060"/>
      <c r="C26" s="1061"/>
      <c r="D26" s="2597"/>
      <c r="E26" s="2597"/>
      <c r="F26" s="2597"/>
    </row>
    <row r="27" spans="1:6" ht="20.65" customHeight="1" x14ac:dyDescent="0.2">
      <c r="A27" s="1059"/>
      <c r="B27" s="1060"/>
      <c r="C27" s="1061"/>
      <c r="D27" s="2597"/>
      <c r="E27" s="2597"/>
      <c r="F27" s="2597"/>
    </row>
    <row r="28" spans="1:6" ht="20.65" customHeight="1" x14ac:dyDescent="0.2">
      <c r="A28" s="1059"/>
      <c r="B28" s="1060"/>
      <c r="C28" s="1061"/>
      <c r="D28" s="2597"/>
      <c r="E28" s="2597"/>
      <c r="F28" s="2597"/>
    </row>
    <row r="29" spans="1:6" ht="20.65" customHeight="1" x14ac:dyDescent="0.2">
      <c r="A29" s="1059"/>
      <c r="B29" s="1060"/>
      <c r="C29" s="1061"/>
      <c r="D29" s="2597"/>
      <c r="E29" s="2597"/>
      <c r="F29" s="259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1" t="s">
        <v>1709</v>
      </c>
      <c r="B32" s="2601"/>
      <c r="C32" s="2601"/>
      <c r="D32" s="2601"/>
      <c r="E32" s="2601"/>
      <c r="F32" s="260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2">
        <f>+C33+C34</f>
        <v>0</v>
      </c>
      <c r="F34" s="260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4" t="s">
        <v>1573</v>
      </c>
      <c r="C49" s="2604"/>
      <c r="D49" s="2604"/>
      <c r="E49" s="1168"/>
    </row>
    <row r="50" spans="1:5" s="1076" customFormat="1" ht="3.75" customHeight="1" x14ac:dyDescent="0.2">
      <c r="A50" s="1075"/>
      <c r="B50" s="1475"/>
      <c r="C50" s="1475"/>
      <c r="D50" s="1475"/>
      <c r="E50" s="1168"/>
    </row>
    <row r="51" spans="1:5" s="1076" customFormat="1" ht="20.25" customHeight="1" x14ac:dyDescent="0.2">
      <c r="A51" s="1077">
        <v>6</v>
      </c>
      <c r="B51" s="2600" t="s">
        <v>1534</v>
      </c>
      <c r="C51" s="2600"/>
      <c r="D51" s="2600"/>
    </row>
    <row r="52" spans="1:5" ht="14.25" customHeight="1" x14ac:dyDescent="0.2">
      <c r="A52" s="1077"/>
      <c r="B52" s="2600"/>
      <c r="C52" s="2600"/>
      <c r="D52" s="260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7" t="s">
        <v>1158</v>
      </c>
      <c r="B2" s="2177"/>
      <c r="C2" s="2177"/>
      <c r="D2" s="2177"/>
      <c r="E2" s="2177"/>
      <c r="F2" s="2177"/>
      <c r="G2" s="2177"/>
      <c r="H2" s="2177"/>
      <c r="I2" s="2177"/>
      <c r="J2" s="217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1" t="s">
        <v>1616</v>
      </c>
      <c r="B35" s="2192"/>
      <c r="C35" s="2192"/>
      <c r="D35" s="2192"/>
      <c r="E35" s="2193"/>
      <c r="F35" s="2193"/>
      <c r="G35" s="2193"/>
      <c r="H35" s="2193"/>
      <c r="I35" s="219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1" t="s">
        <v>310</v>
      </c>
      <c r="B47" s="2194"/>
      <c r="C47" s="2194"/>
      <c r="D47" s="2194"/>
      <c r="E47" s="2195"/>
      <c r="F47" s="2195"/>
      <c r="G47" s="2195"/>
      <c r="H47" s="2195"/>
      <c r="I47" s="219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8"/>
      <c r="C57" s="2199"/>
      <c r="D57" s="2199"/>
      <c r="E57" s="2199"/>
      <c r="F57" s="2199"/>
      <c r="G57" s="2199"/>
      <c r="H57" s="2199"/>
      <c r="I57" s="2199"/>
      <c r="J57" s="2200"/>
    </row>
    <row r="58" spans="1:10" s="176" customFormat="1" x14ac:dyDescent="0.2">
      <c r="A58" s="248"/>
      <c r="B58" s="2201"/>
      <c r="C58" s="2202"/>
      <c r="D58" s="2202"/>
      <c r="E58" s="2202"/>
      <c r="F58" s="2202"/>
      <c r="G58" s="2202"/>
      <c r="H58" s="2202"/>
      <c r="I58" s="2202"/>
      <c r="J58" s="2203"/>
    </row>
    <row r="59" spans="1:10" s="176" customFormat="1" x14ac:dyDescent="0.2">
      <c r="A59" s="248"/>
      <c r="B59" s="2201"/>
      <c r="C59" s="2202"/>
      <c r="D59" s="2202"/>
      <c r="E59" s="2202"/>
      <c r="F59" s="2202"/>
      <c r="G59" s="2202"/>
      <c r="H59" s="2202"/>
      <c r="I59" s="2202"/>
      <c r="J59" s="2203"/>
    </row>
    <row r="60" spans="1:10" s="176" customFormat="1" x14ac:dyDescent="0.2">
      <c r="A60" s="248"/>
      <c r="B60" s="2201"/>
      <c r="C60" s="2202"/>
      <c r="D60" s="2202"/>
      <c r="E60" s="2202"/>
      <c r="F60" s="2202"/>
      <c r="G60" s="2202"/>
      <c r="H60" s="2202"/>
      <c r="I60" s="2202"/>
      <c r="J60" s="2203"/>
    </row>
    <row r="61" spans="1:10" s="176" customFormat="1" x14ac:dyDescent="0.2">
      <c r="A61" s="248"/>
      <c r="B61" s="2201"/>
      <c r="C61" s="2202"/>
      <c r="D61" s="2202"/>
      <c r="E61" s="2202"/>
      <c r="F61" s="2202"/>
      <c r="G61" s="2202"/>
      <c r="H61" s="2202"/>
      <c r="I61" s="2202"/>
      <c r="J61" s="2203"/>
    </row>
    <row r="62" spans="1:10" s="176" customFormat="1" x14ac:dyDescent="0.2">
      <c r="A62" s="248"/>
      <c r="B62" s="2201"/>
      <c r="C62" s="2202"/>
      <c r="D62" s="2202"/>
      <c r="E62" s="2202"/>
      <c r="F62" s="2202"/>
      <c r="G62" s="2202"/>
      <c r="H62" s="2202"/>
      <c r="I62" s="2202"/>
      <c r="J62" s="2203"/>
    </row>
    <row r="63" spans="1:10" s="176" customFormat="1" x14ac:dyDescent="0.2">
      <c r="A63" s="248"/>
      <c r="B63" s="2201"/>
      <c r="C63" s="2202"/>
      <c r="D63" s="2202"/>
      <c r="E63" s="2202"/>
      <c r="F63" s="2202"/>
      <c r="G63" s="2202"/>
      <c r="H63" s="2202"/>
      <c r="I63" s="2202"/>
      <c r="J63" s="2203"/>
    </row>
    <row r="64" spans="1:10" s="176" customFormat="1" x14ac:dyDescent="0.2">
      <c r="A64" s="248"/>
      <c r="B64" s="2201"/>
      <c r="C64" s="2202"/>
      <c r="D64" s="2202"/>
      <c r="E64" s="2202"/>
      <c r="F64" s="2202"/>
      <c r="G64" s="2202"/>
      <c r="H64" s="2202"/>
      <c r="I64" s="2202"/>
      <c r="J64" s="2203"/>
    </row>
    <row r="65" spans="1:11" s="176" customFormat="1" x14ac:dyDescent="0.2">
      <c r="A65" s="248"/>
      <c r="B65" s="2201"/>
      <c r="C65" s="2202"/>
      <c r="D65" s="2202"/>
      <c r="E65" s="2202"/>
      <c r="F65" s="2202"/>
      <c r="G65" s="2202"/>
      <c r="H65" s="2202"/>
      <c r="I65" s="2202"/>
      <c r="J65" s="2203"/>
    </row>
    <row r="66" spans="1:11" s="176" customFormat="1" x14ac:dyDescent="0.2">
      <c r="A66" s="248"/>
      <c r="B66" s="2201"/>
      <c r="C66" s="2202"/>
      <c r="D66" s="2202"/>
      <c r="E66" s="2202"/>
      <c r="F66" s="2202"/>
      <c r="G66" s="2202"/>
      <c r="H66" s="2202"/>
      <c r="I66" s="2202"/>
      <c r="J66" s="2203"/>
    </row>
    <row r="67" spans="1:11" s="176" customFormat="1" ht="9" customHeight="1" x14ac:dyDescent="0.2">
      <c r="A67" s="249"/>
      <c r="B67" s="2204"/>
      <c r="C67" s="2205"/>
      <c r="D67" s="2205"/>
      <c r="E67" s="2205"/>
      <c r="F67" s="2205"/>
      <c r="G67" s="2205"/>
      <c r="H67" s="2205"/>
      <c r="I67" s="2205"/>
      <c r="J67" s="22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1" t="s">
        <v>1312</v>
      </c>
      <c r="B70" s="2194"/>
      <c r="C70" s="2194"/>
      <c r="D70" s="2194"/>
      <c r="E70" s="2195"/>
      <c r="F70" s="2195"/>
      <c r="G70" s="2195"/>
      <c r="H70" s="2195"/>
      <c r="I70" s="219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6" t="s">
        <v>1309</v>
      </c>
      <c r="B83" s="2196"/>
      <c r="C83" s="2196"/>
      <c r="D83" s="219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7" t="s">
        <v>1989</v>
      </c>
      <c r="B85" s="2207"/>
      <c r="C85" s="2207"/>
      <c r="D85" s="220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9" t="s">
        <v>1989</v>
      </c>
      <c r="B88" s="2210"/>
      <c r="C88" s="2210"/>
      <c r="D88" s="221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8" t="s">
        <v>2116</v>
      </c>
      <c r="C102" s="2179"/>
      <c r="D102" s="2179"/>
      <c r="E102" s="2179"/>
      <c r="F102" s="2179"/>
      <c r="G102" s="2179"/>
      <c r="H102" s="2179"/>
      <c r="I102" s="2180"/>
    </row>
    <row r="103" spans="1:9" s="176" customFormat="1" ht="11.25" customHeight="1" x14ac:dyDescent="0.2">
      <c r="A103" s="294"/>
      <c r="B103" s="2181"/>
      <c r="C103" s="2182"/>
      <c r="D103" s="2182"/>
      <c r="E103" s="2182"/>
      <c r="F103" s="2182"/>
      <c r="G103" s="2182"/>
      <c r="H103" s="2182"/>
      <c r="I103" s="2183"/>
    </row>
    <row r="104" spans="1:9" s="176" customFormat="1" ht="11.25" customHeight="1" x14ac:dyDescent="0.2">
      <c r="A104" s="294"/>
      <c r="B104" s="2181"/>
      <c r="C104" s="2182"/>
      <c r="D104" s="2182"/>
      <c r="E104" s="2182"/>
      <c r="F104" s="2182"/>
      <c r="G104" s="2182"/>
      <c r="H104" s="2182"/>
      <c r="I104" s="2183"/>
    </row>
    <row r="105" spans="1:9" s="176" customFormat="1" x14ac:dyDescent="0.2">
      <c r="A105" s="294"/>
      <c r="B105" s="2181"/>
      <c r="C105" s="2182"/>
      <c r="D105" s="2182"/>
      <c r="E105" s="2182"/>
      <c r="F105" s="2182"/>
      <c r="G105" s="2182"/>
      <c r="H105" s="2182"/>
      <c r="I105" s="2183"/>
    </row>
    <row r="106" spans="1:9" s="176" customFormat="1" ht="11.25" customHeight="1" x14ac:dyDescent="0.2">
      <c r="A106" s="294"/>
      <c r="B106" s="2181"/>
      <c r="C106" s="2182"/>
      <c r="D106" s="2182"/>
      <c r="E106" s="2182"/>
      <c r="F106" s="2182"/>
      <c r="G106" s="2182"/>
      <c r="H106" s="2182"/>
      <c r="I106" s="2183"/>
    </row>
    <row r="107" spans="1:9" s="176" customFormat="1" ht="11.25" customHeight="1" x14ac:dyDescent="0.2">
      <c r="A107" s="294"/>
      <c r="B107" s="2181"/>
      <c r="C107" s="2182"/>
      <c r="D107" s="2182"/>
      <c r="E107" s="2182"/>
      <c r="F107" s="2182"/>
      <c r="G107" s="2182"/>
      <c r="H107" s="2182"/>
      <c r="I107" s="2183"/>
    </row>
    <row r="108" spans="1:9" s="176" customFormat="1" ht="11.25" customHeight="1" x14ac:dyDescent="0.2">
      <c r="A108" s="294"/>
      <c r="B108" s="2181"/>
      <c r="C108" s="2182"/>
      <c r="D108" s="2182"/>
      <c r="E108" s="2182"/>
      <c r="F108" s="2182"/>
      <c r="G108" s="2182"/>
      <c r="H108" s="2182"/>
      <c r="I108" s="2183"/>
    </row>
    <row r="109" spans="1:9" s="176" customFormat="1" ht="11.25" customHeight="1" x14ac:dyDescent="0.2">
      <c r="A109" s="294"/>
      <c r="B109" s="2181"/>
      <c r="C109" s="2182"/>
      <c r="D109" s="2182"/>
      <c r="E109" s="2182"/>
      <c r="F109" s="2182"/>
      <c r="G109" s="2182"/>
      <c r="H109" s="2182"/>
      <c r="I109" s="2183"/>
    </row>
    <row r="110" spans="1:9" s="176" customFormat="1" ht="11.25" customHeight="1" x14ac:dyDescent="0.2">
      <c r="A110" s="294"/>
      <c r="B110" s="2181"/>
      <c r="C110" s="2182"/>
      <c r="D110" s="2182"/>
      <c r="E110" s="2182"/>
      <c r="F110" s="2182"/>
      <c r="G110" s="2182"/>
      <c r="H110" s="2182"/>
      <c r="I110" s="2183"/>
    </row>
    <row r="111" spans="1:9" s="176" customFormat="1" ht="11.25" customHeight="1" x14ac:dyDescent="0.2">
      <c r="A111" s="294"/>
      <c r="B111" s="2181"/>
      <c r="C111" s="2182"/>
      <c r="D111" s="2182"/>
      <c r="E111" s="2182"/>
      <c r="F111" s="2182"/>
      <c r="G111" s="2182"/>
      <c r="H111" s="2182"/>
      <c r="I111" s="2183"/>
    </row>
    <row r="112" spans="1:9" s="176" customFormat="1" ht="11.25" customHeight="1" x14ac:dyDescent="0.2">
      <c r="A112" s="294"/>
      <c r="B112" s="2184"/>
      <c r="C112" s="2185"/>
      <c r="D112" s="2185"/>
      <c r="E112" s="2185"/>
      <c r="F112" s="2185"/>
      <c r="G112" s="2185"/>
      <c r="H112" s="2185"/>
      <c r="I112" s="21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7" t="s">
        <v>2052</v>
      </c>
      <c r="D114" s="218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8" t="s">
        <v>1319</v>
      </c>
      <c r="D117" s="2189"/>
      <c r="E117" s="2190"/>
      <c r="F117" s="2190"/>
      <c r="G117" s="2190"/>
      <c r="H117" s="2190"/>
      <c r="I117" s="282"/>
    </row>
    <row r="118" spans="1:9" s="176" customFormat="1" ht="24" customHeight="1" x14ac:dyDescent="0.2">
      <c r="A118" s="294"/>
      <c r="B118" s="294"/>
      <c r="C118" s="294"/>
      <c r="D118" s="301" t="s">
        <v>2117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Metamora CCSD 1</v>
      </c>
      <c r="C1" s="2610"/>
      <c r="D1" s="2610"/>
      <c r="E1" s="2610"/>
      <c r="F1" s="2610"/>
      <c r="G1" s="2610"/>
      <c r="H1" s="2610"/>
      <c r="I1" s="2610"/>
      <c r="J1" s="1178"/>
    </row>
    <row r="2" spans="2:10" s="295" customFormat="1" ht="12.75" customHeight="1" x14ac:dyDescent="0.2">
      <c r="B2" s="2611">
        <f>'Single Audit Cover'!E7</f>
        <v>53102001004</v>
      </c>
      <c r="C2" s="2612"/>
      <c r="D2" s="2612"/>
      <c r="E2" s="2612"/>
      <c r="F2" s="2612"/>
      <c r="G2" s="2612"/>
      <c r="H2" s="2612"/>
      <c r="I2" s="2612"/>
      <c r="J2" s="1178"/>
    </row>
    <row r="3" spans="2:10" s="295" customFormat="1" ht="12.75" customHeight="1" x14ac:dyDescent="0.2">
      <c r="B3" s="2613" t="s">
        <v>1274</v>
      </c>
      <c r="C3" s="2614"/>
      <c r="D3" s="2614"/>
      <c r="E3" s="2614"/>
      <c r="F3" s="2614"/>
      <c r="G3" s="2614"/>
      <c r="H3" s="2614"/>
      <c r="I3" s="2614"/>
      <c r="J3" s="1179"/>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3" t="s">
        <v>1273</v>
      </c>
      <c r="C7" s="2614"/>
      <c r="D7" s="2614"/>
      <c r="E7" s="2614"/>
      <c r="F7" s="2614"/>
      <c r="G7" s="2614"/>
      <c r="H7" s="2614"/>
      <c r="I7" s="261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5"/>
      <c r="D11" s="261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6"/>
      <c r="E29" s="2616"/>
      <c r="F29" s="2616"/>
      <c r="G29" s="2616"/>
      <c r="H29" s="2616"/>
      <c r="I29" s="261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7" t="s">
        <v>1728</v>
      </c>
      <c r="D37" s="2618"/>
      <c r="E37" s="2618"/>
      <c r="F37" s="2619"/>
      <c r="G37" s="2617" t="s">
        <v>1575</v>
      </c>
      <c r="H37" s="2618"/>
      <c r="I37" s="2619"/>
    </row>
    <row r="38" spans="2:9" ht="16.5" customHeight="1" x14ac:dyDescent="0.2">
      <c r="B38" s="1200"/>
      <c r="C38" s="2605"/>
      <c r="D38" s="2606"/>
      <c r="E38" s="2606"/>
      <c r="F38" s="2607"/>
      <c r="G38" s="2620"/>
      <c r="H38" s="2621"/>
      <c r="I38" s="2622"/>
    </row>
    <row r="39" spans="2:9" ht="16.5" customHeight="1" x14ac:dyDescent="0.2">
      <c r="B39" s="1200"/>
      <c r="C39" s="2605"/>
      <c r="D39" s="2606"/>
      <c r="E39" s="2606"/>
      <c r="F39" s="2607"/>
      <c r="G39" s="2608"/>
      <c r="H39" s="2608"/>
      <c r="I39" s="2608"/>
    </row>
    <row r="40" spans="2:9" ht="16.5" customHeight="1" x14ac:dyDescent="0.2">
      <c r="B40" s="1200"/>
      <c r="C40" s="2605"/>
      <c r="D40" s="2606"/>
      <c r="E40" s="2606"/>
      <c r="F40" s="2607"/>
      <c r="G40" s="2608"/>
      <c r="H40" s="2608"/>
      <c r="I40" s="2608"/>
    </row>
    <row r="41" spans="2:9" ht="16.5" customHeight="1" x14ac:dyDescent="0.2">
      <c r="B41" s="1200"/>
      <c r="C41" s="2605"/>
      <c r="D41" s="2606"/>
      <c r="E41" s="2606"/>
      <c r="F41" s="2607"/>
      <c r="G41" s="2608"/>
      <c r="H41" s="2608"/>
      <c r="I41" s="2608"/>
    </row>
    <row r="42" spans="2:9" ht="16.5" customHeight="1" x14ac:dyDescent="0.2">
      <c r="B42" s="1200"/>
      <c r="C42" s="2605"/>
      <c r="D42" s="2606"/>
      <c r="E42" s="2606"/>
      <c r="F42" s="2607"/>
      <c r="G42" s="2608"/>
      <c r="H42" s="2608"/>
      <c r="I42" s="2608"/>
    </row>
    <row r="43" spans="2:9" ht="16.5" customHeight="1" x14ac:dyDescent="0.2">
      <c r="B43" s="1200"/>
      <c r="C43" s="2623" t="s">
        <v>1576</v>
      </c>
      <c r="D43" s="2624"/>
      <c r="E43" s="2624"/>
      <c r="F43" s="2625"/>
      <c r="G43" s="2626">
        <f>SUM(G38:I42)</f>
        <v>0</v>
      </c>
      <c r="H43" s="2626"/>
      <c r="I43" s="2626"/>
    </row>
    <row r="44" spans="2:9" ht="12.75" customHeight="1" x14ac:dyDescent="0.2"/>
    <row r="45" spans="2:9" ht="12.75" customHeight="1" x14ac:dyDescent="0.2">
      <c r="B45" s="1917" t="str">
        <f>"Total Federal Expenditures for 7/1/"&amp;MID('AFR20'!E2,3,2)-1&amp;"-6/30/"&amp;MID('AFR20'!E2,3,2)</f>
        <v>Total Federal Expenditures for 7/1/19-6/30/20</v>
      </c>
      <c r="C45" s="1918"/>
      <c r="D45" s="2627">
        <v>0</v>
      </c>
      <c r="E45" s="262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9"/>
      <c r="F49" s="2629"/>
      <c r="G49" s="262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Metamora CCSD 1</v>
      </c>
      <c r="C1" s="2630"/>
      <c r="D1" s="2630"/>
      <c r="E1" s="2630"/>
      <c r="F1" s="2630"/>
      <c r="G1" s="2630"/>
      <c r="H1" s="2630"/>
      <c r="I1" s="2630"/>
      <c r="J1" s="2630"/>
      <c r="K1" s="2630"/>
      <c r="L1" s="1221"/>
    </row>
    <row r="2" spans="1:12" ht="12.75" customHeight="1" x14ac:dyDescent="0.2">
      <c r="B2" s="2631">
        <f>'Single Audit Cover'!E7</f>
        <v>53102001004</v>
      </c>
      <c r="C2" s="2631"/>
      <c r="D2" s="2631"/>
      <c r="E2" s="2631"/>
      <c r="F2" s="2631"/>
      <c r="G2" s="2631"/>
      <c r="H2" s="2631"/>
      <c r="I2" s="2631"/>
      <c r="J2" s="2631"/>
      <c r="K2" s="2631"/>
      <c r="L2" s="1222"/>
    </row>
    <row r="3" spans="1:12" ht="12.75" customHeight="1" x14ac:dyDescent="0.2">
      <c r="B3" s="2632" t="s">
        <v>1274</v>
      </c>
      <c r="C3" s="2632"/>
      <c r="D3" s="2632"/>
      <c r="E3" s="2632"/>
      <c r="F3" s="2632"/>
      <c r="G3" s="2632"/>
      <c r="H3" s="2632"/>
      <c r="I3" s="2632"/>
      <c r="J3" s="2632"/>
      <c r="K3" s="2632"/>
      <c r="L3" s="1147"/>
    </row>
    <row r="4" spans="1:12" ht="12.75" customHeight="1" x14ac:dyDescent="0.2">
      <c r="B4" s="2632" t="str">
        <f>'Single Audit Cover'!A4</f>
        <v>Year Ending June 30, 2020</v>
      </c>
      <c r="C4" s="2632"/>
      <c r="D4" s="2632"/>
      <c r="E4" s="2632"/>
      <c r="F4" s="2632"/>
      <c r="G4" s="2632"/>
      <c r="H4" s="2632"/>
      <c r="I4" s="2632"/>
      <c r="J4" s="2632"/>
      <c r="K4" s="2632"/>
      <c r="L4" s="1147"/>
    </row>
    <row r="5" spans="1:12" ht="5.25" customHeight="1" x14ac:dyDescent="0.2">
      <c r="B5" s="1036" t="s">
        <v>1159</v>
      </c>
      <c r="C5" s="1036"/>
      <c r="L5" s="300"/>
    </row>
    <row r="6" spans="1:12" ht="30.75" customHeight="1" x14ac:dyDescent="0.2">
      <c r="A6" s="300"/>
      <c r="B6" s="2633" t="s">
        <v>1297</v>
      </c>
      <c r="C6" s="2633"/>
      <c r="D6" s="2633"/>
      <c r="E6" s="2633"/>
      <c r="F6" s="2633"/>
      <c r="G6" s="2633"/>
      <c r="H6" s="2633"/>
      <c r="I6" s="2633"/>
      <c r="J6" s="2633"/>
      <c r="K6" s="263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6"/>
      <c r="G12" s="2616"/>
      <c r="H12" s="2616"/>
      <c r="I12" s="2616"/>
      <c r="J12" s="2616"/>
      <c r="K12" s="261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5"/>
      <c r="E14" s="2635"/>
      <c r="F14" s="2635"/>
      <c r="H14" s="1230" t="s">
        <v>1292</v>
      </c>
      <c r="I14" s="2636"/>
      <c r="J14" s="2636"/>
      <c r="K14" s="263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6"/>
      <c r="E16" s="2636"/>
      <c r="F16" s="2636"/>
      <c r="G16" s="2636"/>
      <c r="H16" s="2636"/>
      <c r="I16" s="2636"/>
      <c r="J16" s="2636"/>
      <c r="K16" s="2636"/>
      <c r="L16" s="300"/>
    </row>
    <row r="17" spans="2:12" ht="13.5" customHeight="1" x14ac:dyDescent="0.2">
      <c r="B17" s="1156" t="s">
        <v>1290</v>
      </c>
      <c r="C17" s="1156"/>
      <c r="D17" s="2637"/>
      <c r="E17" s="2637"/>
      <c r="F17" s="2637"/>
      <c r="G17" s="2637"/>
      <c r="H17" s="2637"/>
      <c r="I17" s="2637"/>
      <c r="J17" s="2637"/>
      <c r="K17" s="263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4"/>
      <c r="C20" s="2634"/>
      <c r="D20" s="2634"/>
      <c r="E20" s="2634"/>
      <c r="F20" s="2634"/>
      <c r="G20" s="2634"/>
      <c r="H20" s="2634"/>
      <c r="I20" s="2634"/>
      <c r="J20" s="2634"/>
      <c r="K20" s="263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4"/>
      <c r="C23" s="2634"/>
      <c r="D23" s="2634"/>
      <c r="E23" s="2634"/>
      <c r="F23" s="2634"/>
      <c r="G23" s="2634"/>
      <c r="H23" s="2634"/>
      <c r="I23" s="2634"/>
      <c r="J23" s="2634"/>
      <c r="K23" s="263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4"/>
      <c r="C26" s="2634"/>
      <c r="D26" s="2634"/>
      <c r="E26" s="2634"/>
      <c r="F26" s="2634"/>
      <c r="G26" s="2634"/>
      <c r="H26" s="2634"/>
      <c r="I26" s="2634"/>
      <c r="J26" s="2634"/>
      <c r="K26" s="263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4"/>
      <c r="C29" s="2634"/>
      <c r="D29" s="2634"/>
      <c r="E29" s="2634"/>
      <c r="F29" s="2634"/>
      <c r="G29" s="2634"/>
      <c r="H29" s="2634"/>
      <c r="I29" s="2634"/>
      <c r="J29" s="2634"/>
      <c r="K29" s="263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4"/>
      <c r="C32" s="2634"/>
      <c r="D32" s="2634"/>
      <c r="E32" s="2634"/>
      <c r="F32" s="2634"/>
      <c r="G32" s="2634"/>
      <c r="H32" s="2634"/>
      <c r="I32" s="2634"/>
      <c r="J32" s="2634"/>
      <c r="K32" s="263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4"/>
      <c r="C35" s="2634"/>
      <c r="D35" s="2634"/>
      <c r="E35" s="2634"/>
      <c r="F35" s="2634"/>
      <c r="G35" s="2634"/>
      <c r="H35" s="2634"/>
      <c r="I35" s="2634"/>
      <c r="J35" s="2634"/>
      <c r="K35" s="263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4"/>
      <c r="C38" s="2634"/>
      <c r="D38" s="2634"/>
      <c r="E38" s="2634"/>
      <c r="F38" s="2634"/>
      <c r="G38" s="2634"/>
      <c r="H38" s="2634"/>
      <c r="I38" s="2634"/>
      <c r="J38" s="2634"/>
      <c r="K38" s="263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4"/>
      <c r="C41" s="2634"/>
      <c r="D41" s="2634"/>
      <c r="E41" s="2634"/>
      <c r="F41" s="2634"/>
      <c r="G41" s="2634"/>
      <c r="H41" s="2634"/>
      <c r="I41" s="2634"/>
      <c r="J41" s="2634"/>
      <c r="K41" s="263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Metamora CCSD 1</v>
      </c>
      <c r="C1" s="2609"/>
      <c r="D1" s="2609"/>
      <c r="E1" s="2609"/>
      <c r="F1" s="2609"/>
      <c r="G1" s="2609"/>
      <c r="H1" s="2609"/>
      <c r="I1" s="2609"/>
      <c r="J1" s="2609"/>
      <c r="K1" s="2609"/>
      <c r="L1" s="1144"/>
      <c r="M1" s="1144"/>
    </row>
    <row r="2" spans="1:13" ht="12" customHeight="1" x14ac:dyDescent="0.2">
      <c r="B2" s="2611">
        <f>'Single Audit Cover'!E7</f>
        <v>53102001004</v>
      </c>
      <c r="C2" s="2611"/>
      <c r="D2" s="2611"/>
      <c r="E2" s="2611"/>
      <c r="F2" s="2611"/>
      <c r="G2" s="2611"/>
      <c r="H2" s="2611"/>
      <c r="I2" s="2611"/>
      <c r="J2" s="2611"/>
      <c r="K2" s="2611"/>
      <c r="L2" s="1145"/>
      <c r="M2" s="1146"/>
    </row>
    <row r="3" spans="1:13" ht="10.35" customHeight="1" x14ac:dyDescent="0.2">
      <c r="B3" s="2632" t="s">
        <v>1274</v>
      </c>
      <c r="C3" s="2632"/>
      <c r="D3" s="2632"/>
      <c r="E3" s="2632"/>
      <c r="F3" s="2632"/>
      <c r="G3" s="2632"/>
      <c r="H3" s="2632"/>
      <c r="I3" s="2632"/>
      <c r="J3" s="2632"/>
      <c r="K3" s="2632"/>
      <c r="L3" s="1147"/>
      <c r="M3" s="1147"/>
    </row>
    <row r="4" spans="1:13" ht="14.25" customHeight="1" x14ac:dyDescent="0.2">
      <c r="B4" s="2639" t="str">
        <f>'Single Audit Cover'!A4</f>
        <v>Year Ending June 30, 2020</v>
      </c>
      <c r="C4" s="2639"/>
      <c r="D4" s="2639"/>
      <c r="E4" s="2639"/>
      <c r="F4" s="2639"/>
      <c r="G4" s="2639"/>
      <c r="H4" s="2639"/>
      <c r="I4" s="2639"/>
      <c r="J4" s="2639"/>
      <c r="K4" s="263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9" t="s">
        <v>1285</v>
      </c>
      <c r="C7" s="2639"/>
      <c r="D7" s="2640"/>
      <c r="E7" s="2640"/>
      <c r="F7" s="2640"/>
      <c r="G7" s="2640"/>
      <c r="H7" s="2640"/>
      <c r="I7" s="2640"/>
      <c r="J7" s="2640"/>
      <c r="K7" s="264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4" t="s">
        <v>2092</v>
      </c>
      <c r="C14" s="2634"/>
      <c r="D14" s="2634"/>
      <c r="E14" s="2634"/>
      <c r="F14" s="2634"/>
      <c r="G14" s="2634"/>
      <c r="H14" s="2634"/>
      <c r="I14" s="2634"/>
      <c r="J14" s="2634"/>
      <c r="K14" s="263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4" t="s">
        <v>2073</v>
      </c>
      <c r="C17" s="2634"/>
      <c r="D17" s="2634"/>
      <c r="E17" s="2634"/>
      <c r="F17" s="2634"/>
      <c r="G17" s="2634"/>
      <c r="H17" s="2634"/>
      <c r="I17" s="2634"/>
      <c r="J17" s="2634"/>
      <c r="K17" s="263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41" t="s">
        <v>2074</v>
      </c>
      <c r="C20" s="2641"/>
      <c r="D20" s="2634"/>
      <c r="E20" s="2634"/>
      <c r="F20" s="2634"/>
      <c r="G20" s="2634"/>
      <c r="H20" s="2634"/>
      <c r="I20" s="2634"/>
      <c r="J20" s="2634"/>
      <c r="K20" s="263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4" t="s">
        <v>2070</v>
      </c>
      <c r="C23" s="2634"/>
      <c r="D23" s="2634"/>
      <c r="E23" s="2634"/>
      <c r="F23" s="2634"/>
      <c r="G23" s="2634"/>
      <c r="H23" s="2634"/>
      <c r="I23" s="2634"/>
      <c r="J23" s="2634"/>
      <c r="K23" s="263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4" t="s">
        <v>2075</v>
      </c>
      <c r="C26" s="2634"/>
      <c r="D26" s="2634"/>
      <c r="E26" s="2634"/>
      <c r="F26" s="2634"/>
      <c r="G26" s="2634"/>
      <c r="H26" s="2634"/>
      <c r="I26" s="2634"/>
      <c r="J26" s="2634"/>
      <c r="K26" s="263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8" t="s">
        <v>2071</v>
      </c>
      <c r="C29" s="2638"/>
      <c r="D29" s="2634"/>
      <c r="E29" s="2634"/>
      <c r="F29" s="2634"/>
      <c r="G29" s="2634"/>
      <c r="H29" s="2634"/>
      <c r="I29" s="2634"/>
      <c r="J29" s="2634"/>
      <c r="K29" s="263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8" t="s">
        <v>2072</v>
      </c>
      <c r="C32" s="2638"/>
      <c r="D32" s="2634"/>
      <c r="E32" s="2634"/>
      <c r="F32" s="2634"/>
      <c r="G32" s="2634"/>
      <c r="H32" s="2634"/>
      <c r="I32" s="2634"/>
      <c r="J32" s="2634"/>
      <c r="K32" s="263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9" t="str">
        <f>'Single Audit Cover'!A7</f>
        <v xml:space="preserve"> Metamora CCSD 1</v>
      </c>
      <c r="C1" s="2609"/>
      <c r="D1" s="2609"/>
      <c r="E1" s="1240"/>
    </row>
    <row r="2" spans="2:5" s="1058" customFormat="1" ht="12.75" customHeight="1" x14ac:dyDescent="0.2">
      <c r="B2" s="2611">
        <f>'Single Audit Cover'!E7</f>
        <v>53102001004</v>
      </c>
      <c r="C2" s="2611"/>
      <c r="D2" s="2611"/>
      <c r="E2" s="1241"/>
    </row>
    <row r="3" spans="2:5" ht="12.75" customHeight="1" x14ac:dyDescent="0.2">
      <c r="B3" s="2632" t="s">
        <v>1743</v>
      </c>
      <c r="C3" s="2632"/>
      <c r="D3" s="2632"/>
      <c r="E3" s="1050"/>
    </row>
    <row r="4" spans="2:5" s="1058" customFormat="1" ht="12.75" customHeight="1" x14ac:dyDescent="0.2">
      <c r="B4" s="2642" t="str">
        <f>'Single Audit Cover'!A4</f>
        <v>Year Ending June 30, 2020</v>
      </c>
      <c r="C4" s="2642"/>
      <c r="D4" s="264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2069</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3BF0-54AE-48EC-8D52-F232B997E5D0}">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644" t="str">
        <f>'Single Audit Cover'!A7</f>
        <v xml:space="preserve"> Metamora CCSD 1</v>
      </c>
      <c r="C1" s="2644"/>
      <c r="D1" s="2644"/>
      <c r="E1" s="2644"/>
      <c r="F1" s="2035"/>
      <c r="G1" s="2035"/>
      <c r="H1" s="2035"/>
      <c r="I1" s="2035"/>
      <c r="J1" s="2035"/>
      <c r="K1" s="2035"/>
      <c r="L1" s="2035"/>
    </row>
    <row r="2" spans="2:12" ht="13.5" customHeight="1" x14ac:dyDescent="0.2">
      <c r="B2" s="2645">
        <f>'Single Audit Cover'!E7</f>
        <v>53102001004</v>
      </c>
      <c r="C2" s="2645"/>
      <c r="D2" s="2645"/>
      <c r="E2" s="2645"/>
      <c r="F2" s="2037"/>
      <c r="G2" s="2037"/>
      <c r="H2" s="2037"/>
      <c r="I2" s="2037"/>
      <c r="J2" s="2037"/>
      <c r="K2" s="2037"/>
      <c r="L2" s="2037"/>
    </row>
    <row r="3" spans="2:12" ht="13.5" customHeight="1" x14ac:dyDescent="0.2">
      <c r="B3" s="2646" t="s">
        <v>2076</v>
      </c>
      <c r="C3" s="2646"/>
      <c r="D3" s="2646"/>
      <c r="E3" s="2646"/>
      <c r="F3" s="2038"/>
      <c r="G3" s="2038"/>
      <c r="H3" s="2038"/>
      <c r="I3" s="2038"/>
      <c r="J3" s="2038"/>
      <c r="K3" s="2038"/>
      <c r="L3" s="2038"/>
    </row>
    <row r="4" spans="2:12" ht="13.5" customHeight="1" x14ac:dyDescent="0.2">
      <c r="B4" s="2647" t="str">
        <f>'Single Audit Cover'!A4</f>
        <v>Year Ending June 30, 2020</v>
      </c>
      <c r="C4" s="2647"/>
      <c r="D4" s="2647"/>
      <c r="E4" s="2647"/>
      <c r="F4" s="2039"/>
      <c r="G4" s="2039"/>
      <c r="H4" s="2039"/>
      <c r="I4" s="2039"/>
      <c r="J4" s="2039"/>
      <c r="K4" s="2039"/>
      <c r="L4" s="2039"/>
    </row>
    <row r="5" spans="2:12" ht="29.85" customHeight="1" x14ac:dyDescent="0.2"/>
    <row r="6" spans="2:12" ht="13.5" customHeight="1" x14ac:dyDescent="0.2">
      <c r="B6" s="2040" t="s">
        <v>2077</v>
      </c>
      <c r="C6" s="2040"/>
      <c r="D6" s="2041"/>
      <c r="E6" s="2042"/>
      <c r="F6" s="2042"/>
      <c r="G6" s="2043"/>
      <c r="H6" s="2043"/>
      <c r="I6" s="2043"/>
    </row>
    <row r="7" spans="2:12" ht="13.5" customHeight="1" x14ac:dyDescent="0.2">
      <c r="B7" s="2036" t="s">
        <v>1159</v>
      </c>
    </row>
    <row r="8" spans="2:12" ht="13.5" customHeight="1" x14ac:dyDescent="0.2">
      <c r="B8" s="2044" t="s">
        <v>2078</v>
      </c>
      <c r="C8" s="2045" t="s">
        <v>2089</v>
      </c>
      <c r="D8" s="2046">
        <v>1</v>
      </c>
    </row>
    <row r="9" spans="2:12" ht="13.5" customHeight="1" x14ac:dyDescent="0.2">
      <c r="B9" s="2047"/>
      <c r="C9" s="2047"/>
      <c r="D9" s="2047"/>
    </row>
    <row r="10" spans="2:12" ht="13.5" customHeight="1" x14ac:dyDescent="0.2">
      <c r="B10" s="2044" t="s">
        <v>2079</v>
      </c>
      <c r="C10" s="2044"/>
    </row>
    <row r="11" spans="2:12" ht="66.75" customHeight="1" x14ac:dyDescent="0.2">
      <c r="B11" s="2643" t="s">
        <v>2090</v>
      </c>
      <c r="C11" s="2643"/>
      <c r="D11" s="2643"/>
      <c r="E11" s="2643"/>
    </row>
    <row r="12" spans="2:12" ht="13.5" customHeight="1" x14ac:dyDescent="0.2"/>
    <row r="13" spans="2:12" ht="13.5" customHeight="1" x14ac:dyDescent="0.2">
      <c r="B13" s="2044" t="s">
        <v>2080</v>
      </c>
      <c r="C13" s="2044"/>
    </row>
    <row r="14" spans="2:12" ht="76.5" customHeight="1" x14ac:dyDescent="0.2">
      <c r="B14" s="2643" t="s">
        <v>2081</v>
      </c>
      <c r="C14" s="2643"/>
      <c r="D14" s="2643"/>
      <c r="E14" s="2643"/>
    </row>
    <row r="15" spans="2:12" ht="13.5" customHeight="1" x14ac:dyDescent="0.2"/>
    <row r="16" spans="2:12" ht="13.5" customHeight="1" x14ac:dyDescent="0.2">
      <c r="B16" s="2044" t="s">
        <v>2082</v>
      </c>
      <c r="C16" s="2044"/>
      <c r="E16" s="2048" t="s">
        <v>2083</v>
      </c>
    </row>
    <row r="17" spans="2:5" ht="13.5" customHeight="1" x14ac:dyDescent="0.2"/>
    <row r="18" spans="2:5" ht="13.5" customHeight="1" x14ac:dyDescent="0.2">
      <c r="B18" s="2044" t="s">
        <v>2084</v>
      </c>
      <c r="C18" s="2044"/>
      <c r="E18" s="2049" t="s">
        <v>2091</v>
      </c>
    </row>
    <row r="19" spans="2:5" ht="13.5" customHeight="1" x14ac:dyDescent="0.2"/>
    <row r="20" spans="2:5" ht="13.5" customHeight="1" x14ac:dyDescent="0.2">
      <c r="B20" s="2044" t="s">
        <v>2085</v>
      </c>
      <c r="C20" s="2044"/>
      <c r="E20" s="2049" t="s">
        <v>2086</v>
      </c>
    </row>
    <row r="21" spans="2:5" ht="13.5" customHeight="1" x14ac:dyDescent="0.2">
      <c r="E21" s="2049" t="s">
        <v>2087</v>
      </c>
    </row>
    <row r="22" spans="2:5" ht="13.5" customHeight="1" x14ac:dyDescent="0.2">
      <c r="E22" s="2049"/>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2088</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2" t="s">
        <v>383</v>
      </c>
      <c r="B1" s="2212"/>
      <c r="C1" s="2212"/>
      <c r="D1" s="2212"/>
      <c r="E1" s="2212"/>
      <c r="F1" s="2212"/>
      <c r="G1" s="2212"/>
      <c r="H1" s="2212"/>
      <c r="I1" s="2212"/>
      <c r="J1" s="2212"/>
      <c r="K1" s="2212"/>
      <c r="L1" s="2212"/>
      <c r="M1" s="221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177055586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1.52E-2</v>
      </c>
      <c r="E10" s="333" t="s">
        <v>998</v>
      </c>
      <c r="F10" s="332">
        <v>2.5000000000000001E-3</v>
      </c>
      <c r="G10" s="333" t="s">
        <v>998</v>
      </c>
      <c r="H10" s="332">
        <v>1.1999999999999999E-3</v>
      </c>
      <c r="I10" s="333" t="s">
        <v>999</v>
      </c>
      <c r="J10" s="1424">
        <f>ROUND(D10+F10+H10,5)</f>
        <v>1.89E-2</v>
      </c>
      <c r="K10" s="217"/>
      <c r="L10" s="332">
        <v>5.0000000000000001E-4</v>
      </c>
      <c r="M10" s="217"/>
    </row>
    <row r="11" spans="1:14" ht="7.5" customHeight="1" x14ac:dyDescent="0.2">
      <c r="B11" s="217"/>
      <c r="C11" s="217"/>
      <c r="D11" s="2222" t="str">
        <f>IF(SUM(J10)&lt;=0.0999999,"","Enter the Tax Rates by moving the decimal two places to the left.")</f>
        <v/>
      </c>
      <c r="E11" s="2223"/>
      <c r="F11" s="2223"/>
      <c r="G11" s="2223"/>
      <c r="H11" s="2223"/>
      <c r="I11" s="2223"/>
      <c r="J11" s="22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6201795</v>
      </c>
      <c r="E16" s="1547"/>
      <c r="F16" s="1546">
        <f>SUM('Acct Summary 7-8'!C17,'Acct Summary 7-8'!D17,'Acct Summary 7-8'!F17)</f>
        <v>6779459</v>
      </c>
      <c r="G16" s="1547"/>
      <c r="H16" s="1546">
        <f>SUM(D16-F16)</f>
        <v>-577664</v>
      </c>
      <c r="I16" s="1548"/>
      <c r="J16" s="1546">
        <f>SUM('Acct Summary 7-8'!C81,'Acct Summary 7-8'!D81,'Acct Summary 7-8'!F81,'Acct Summary 7-8'!I81)</f>
        <v>2881698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12216835.434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8725000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3"/>
      <c r="C54" s="2214"/>
      <c r="D54" s="2214"/>
      <c r="E54" s="2214"/>
      <c r="F54" s="2214"/>
      <c r="G54" s="2214"/>
      <c r="H54" s="2214"/>
      <c r="I54" s="2214"/>
      <c r="J54" s="2214"/>
      <c r="K54" s="2214"/>
      <c r="L54" s="2215"/>
      <c r="M54" s="357"/>
    </row>
    <row r="55" spans="1:13" ht="12.75" customHeight="1" x14ac:dyDescent="0.2">
      <c r="B55" s="2216"/>
      <c r="C55" s="2217"/>
      <c r="D55" s="2217"/>
      <c r="E55" s="2217"/>
      <c r="F55" s="2217"/>
      <c r="G55" s="2217"/>
      <c r="H55" s="2217"/>
      <c r="I55" s="2217"/>
      <c r="J55" s="2217"/>
      <c r="K55" s="2217"/>
      <c r="L55" s="2218"/>
      <c r="M55" s="357"/>
    </row>
    <row r="56" spans="1:13" ht="12.75" customHeight="1" x14ac:dyDescent="0.2">
      <c r="B56" s="2216"/>
      <c r="C56" s="2217"/>
      <c r="D56" s="2217"/>
      <c r="E56" s="2217"/>
      <c r="F56" s="2217"/>
      <c r="G56" s="2217"/>
      <c r="H56" s="2217"/>
      <c r="I56" s="2217"/>
      <c r="J56" s="2217"/>
      <c r="K56" s="2217"/>
      <c r="L56" s="2218"/>
      <c r="M56" s="217"/>
    </row>
    <row r="57" spans="1:13" ht="12.75" customHeight="1" x14ac:dyDescent="0.2">
      <c r="B57" s="2216"/>
      <c r="C57" s="2217"/>
      <c r="D57" s="2217"/>
      <c r="E57" s="2217"/>
      <c r="F57" s="2217"/>
      <c r="G57" s="2217"/>
      <c r="H57" s="2217"/>
      <c r="I57" s="2217"/>
      <c r="J57" s="2217"/>
      <c r="K57" s="2217"/>
      <c r="L57" s="2218"/>
      <c r="M57" s="217"/>
    </row>
    <row r="58" spans="1:13" x14ac:dyDescent="0.2">
      <c r="B58" s="2219"/>
      <c r="C58" s="2220"/>
      <c r="D58" s="2220"/>
      <c r="E58" s="2220"/>
      <c r="F58" s="2220"/>
      <c r="G58" s="2220"/>
      <c r="H58" s="2220"/>
      <c r="I58" s="2220"/>
      <c r="J58" s="2220"/>
      <c r="K58" s="2220"/>
      <c r="L58" s="222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4"/>
      <c r="D61" s="22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7"/>
      <c r="B1" s="2228"/>
      <c r="C1" s="2228"/>
      <c r="D1" s="361"/>
      <c r="E1" s="361"/>
      <c r="F1" s="361"/>
      <c r="G1" s="361"/>
      <c r="H1" s="361"/>
      <c r="I1" s="361"/>
      <c r="J1" s="361"/>
      <c r="K1" s="361"/>
      <c r="L1" s="361"/>
      <c r="M1" s="361"/>
      <c r="N1" s="361"/>
      <c r="O1" s="2227"/>
      <c r="P1" s="2228"/>
      <c r="Q1" s="2228"/>
    </row>
    <row r="2" spans="1:18" ht="15" x14ac:dyDescent="0.2">
      <c r="A2" s="2231" t="s">
        <v>552</v>
      </c>
      <c r="B2" s="2231"/>
      <c r="C2" s="2231"/>
      <c r="D2" s="2231"/>
      <c r="E2" s="2231"/>
      <c r="F2" s="2231"/>
      <c r="G2" s="2231"/>
      <c r="H2" s="2231"/>
      <c r="I2" s="2231"/>
      <c r="J2" s="2231"/>
      <c r="K2" s="2231"/>
      <c r="L2" s="2231"/>
      <c r="M2" s="2231"/>
      <c r="N2" s="2231"/>
      <c r="O2" s="2231"/>
      <c r="P2" s="2231"/>
      <c r="Q2" s="2231"/>
      <c r="R2" s="2231"/>
    </row>
    <row r="3" spans="1:18" ht="12.75" x14ac:dyDescent="0.2">
      <c r="A3" s="2232" t="s">
        <v>1396</v>
      </c>
      <c r="B3" s="2232"/>
      <c r="C3" s="2232"/>
      <c r="D3" s="2232"/>
      <c r="E3" s="2232"/>
      <c r="F3" s="2232"/>
      <c r="G3" s="2232"/>
      <c r="H3" s="2232"/>
      <c r="I3" s="2232"/>
      <c r="J3" s="2232"/>
      <c r="K3" s="2232"/>
      <c r="L3" s="2232"/>
      <c r="M3" s="2232"/>
      <c r="N3" s="2232"/>
      <c r="O3" s="2232"/>
      <c r="P3" s="2232"/>
      <c r="Q3" s="2232"/>
      <c r="R3" s="2232"/>
    </row>
    <row r="4" spans="1:18" x14ac:dyDescent="0.2">
      <c r="A4" s="2233" t="s">
        <v>1537</v>
      </c>
      <c r="B4" s="2233"/>
      <c r="C4" s="2233"/>
      <c r="D4" s="2233"/>
      <c r="E4" s="2233"/>
      <c r="F4" s="2233"/>
      <c r="G4" s="2233"/>
      <c r="H4" s="2233"/>
      <c r="I4" s="2233"/>
      <c r="J4" s="2233"/>
      <c r="K4" s="2233"/>
      <c r="L4" s="2233"/>
      <c r="M4" s="2233"/>
      <c r="N4" s="2233"/>
      <c r="O4" s="2233"/>
      <c r="P4" s="2233"/>
      <c r="Q4" s="2233"/>
      <c r="R4" s="22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Metamora CCSD 1</v>
      </c>
      <c r="E7" s="368"/>
      <c r="G7" s="247"/>
      <c r="H7" s="364"/>
      <c r="I7" s="364"/>
      <c r="J7" s="364"/>
      <c r="K7" s="364"/>
      <c r="L7" s="307"/>
      <c r="M7" s="307"/>
      <c r="N7" s="307"/>
      <c r="O7" s="307"/>
      <c r="P7" s="307"/>
    </row>
    <row r="8" spans="1:18" ht="12.75" x14ac:dyDescent="0.2">
      <c r="A8" s="307"/>
      <c r="B8" s="307"/>
      <c r="C8" s="366" t="s">
        <v>1115</v>
      </c>
      <c r="D8" s="369">
        <f>COVER!A13</f>
        <v>53102001004</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2881698</v>
      </c>
      <c r="I12" s="380"/>
      <c r="J12" s="380"/>
      <c r="K12" s="1559">
        <f>TRUNC((H12/H13*100000),5)/100000</f>
        <v>0.46465547469999996</v>
      </c>
      <c r="L12" s="381"/>
      <c r="M12" s="337" t="s">
        <v>1134</v>
      </c>
      <c r="N12" s="337"/>
      <c r="O12" s="1562">
        <v>0.35</v>
      </c>
      <c r="P12" s="213"/>
      <c r="Q12" s="213"/>
    </row>
    <row r="13" spans="1:18" s="382" customFormat="1" ht="12.75" x14ac:dyDescent="0.2">
      <c r="A13" s="213"/>
      <c r="B13" s="377"/>
      <c r="C13" s="2229" t="s">
        <v>1313</v>
      </c>
      <c r="D13" s="2230"/>
      <c r="E13" s="213"/>
      <c r="F13" s="383" t="s">
        <v>788</v>
      </c>
      <c r="G13" s="378"/>
      <c r="H13" s="1551">
        <f>SUM('Acct Summary 7-8'!C8+'Acct Summary 7-8'!D8+'Acct Summary 7-8'!F8+'Acct Summary 7-8'!I8)+H14</f>
        <v>6201795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6779459</v>
      </c>
      <c r="I17" s="380"/>
      <c r="J17" s="389"/>
      <c r="K17" s="1559">
        <f>TRUNC((H17/H18*100000),5)/100000</f>
        <v>1.0931446460000001</v>
      </c>
      <c r="L17" s="381"/>
      <c r="M17" s="390" t="s">
        <v>1161</v>
      </c>
      <c r="O17" s="1565" t="str">
        <f>IF(AND(O16="2", J20 &gt; 2),"1",IF(AND(O16 = "1", J20 &gt; 2),"2",IF(AND(O16="1", J20 &gt;1),"1","0")))</f>
        <v>0</v>
      </c>
      <c r="P17" s="213"/>
    </row>
    <row r="18" spans="1:18" s="382" customFormat="1" ht="11.25" x14ac:dyDescent="0.2">
      <c r="A18" s="213"/>
      <c r="B18" s="377"/>
      <c r="C18" s="2229" t="s">
        <v>1306</v>
      </c>
      <c r="D18" s="2230"/>
      <c r="E18" s="213"/>
      <c r="F18" s="391" t="s">
        <v>789</v>
      </c>
      <c r="G18" s="378"/>
      <c r="H18" s="1551">
        <f>SUM('Acct Summary 7-8'!C8+'Acct Summary 7-8'!D8+'Acct Summary 7-8'!F8+'Acct Summary 7-8'!I8)+H19</f>
        <v>6201795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3.9149374999999997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6" t="s">
        <v>1395</v>
      </c>
      <c r="D24" s="2226"/>
      <c r="E24" s="213"/>
      <c r="F24" s="213" t="s">
        <v>442</v>
      </c>
      <c r="G24" s="378"/>
      <c r="H24" s="1551">
        <f>SUM('Assets-Liab 5-6'!C4+'Assets-Liab 5-6'!D4+'Assets-Liab 5-6'!F4+'Assets-Liab 5-6'!I4+'Assets-Liab 5-6'!C5+'Assets-Liab 5-6'!D5+'Assets-Liab 5-6'!F5+'Assets-Liab 5-6'!I5)</f>
        <v>2881698</v>
      </c>
      <c r="I24" s="394"/>
      <c r="J24" s="394"/>
      <c r="K24" s="1555">
        <f>TRUNC(((H24/H25*100000)/100000),2)</f>
        <v>153.02000000000001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18831.830559999999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2844397.9890899998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8725000</v>
      </c>
      <c r="I32" s="392"/>
      <c r="J32" s="392"/>
      <c r="K32" s="1555">
        <f>TRUNC(100-((((H32/H33*100))*100)/100),2)</f>
        <v>28.58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12216835.434</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1" activeCellId="1" sqref="F31 A41:F4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6" t="s">
        <v>967</v>
      </c>
      <c r="B3" s="2237"/>
      <c r="C3" s="1306"/>
      <c r="D3" s="1307"/>
      <c r="E3" s="1307"/>
      <c r="F3" s="1307"/>
      <c r="G3" s="1307"/>
      <c r="H3" s="1307"/>
      <c r="I3" s="1307"/>
      <c r="J3" s="1307"/>
      <c r="K3" s="1307"/>
      <c r="L3" s="1307"/>
      <c r="M3" s="1308"/>
      <c r="N3" s="1309"/>
    </row>
    <row r="4" spans="1:14" ht="13.5" customHeight="1" x14ac:dyDescent="0.2">
      <c r="A4" s="427" t="s">
        <v>1632</v>
      </c>
      <c r="B4" s="428"/>
      <c r="C4" s="1572">
        <v>538923</v>
      </c>
      <c r="D4" s="1573">
        <v>268953</v>
      </c>
      <c r="E4" s="1573">
        <v>37570</v>
      </c>
      <c r="F4" s="1573">
        <v>64105</v>
      </c>
      <c r="G4" s="1573">
        <v>268842</v>
      </c>
      <c r="H4" s="1573">
        <v>486932</v>
      </c>
      <c r="I4" s="1573">
        <v>1761717</v>
      </c>
      <c r="J4" s="1574">
        <v>213783</v>
      </c>
      <c r="K4" s="1573">
        <v>322092</v>
      </c>
      <c r="L4" s="1573">
        <v>82606</v>
      </c>
      <c r="M4" s="1575"/>
      <c r="N4" s="1576"/>
    </row>
    <row r="5" spans="1:14" x14ac:dyDescent="0.2">
      <c r="A5" s="427" t="s">
        <v>985</v>
      </c>
      <c r="B5" s="429">
        <v>120</v>
      </c>
      <c r="C5" s="1572">
        <v>0</v>
      </c>
      <c r="D5" s="1573">
        <v>0</v>
      </c>
      <c r="E5" s="1573">
        <v>0</v>
      </c>
      <c r="F5" s="1573">
        <v>0</v>
      </c>
      <c r="G5" s="1573">
        <v>0</v>
      </c>
      <c r="H5" s="1573">
        <v>0</v>
      </c>
      <c r="I5" s="1573">
        <v>248000</v>
      </c>
      <c r="J5" s="1574">
        <v>0</v>
      </c>
      <c r="K5" s="1577">
        <v>0</v>
      </c>
      <c r="L5" s="1578">
        <v>8051</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538923</v>
      </c>
      <c r="D13" s="1587">
        <f t="shared" ref="D13:L13" si="0">SUM(D4:D12)</f>
        <v>268953</v>
      </c>
      <c r="E13" s="1587">
        <f t="shared" si="0"/>
        <v>37570</v>
      </c>
      <c r="F13" s="1587">
        <f t="shared" si="0"/>
        <v>64105</v>
      </c>
      <c r="G13" s="1587">
        <f t="shared" si="0"/>
        <v>268842</v>
      </c>
      <c r="H13" s="1587">
        <f t="shared" si="0"/>
        <v>486932</v>
      </c>
      <c r="I13" s="1587">
        <f t="shared" si="0"/>
        <v>2009717</v>
      </c>
      <c r="J13" s="1587">
        <f t="shared" si="0"/>
        <v>213783</v>
      </c>
      <c r="K13" s="1587">
        <f t="shared" si="0"/>
        <v>322092</v>
      </c>
      <c r="L13" s="1587">
        <f t="shared" si="0"/>
        <v>90657</v>
      </c>
      <c r="M13" s="1575"/>
      <c r="N13" s="1576"/>
    </row>
    <row r="14" spans="1:14" ht="18" customHeight="1" thickTop="1" x14ac:dyDescent="0.2">
      <c r="A14" s="2238" t="s">
        <v>146</v>
      </c>
      <c r="B14" s="223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22721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14527459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742601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1105922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296501</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37570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8687430</v>
      </c>
    </row>
    <row r="23" spans="1:14" ht="13.5" customHeight="1" thickBot="1" x14ac:dyDescent="0.25">
      <c r="A23" s="1426" t="s">
        <v>638</v>
      </c>
      <c r="B23" s="1429"/>
      <c r="C23" s="1575"/>
      <c r="D23" s="1575"/>
      <c r="E23" s="1575"/>
      <c r="F23" s="1575"/>
      <c r="G23" s="1575"/>
      <c r="H23" s="1575"/>
      <c r="I23" s="1575"/>
      <c r="J23" s="1575"/>
      <c r="K23" s="1575"/>
      <c r="L23" s="1575"/>
      <c r="M23" s="1594">
        <f>SUM(M15:M22)</f>
        <v>16695204</v>
      </c>
      <c r="N23" s="1594">
        <f>SUM(N21:N22)</f>
        <v>8725000</v>
      </c>
    </row>
    <row r="24" spans="1:14" ht="18" customHeight="1" thickTop="1" x14ac:dyDescent="0.2">
      <c r="A24" s="2240" t="s">
        <v>594</v>
      </c>
      <c r="B24" s="224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90657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90657</v>
      </c>
      <c r="M34" s="1575"/>
      <c r="N34" s="1585"/>
    </row>
    <row r="35" spans="1:14" ht="18" customHeight="1" thickTop="1" x14ac:dyDescent="0.2">
      <c r="A35" s="2242" t="s">
        <v>526</v>
      </c>
      <c r="B35" s="224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8725000</v>
      </c>
    </row>
    <row r="37" spans="1:14" ht="13.5" thickBot="1" x14ac:dyDescent="0.25">
      <c r="A37" s="1426" t="s">
        <v>648</v>
      </c>
      <c r="B37" s="1429"/>
      <c r="C37" s="1582"/>
      <c r="D37" s="1582"/>
      <c r="E37" s="1582"/>
      <c r="F37" s="1582"/>
      <c r="G37" s="1582"/>
      <c r="H37" s="1582"/>
      <c r="I37" s="1582"/>
      <c r="J37" s="1582"/>
      <c r="K37" s="1582"/>
      <c r="L37" s="1585"/>
      <c r="M37" s="1575"/>
      <c r="N37" s="1594">
        <f>SUM(N36:N36)</f>
        <v>8725000</v>
      </c>
    </row>
    <row r="38" spans="1:14" s="307" customFormat="1" ht="13.5" customHeight="1" thickTop="1" x14ac:dyDescent="0.2">
      <c r="A38" s="438" t="s">
        <v>417</v>
      </c>
      <c r="B38" s="432">
        <v>714</v>
      </c>
      <c r="C38" s="1573">
        <v>43696</v>
      </c>
      <c r="D38" s="1573">
        <v>0</v>
      </c>
      <c r="E38" s="1573">
        <v>0</v>
      </c>
      <c r="F38" s="1573">
        <v>0</v>
      </c>
      <c r="G38" s="1573">
        <v>118322</v>
      </c>
      <c r="H38" s="1573">
        <v>204046</v>
      </c>
      <c r="I38" s="1573">
        <v>0</v>
      </c>
      <c r="J38" s="1574">
        <v>0</v>
      </c>
      <c r="K38" s="1573">
        <v>0</v>
      </c>
      <c r="L38" s="1586">
        <v>0</v>
      </c>
      <c r="M38" s="1604"/>
      <c r="N38" s="1604"/>
    </row>
    <row r="39" spans="1:14" s="307" customFormat="1" ht="13.5" customHeight="1" x14ac:dyDescent="0.2">
      <c r="A39" s="438" t="s">
        <v>339</v>
      </c>
      <c r="B39" s="432">
        <v>730</v>
      </c>
      <c r="C39" s="1573">
        <v>495227</v>
      </c>
      <c r="D39" s="1573">
        <v>268953</v>
      </c>
      <c r="E39" s="1573">
        <v>37570</v>
      </c>
      <c r="F39" s="1573">
        <v>64105</v>
      </c>
      <c r="G39" s="1573">
        <v>150520</v>
      </c>
      <c r="H39" s="1573">
        <v>282886</v>
      </c>
      <c r="I39" s="1573">
        <v>2009717</v>
      </c>
      <c r="J39" s="1574">
        <v>213783</v>
      </c>
      <c r="K39" s="1573">
        <v>322092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16695204</v>
      </c>
      <c r="N40" s="1604"/>
    </row>
    <row r="41" spans="1:14" ht="13.5" customHeight="1" thickBot="1" x14ac:dyDescent="0.25">
      <c r="A41" s="1426" t="s">
        <v>650</v>
      </c>
      <c r="B41" s="1405"/>
      <c r="C41" s="1594">
        <f>(SUM(C34,C37,C38,C39))</f>
        <v>538923</v>
      </c>
      <c r="D41" s="1594">
        <f t="shared" ref="D41:L41" si="2">SUM(D34,D37,D38:D39)</f>
        <v>268953</v>
      </c>
      <c r="E41" s="1594">
        <f t="shared" si="2"/>
        <v>37570</v>
      </c>
      <c r="F41" s="1594">
        <f t="shared" si="2"/>
        <v>64105</v>
      </c>
      <c r="G41" s="1594">
        <f t="shared" si="2"/>
        <v>268842</v>
      </c>
      <c r="H41" s="1594">
        <f t="shared" si="2"/>
        <v>486932</v>
      </c>
      <c r="I41" s="1594">
        <f t="shared" si="2"/>
        <v>2009717</v>
      </c>
      <c r="J41" s="1594">
        <f t="shared" si="2"/>
        <v>213783</v>
      </c>
      <c r="K41" s="1594">
        <f t="shared" si="2"/>
        <v>322092</v>
      </c>
      <c r="L41" s="1594">
        <f t="shared" si="2"/>
        <v>90657</v>
      </c>
      <c r="M41" s="1594">
        <f>SUM(M40)</f>
        <v>16695204</v>
      </c>
      <c r="N41" s="1594">
        <f>SUM(N37)</f>
        <v>8725000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1" activeCellId="1" sqref="F31 A41:F4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4" t="s">
        <v>1165</v>
      </c>
      <c r="B3" s="2265"/>
      <c r="C3" s="1311"/>
      <c r="D3" s="1312"/>
      <c r="E3" s="1312"/>
      <c r="F3" s="1312"/>
      <c r="G3" s="1312"/>
      <c r="H3" s="1312"/>
      <c r="I3" s="1312"/>
      <c r="J3" s="1312"/>
      <c r="K3" s="1313"/>
      <c r="L3" s="446"/>
    </row>
    <row r="4" spans="1:13" ht="15.75" customHeight="1" x14ac:dyDescent="0.2">
      <c r="A4" s="1537" t="s">
        <v>1482</v>
      </c>
      <c r="B4" s="1538">
        <v>1000</v>
      </c>
      <c r="C4" s="1606">
        <f>'Revenues 9-14'!C109</f>
        <v>3109777</v>
      </c>
      <c r="D4" s="1606">
        <f>'Revenues 9-14'!D109</f>
        <v>446547</v>
      </c>
      <c r="E4" s="1606">
        <f>'Revenues 9-14'!E109</f>
        <v>829983</v>
      </c>
      <c r="F4" s="1606">
        <f>'Revenues 9-14'!F109</f>
        <v>224802</v>
      </c>
      <c r="G4" s="1606">
        <f>'Revenues 9-14'!G109</f>
        <v>230295</v>
      </c>
      <c r="H4" s="1606">
        <f>'Revenues 9-14'!H109</f>
        <v>261034</v>
      </c>
      <c r="I4" s="1606">
        <f>'Revenues 9-14'!I109</f>
        <v>100673</v>
      </c>
      <c r="J4" s="1606">
        <f>'Revenues 9-14'!J109</f>
        <v>194913</v>
      </c>
      <c r="K4" s="1606">
        <f>'Revenues 9-14'!K109</f>
        <v>89398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1836406</v>
      </c>
      <c r="D6" s="1607">
        <f>'Revenues 9-14'!D170</f>
        <v>0</v>
      </c>
      <c r="E6" s="1607">
        <f>'Revenues 9-14'!E170</f>
        <v>0</v>
      </c>
      <c r="F6" s="1607">
        <f>'Revenues 9-14'!F170</f>
        <v>142766</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340824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5287007</v>
      </c>
      <c r="D8" s="1594">
        <f t="shared" ref="D8:K8" si="0">SUM(D4:D7)</f>
        <v>446547</v>
      </c>
      <c r="E8" s="1594">
        <f t="shared" si="0"/>
        <v>829983</v>
      </c>
      <c r="F8" s="1594">
        <f t="shared" si="0"/>
        <v>367568</v>
      </c>
      <c r="G8" s="1594">
        <f t="shared" si="0"/>
        <v>230295</v>
      </c>
      <c r="H8" s="1594">
        <f t="shared" si="0"/>
        <v>311034</v>
      </c>
      <c r="I8" s="1594">
        <f t="shared" si="0"/>
        <v>100673</v>
      </c>
      <c r="J8" s="1594">
        <f t="shared" si="0"/>
        <v>194913</v>
      </c>
      <c r="K8" s="1594">
        <f t="shared" si="0"/>
        <v>89398</v>
      </c>
      <c r="L8" s="325"/>
    </row>
    <row r="9" spans="1:13" ht="15.75" thickTop="1" x14ac:dyDescent="0.2">
      <c r="A9" s="449" t="s">
        <v>1634</v>
      </c>
      <c r="B9" s="450">
        <v>3998</v>
      </c>
      <c r="C9" s="1586">
        <v>2673499</v>
      </c>
      <c r="D9" s="1613"/>
      <c r="E9" s="1586"/>
      <c r="F9" s="1586"/>
      <c r="G9" s="1614"/>
      <c r="H9" s="1586"/>
      <c r="I9" s="1609" t="s">
        <v>1159</v>
      </c>
      <c r="J9" s="1583"/>
      <c r="K9" s="1586"/>
      <c r="L9" s="325"/>
    </row>
    <row r="10" spans="1:13" s="452" customFormat="1" ht="13.5" thickBot="1" x14ac:dyDescent="0.25">
      <c r="A10" s="1426" t="s">
        <v>1163</v>
      </c>
      <c r="B10" s="1407"/>
      <c r="C10" s="1594">
        <f>SUM(C8:C9)</f>
        <v>7960506</v>
      </c>
      <c r="D10" s="1594">
        <f t="shared" ref="D10:K10" si="1">SUM(D8:D9)</f>
        <v>446547</v>
      </c>
      <c r="E10" s="1594">
        <f t="shared" si="1"/>
        <v>829983</v>
      </c>
      <c r="F10" s="1594">
        <f t="shared" si="1"/>
        <v>367568</v>
      </c>
      <c r="G10" s="1594">
        <f t="shared" si="1"/>
        <v>230295</v>
      </c>
      <c r="H10" s="1594">
        <f t="shared" si="1"/>
        <v>311034</v>
      </c>
      <c r="I10" s="1594">
        <f t="shared" si="1"/>
        <v>100673</v>
      </c>
      <c r="J10" s="1594">
        <f t="shared" si="1"/>
        <v>194913</v>
      </c>
      <c r="K10" s="1594">
        <f t="shared" si="1"/>
        <v>89398</v>
      </c>
      <c r="L10" s="451"/>
    </row>
    <row r="11" spans="1:13" s="452" customFormat="1" ht="16.7" customHeight="1" thickTop="1" x14ac:dyDescent="0.2">
      <c r="A11" s="2238" t="s">
        <v>1166</v>
      </c>
      <c r="B11" s="2239"/>
      <c r="C11" s="1602"/>
      <c r="D11" s="1603"/>
      <c r="E11" s="1603"/>
      <c r="F11" s="1603"/>
      <c r="G11" s="1603"/>
      <c r="H11" s="1603"/>
      <c r="I11" s="1603"/>
      <c r="J11" s="1603"/>
      <c r="K11" s="1615"/>
      <c r="L11" s="451"/>
    </row>
    <row r="12" spans="1:13" ht="15.75" customHeight="1" x14ac:dyDescent="0.2">
      <c r="A12" s="1314" t="s">
        <v>453</v>
      </c>
      <c r="B12" s="1316">
        <v>1000</v>
      </c>
      <c r="C12" s="1606">
        <f>'Expenditures 15-22'!K33</f>
        <v>4308144</v>
      </c>
      <c r="D12" s="1616" t="s">
        <v>1159</v>
      </c>
      <c r="E12" s="1575" t="s">
        <v>1159</v>
      </c>
      <c r="F12" s="1575" t="s">
        <v>1159</v>
      </c>
      <c r="G12" s="1606">
        <f>'Expenditures 15-22'!K229</f>
        <v>101820</v>
      </c>
      <c r="H12" s="1617"/>
      <c r="I12" s="1575" t="s">
        <v>1159</v>
      </c>
      <c r="J12" s="1575" t="s">
        <v>1159</v>
      </c>
      <c r="K12" s="1617" t="s">
        <v>1159</v>
      </c>
      <c r="L12" s="325"/>
    </row>
    <row r="13" spans="1:13" ht="15.75" customHeight="1" x14ac:dyDescent="0.2">
      <c r="A13" s="1314" t="s">
        <v>454</v>
      </c>
      <c r="B13" s="1316">
        <v>2000</v>
      </c>
      <c r="C13" s="1607">
        <f>'Expenditures 15-22'!K74</f>
        <v>1076491</v>
      </c>
      <c r="D13" s="1607">
        <f>'Expenditures 15-22'!K129</f>
        <v>367802</v>
      </c>
      <c r="E13" s="1576" t="s">
        <v>1159</v>
      </c>
      <c r="F13" s="1607">
        <f>'Expenditures 15-22'!K184</f>
        <v>581689</v>
      </c>
      <c r="G13" s="1607">
        <f>'Expenditures 15-22'!K279</f>
        <v>125054</v>
      </c>
      <c r="H13" s="1607">
        <f>'Expenditures 15-22'!K303</f>
        <v>590709</v>
      </c>
      <c r="I13" s="1575" t="s">
        <v>1159</v>
      </c>
      <c r="J13" s="1607">
        <f>'Expenditures 15-22'!K330</f>
        <v>176255</v>
      </c>
      <c r="K13" s="1618">
        <f>'Expenditures 15-22'!K352</f>
        <v>13493</v>
      </c>
      <c r="L13" s="325"/>
    </row>
    <row r="14" spans="1:13" ht="15.75" customHeight="1" x14ac:dyDescent="0.2">
      <c r="A14" s="1314" t="s">
        <v>446</v>
      </c>
      <c r="B14" s="1316">
        <v>3000</v>
      </c>
      <c r="C14" s="1607">
        <f>'Expenditures 15-22'!K75</f>
        <v>5370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439963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813388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5829968</v>
      </c>
      <c r="D17" s="1594">
        <f t="shared" si="2"/>
        <v>367802</v>
      </c>
      <c r="E17" s="1594">
        <f t="shared" si="2"/>
        <v>813388</v>
      </c>
      <c r="F17" s="1594">
        <f t="shared" si="2"/>
        <v>581689</v>
      </c>
      <c r="G17" s="1594">
        <f t="shared" si="2"/>
        <v>226874</v>
      </c>
      <c r="H17" s="1594">
        <f t="shared" si="2"/>
        <v>590709</v>
      </c>
      <c r="I17" s="1575"/>
      <c r="J17" s="1594">
        <f>SUM(J12:J16)</f>
        <v>176255</v>
      </c>
      <c r="K17" s="1594">
        <f>SUM(K12:K16)</f>
        <v>13493</v>
      </c>
      <c r="L17" s="325"/>
    </row>
    <row r="18" spans="1:12" ht="15" customHeight="1" thickTop="1" x14ac:dyDescent="0.2">
      <c r="A18" s="1430" t="s">
        <v>1635</v>
      </c>
      <c r="B18" s="1431">
        <v>4180</v>
      </c>
      <c r="C18" s="1606">
        <f t="shared" ref="C18:H18" si="3">C9</f>
        <v>2673499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8503467</v>
      </c>
      <c r="D19" s="1594">
        <f t="shared" si="4"/>
        <v>367802</v>
      </c>
      <c r="E19" s="1594">
        <f t="shared" si="4"/>
        <v>813388</v>
      </c>
      <c r="F19" s="1594">
        <f t="shared" si="4"/>
        <v>581689</v>
      </c>
      <c r="G19" s="1594">
        <f t="shared" si="4"/>
        <v>226874</v>
      </c>
      <c r="H19" s="1594">
        <f t="shared" si="4"/>
        <v>590709</v>
      </c>
      <c r="I19" s="1575"/>
      <c r="J19" s="1594">
        <f>SUM(J17:J18)</f>
        <v>176255</v>
      </c>
      <c r="K19" s="1594">
        <f>SUM(K17:K18)</f>
        <v>13493</v>
      </c>
      <c r="L19" s="325"/>
    </row>
    <row r="20" spans="1:12" ht="16.5" thickTop="1" thickBot="1" x14ac:dyDescent="0.25">
      <c r="A20" s="2254" t="s">
        <v>1636</v>
      </c>
      <c r="B20" s="2255"/>
      <c r="C20" s="1622">
        <f>C8-C17</f>
        <v>-542961</v>
      </c>
      <c r="D20" s="1622">
        <f t="shared" ref="D20:K20" si="5">D8-D17</f>
        <v>78745</v>
      </c>
      <c r="E20" s="1622">
        <f t="shared" si="5"/>
        <v>16595</v>
      </c>
      <c r="F20" s="1622">
        <f t="shared" si="5"/>
        <v>-214121</v>
      </c>
      <c r="G20" s="1622">
        <f t="shared" si="5"/>
        <v>3421</v>
      </c>
      <c r="H20" s="1622">
        <f t="shared" si="5"/>
        <v>-279675</v>
      </c>
      <c r="I20" s="1622">
        <f t="shared" si="5"/>
        <v>100673</v>
      </c>
      <c r="J20" s="1622">
        <f t="shared" si="5"/>
        <v>18658</v>
      </c>
      <c r="K20" s="1622">
        <f t="shared" si="5"/>
        <v>75905</v>
      </c>
      <c r="L20" s="325"/>
    </row>
    <row r="21" spans="1:12" ht="16.7" customHeight="1" thickTop="1" x14ac:dyDescent="0.2">
      <c r="A21" s="2266" t="s">
        <v>591</v>
      </c>
      <c r="B21" s="2267"/>
      <c r="C21" s="1602"/>
      <c r="D21" s="1603"/>
      <c r="E21" s="1603"/>
      <c r="F21" s="1603"/>
      <c r="G21" s="1603"/>
      <c r="H21" s="1603"/>
      <c r="I21" s="1603"/>
      <c r="J21" s="1603"/>
      <c r="K21" s="1615"/>
      <c r="L21" s="453"/>
    </row>
    <row r="22" spans="1:12" ht="15.75" customHeight="1" collapsed="1" x14ac:dyDescent="0.2">
      <c r="A22" s="2262" t="s">
        <v>592</v>
      </c>
      <c r="B22" s="2263"/>
      <c r="C22" s="1582"/>
      <c r="D22" s="1582"/>
      <c r="E22" s="1582"/>
      <c r="F22" s="1582"/>
      <c r="G22" s="1582"/>
      <c r="H22" s="1582"/>
      <c r="I22" s="1582"/>
      <c r="J22" s="1582"/>
      <c r="K22" s="1582"/>
      <c r="L22" s="325"/>
    </row>
    <row r="23" spans="1:12" s="433" customFormat="1" ht="15.75" customHeight="1" x14ac:dyDescent="0.2">
      <c r="A23" s="2258" t="s">
        <v>290</v>
      </c>
      <c r="B23" s="225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274657</v>
      </c>
      <c r="D25" s="1574">
        <v>0</v>
      </c>
      <c r="E25" s="1574">
        <v>0</v>
      </c>
      <c r="F25" s="1574">
        <v>83000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45950</v>
      </c>
      <c r="D27" s="1574">
        <v>0</v>
      </c>
      <c r="E27" s="1623"/>
      <c r="F27" s="1574">
        <v>85000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0" t="s">
        <v>974</v>
      </c>
      <c r="B32" s="226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600000</v>
      </c>
      <c r="I43" s="1574">
        <v>0</v>
      </c>
      <c r="J43" s="1574">
        <v>0</v>
      </c>
      <c r="K43" s="1574">
        <v>0</v>
      </c>
      <c r="L43" s="453"/>
    </row>
    <row r="44" spans="1:12" s="433" customFormat="1" ht="13.5" customHeight="1" thickBot="1" x14ac:dyDescent="0.25">
      <c r="A44" s="2268" t="s">
        <v>371</v>
      </c>
      <c r="B44" s="2269"/>
      <c r="C44" s="1624">
        <f>SUM(C24:C43)</f>
        <v>320607</v>
      </c>
      <c r="D44" s="1624">
        <f t="shared" ref="D44:K44" si="6">SUM(D24:D43)</f>
        <v>0</v>
      </c>
      <c r="E44" s="1624">
        <f t="shared" si="6"/>
        <v>0</v>
      </c>
      <c r="F44" s="1624">
        <f t="shared" si="6"/>
        <v>168000</v>
      </c>
      <c r="G44" s="1624">
        <f t="shared" si="6"/>
        <v>0</v>
      </c>
      <c r="H44" s="1624">
        <f t="shared" si="6"/>
        <v>600000</v>
      </c>
      <c r="I44" s="1624">
        <f t="shared" si="6"/>
        <v>0</v>
      </c>
      <c r="J44" s="1624">
        <f t="shared" si="6"/>
        <v>0</v>
      </c>
      <c r="K44" s="1624">
        <f t="shared" si="6"/>
        <v>0</v>
      </c>
      <c r="L44" s="453"/>
    </row>
    <row r="45" spans="1:12" ht="15.75" customHeight="1" thickTop="1" x14ac:dyDescent="0.2">
      <c r="A45" s="2262" t="s">
        <v>108</v>
      </c>
      <c r="B45" s="2263"/>
      <c r="C45" s="1625"/>
      <c r="D45" s="1625"/>
      <c r="E45" s="1625"/>
      <c r="F45" s="1625"/>
      <c r="G45" s="1625"/>
      <c r="H45" s="1625"/>
      <c r="I45" s="1625"/>
      <c r="J45" s="1625"/>
      <c r="K45" s="1625"/>
      <c r="L45" s="325"/>
    </row>
    <row r="46" spans="1:12" s="433" customFormat="1" ht="15.75" customHeight="1" x14ac:dyDescent="0.2">
      <c r="A46" s="2270" t="s">
        <v>109</v>
      </c>
      <c r="B46" s="227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357657</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130950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4" t="s">
        <v>437</v>
      </c>
      <c r="B76" s="2245"/>
      <c r="C76" s="1624">
        <f t="shared" ref="C76:K76" si="7">SUM(C47:C75)</f>
        <v>0</v>
      </c>
      <c r="D76" s="1624">
        <f t="shared" si="7"/>
        <v>130950</v>
      </c>
      <c r="E76" s="1624">
        <f t="shared" si="7"/>
        <v>0</v>
      </c>
      <c r="F76" s="1624">
        <f t="shared" si="7"/>
        <v>0</v>
      </c>
      <c r="G76" s="1624">
        <f t="shared" si="7"/>
        <v>0</v>
      </c>
      <c r="H76" s="1624">
        <f t="shared" si="7"/>
        <v>0</v>
      </c>
      <c r="I76" s="1624">
        <f t="shared" si="7"/>
        <v>357657</v>
      </c>
      <c r="J76" s="1624">
        <f t="shared" si="7"/>
        <v>0</v>
      </c>
      <c r="K76" s="1624">
        <f t="shared" si="7"/>
        <v>0</v>
      </c>
      <c r="L76" s="453"/>
    </row>
    <row r="77" spans="1:12" ht="14.25" thickTop="1" thickBot="1" x14ac:dyDescent="0.25">
      <c r="A77" s="2246" t="s">
        <v>1167</v>
      </c>
      <c r="B77" s="2247"/>
      <c r="C77" s="1624">
        <f t="shared" ref="C77:K77" si="8">C44-C76</f>
        <v>320607</v>
      </c>
      <c r="D77" s="1624">
        <f t="shared" si="8"/>
        <v>-130950</v>
      </c>
      <c r="E77" s="1624">
        <f t="shared" si="8"/>
        <v>0</v>
      </c>
      <c r="F77" s="1624">
        <f t="shared" si="8"/>
        <v>168000</v>
      </c>
      <c r="G77" s="1624">
        <f t="shared" si="8"/>
        <v>0</v>
      </c>
      <c r="H77" s="1624">
        <f t="shared" si="8"/>
        <v>600000</v>
      </c>
      <c r="I77" s="1624">
        <f t="shared" si="8"/>
        <v>-357657</v>
      </c>
      <c r="J77" s="1624">
        <f t="shared" si="8"/>
        <v>0</v>
      </c>
      <c r="K77" s="1624">
        <f t="shared" si="8"/>
        <v>0</v>
      </c>
      <c r="L77" s="325"/>
    </row>
    <row r="78" spans="1:12" ht="21.75" customHeight="1" thickTop="1" thickBot="1" x14ac:dyDescent="0.25">
      <c r="A78" s="2250" t="s">
        <v>593</v>
      </c>
      <c r="B78" s="2251"/>
      <c r="C78" s="1629">
        <f t="shared" ref="C78:K78" si="9">C20+C77</f>
        <v>-222354</v>
      </c>
      <c r="D78" s="1629">
        <f t="shared" si="9"/>
        <v>-52205</v>
      </c>
      <c r="E78" s="1629">
        <f t="shared" si="9"/>
        <v>16595</v>
      </c>
      <c r="F78" s="1629">
        <f t="shared" si="9"/>
        <v>-46121</v>
      </c>
      <c r="G78" s="1629">
        <f t="shared" si="9"/>
        <v>3421</v>
      </c>
      <c r="H78" s="1629">
        <f t="shared" si="9"/>
        <v>320325</v>
      </c>
      <c r="I78" s="1629">
        <f t="shared" si="9"/>
        <v>-256984</v>
      </c>
      <c r="J78" s="1629">
        <f t="shared" si="9"/>
        <v>18658</v>
      </c>
      <c r="K78" s="1629">
        <f t="shared" si="9"/>
        <v>75905</v>
      </c>
      <c r="L78" s="457"/>
    </row>
    <row r="79" spans="1:12" ht="13.5" thickTop="1" x14ac:dyDescent="0.2">
      <c r="A79" s="1844" t="str">
        <f>"Fund Balances - July 1, "&amp;'AFR20'!E2-1</f>
        <v>Fund Balances - July 1, 2019</v>
      </c>
      <c r="B79" s="458"/>
      <c r="C79" s="1583">
        <v>761277</v>
      </c>
      <c r="D79" s="1583">
        <v>321158</v>
      </c>
      <c r="E79" s="1630">
        <v>20975</v>
      </c>
      <c r="F79" s="1630">
        <v>110226</v>
      </c>
      <c r="G79" s="1630">
        <v>265421</v>
      </c>
      <c r="H79" s="1630">
        <v>166607</v>
      </c>
      <c r="I79" s="1630">
        <v>2266701</v>
      </c>
      <c r="J79" s="1630">
        <v>195125</v>
      </c>
      <c r="K79" s="1630">
        <v>246187</v>
      </c>
      <c r="L79" s="325"/>
    </row>
    <row r="80" spans="1:12" x14ac:dyDescent="0.2">
      <c r="A80" s="2256" t="s">
        <v>1772</v>
      </c>
      <c r="B80" s="2257"/>
      <c r="C80" s="1574">
        <v>0</v>
      </c>
      <c r="D80" s="1574">
        <v>0</v>
      </c>
      <c r="E80" s="1574">
        <v>0</v>
      </c>
      <c r="F80" s="1574">
        <v>0</v>
      </c>
      <c r="G80" s="1574">
        <v>0</v>
      </c>
      <c r="H80" s="1574">
        <v>0</v>
      </c>
      <c r="I80" s="1574">
        <v>0</v>
      </c>
      <c r="J80" s="1574">
        <v>0</v>
      </c>
      <c r="K80" s="1574">
        <v>0</v>
      </c>
      <c r="L80" s="325"/>
    </row>
    <row r="81" spans="1:12" ht="13.5" thickBot="1" x14ac:dyDescent="0.25">
      <c r="A81" s="2248" t="str">
        <f>"Fund Balances - June 30, "&amp;'AFR20'!E2</f>
        <v>Fund Balances - June 30, 2020</v>
      </c>
      <c r="B81" s="2249"/>
      <c r="C81" s="1594">
        <f>(SUM(C78:C80))</f>
        <v>538923</v>
      </c>
      <c r="D81" s="1594">
        <f>SUM(D78:D80)</f>
        <v>268953</v>
      </c>
      <c r="E81" s="1594">
        <f t="shared" ref="E81:K81" si="10">SUM(E78:E80)</f>
        <v>37570</v>
      </c>
      <c r="F81" s="1594">
        <f t="shared" si="10"/>
        <v>64105</v>
      </c>
      <c r="G81" s="1594">
        <f t="shared" si="10"/>
        <v>268842</v>
      </c>
      <c r="H81" s="1594">
        <f t="shared" si="10"/>
        <v>486932</v>
      </c>
      <c r="I81" s="1594">
        <f t="shared" si="10"/>
        <v>2009717</v>
      </c>
      <c r="J81" s="1594">
        <f t="shared" si="10"/>
        <v>213783</v>
      </c>
      <c r="K81" s="1594">
        <f t="shared" si="10"/>
        <v>322092</v>
      </c>
      <c r="L81" s="325"/>
    </row>
    <row r="82" spans="1:12" ht="0.75" customHeight="1" thickTop="1" thickBot="1" x14ac:dyDescent="0.25">
      <c r="A82" s="459" t="s">
        <v>340</v>
      </c>
      <c r="B82" s="460"/>
      <c r="C82" s="461">
        <f>(C81-C79)</f>
        <v>-222354</v>
      </c>
      <c r="D82" s="461">
        <f t="shared" ref="D82:K82" si="11">(D81-D79)</f>
        <v>-52205</v>
      </c>
      <c r="E82" s="461">
        <f t="shared" si="11"/>
        <v>16595</v>
      </c>
      <c r="F82" s="461">
        <f t="shared" si="11"/>
        <v>-46121</v>
      </c>
      <c r="G82" s="461">
        <f t="shared" si="11"/>
        <v>3421</v>
      </c>
      <c r="H82" s="461">
        <f t="shared" si="11"/>
        <v>320325</v>
      </c>
      <c r="I82" s="461">
        <f t="shared" si="11"/>
        <v>-256984</v>
      </c>
      <c r="J82" s="461">
        <f t="shared" si="11"/>
        <v>18658</v>
      </c>
      <c r="K82" s="461">
        <f t="shared" si="11"/>
        <v>75905</v>
      </c>
    </row>
    <row r="83" spans="1:12" ht="14.25" hidden="1" thickTop="1" thickBot="1" x14ac:dyDescent="0.25">
      <c r="A83" s="462" t="s">
        <v>341</v>
      </c>
      <c r="B83" s="428"/>
      <c r="C83" s="463">
        <f>C82/C81</f>
        <v>-0.41258955360969934</v>
      </c>
      <c r="D83" s="463">
        <f t="shared" ref="D83:K83" si="12">D82/D81</f>
        <v>-0.19410454614746814</v>
      </c>
      <c r="E83" s="463">
        <f t="shared" si="12"/>
        <v>0.44170881022092096</v>
      </c>
      <c r="F83" s="463">
        <f t="shared" si="12"/>
        <v>-0.71946026051010059</v>
      </c>
      <c r="G83" s="463">
        <f t="shared" si="12"/>
        <v>1.2724946250957811E-2</v>
      </c>
      <c r="H83" s="463">
        <f t="shared" si="12"/>
        <v>0.657843394970961</v>
      </c>
      <c r="I83" s="463">
        <f t="shared" si="12"/>
        <v>-0.12787074000966306</v>
      </c>
      <c r="J83" s="463">
        <f t="shared" si="12"/>
        <v>8.7275414789763459E-2</v>
      </c>
      <c r="K83" s="463">
        <f t="shared" si="12"/>
        <v>0.23566248152701713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1" activeCellId="1" sqref="F31 A41:F41"/>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2" t="s">
        <v>1779</v>
      </c>
      <c r="B1" s="416"/>
      <c r="C1" s="417" t="s">
        <v>422</v>
      </c>
      <c r="D1" s="417" t="s">
        <v>423</v>
      </c>
      <c r="E1" s="417" t="s">
        <v>424</v>
      </c>
      <c r="F1" s="417" t="s">
        <v>425</v>
      </c>
      <c r="G1" s="417" t="s">
        <v>426</v>
      </c>
      <c r="H1" s="417" t="s">
        <v>427</v>
      </c>
      <c r="I1" s="417" t="s">
        <v>428</v>
      </c>
      <c r="J1" s="417" t="s">
        <v>429</v>
      </c>
      <c r="K1" s="417" t="s">
        <v>751</v>
      </c>
    </row>
    <row r="2" spans="1:12" ht="36" x14ac:dyDescent="0.2">
      <c r="A2" s="225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2709137</v>
      </c>
      <c r="D5" s="1586">
        <v>445582</v>
      </c>
      <c r="E5" s="1573">
        <v>828784</v>
      </c>
      <c r="F5" s="1631">
        <v>213879</v>
      </c>
      <c r="G5" s="1573">
        <v>104795</v>
      </c>
      <c r="H5" s="1573">
        <v>0</v>
      </c>
      <c r="I5" s="1573">
        <v>89116</v>
      </c>
      <c r="J5" s="1574">
        <v>194423</v>
      </c>
      <c r="K5" s="1573">
        <v>89116</v>
      </c>
    </row>
    <row r="6" spans="1:12" ht="15" x14ac:dyDescent="0.2">
      <c r="A6" s="427" t="s">
        <v>1643</v>
      </c>
      <c r="B6" s="429">
        <v>1130</v>
      </c>
      <c r="C6" s="1573">
        <v>29944</v>
      </c>
      <c r="D6" s="1573">
        <v>0</v>
      </c>
      <c r="E6" s="1580"/>
      <c r="F6" s="1580"/>
      <c r="G6" s="1575"/>
      <c r="H6" s="1575"/>
      <c r="I6" s="1575"/>
      <c r="J6" s="1575"/>
      <c r="K6" s="1575"/>
    </row>
    <row r="7" spans="1:12" x14ac:dyDescent="0.2">
      <c r="A7" s="427" t="s">
        <v>110</v>
      </c>
      <c r="B7" s="471">
        <v>1140</v>
      </c>
      <c r="C7" s="1573">
        <v>35646</v>
      </c>
      <c r="D7" s="1573">
        <v>0</v>
      </c>
      <c r="E7" s="1575"/>
      <c r="F7" s="1574">
        <v>0</v>
      </c>
      <c r="G7" s="1574">
        <v>0</v>
      </c>
      <c r="H7" s="1574">
        <v>0</v>
      </c>
      <c r="I7" s="1575"/>
      <c r="J7" s="1575"/>
      <c r="K7" s="1575"/>
    </row>
    <row r="8" spans="1:12" x14ac:dyDescent="0.2">
      <c r="A8" s="427" t="s">
        <v>410</v>
      </c>
      <c r="B8" s="429">
        <v>1150</v>
      </c>
      <c r="C8" s="1580"/>
      <c r="D8" s="1580"/>
      <c r="E8" s="1582"/>
      <c r="F8" s="1582"/>
      <c r="G8" s="1586">
        <v>114780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2774727</v>
      </c>
      <c r="D12" s="1633">
        <f t="shared" si="0"/>
        <v>445582</v>
      </c>
      <c r="E12" s="1633">
        <f t="shared" si="0"/>
        <v>828784</v>
      </c>
      <c r="F12" s="1633">
        <f t="shared" si="0"/>
        <v>213879</v>
      </c>
      <c r="G12" s="1633">
        <f t="shared" si="0"/>
        <v>219575</v>
      </c>
      <c r="H12" s="1633">
        <f t="shared" si="0"/>
        <v>0</v>
      </c>
      <c r="I12" s="1633">
        <f t="shared" si="0"/>
        <v>89116</v>
      </c>
      <c r="J12" s="1633">
        <f t="shared" si="0"/>
        <v>194423</v>
      </c>
      <c r="K12" s="1594">
        <f t="shared" si="0"/>
        <v>89116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1206</v>
      </c>
      <c r="D14" s="1573">
        <v>194</v>
      </c>
      <c r="E14" s="1573">
        <v>360</v>
      </c>
      <c r="F14" s="1573">
        <v>93</v>
      </c>
      <c r="G14" s="1573">
        <v>95</v>
      </c>
      <c r="H14" s="1573">
        <v>0</v>
      </c>
      <c r="I14" s="1573">
        <v>39</v>
      </c>
      <c r="J14" s="1574">
        <v>85</v>
      </c>
      <c r="K14" s="1573">
        <v>39</v>
      </c>
    </row>
    <row r="15" spans="1:12" ht="12.75" customHeight="1" x14ac:dyDescent="0.2">
      <c r="A15" s="427" t="s">
        <v>95</v>
      </c>
      <c r="B15" s="429">
        <v>1220</v>
      </c>
      <c r="C15" s="1632">
        <v>611</v>
      </c>
      <c r="D15" s="1573">
        <v>98</v>
      </c>
      <c r="E15" s="1573">
        <v>183</v>
      </c>
      <c r="F15" s="1573">
        <v>47</v>
      </c>
      <c r="G15" s="1573">
        <v>48</v>
      </c>
      <c r="H15" s="1573">
        <v>0</v>
      </c>
      <c r="I15" s="1573">
        <v>20</v>
      </c>
      <c r="J15" s="1574">
        <v>43</v>
      </c>
      <c r="K15" s="1573">
        <v>20</v>
      </c>
    </row>
    <row r="16" spans="1:12" ht="15" customHeight="1" x14ac:dyDescent="0.2">
      <c r="A16" s="427" t="s">
        <v>1644</v>
      </c>
      <c r="B16" s="471">
        <v>1230</v>
      </c>
      <c r="C16" s="1632">
        <v>50061</v>
      </c>
      <c r="D16" s="1573">
        <v>0</v>
      </c>
      <c r="E16" s="1573">
        <v>0</v>
      </c>
      <c r="F16" s="1573">
        <v>0</v>
      </c>
      <c r="G16" s="1573">
        <v>9880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51878</v>
      </c>
      <c r="D18" s="1635">
        <f t="shared" ref="D18:K18" si="1">SUM(D14:D17)</f>
        <v>292</v>
      </c>
      <c r="E18" s="1635">
        <f t="shared" si="1"/>
        <v>543</v>
      </c>
      <c r="F18" s="1635">
        <f t="shared" si="1"/>
        <v>140</v>
      </c>
      <c r="G18" s="1635">
        <f t="shared" si="1"/>
        <v>10023</v>
      </c>
      <c r="H18" s="1635">
        <f t="shared" si="1"/>
        <v>0</v>
      </c>
      <c r="I18" s="1635">
        <f t="shared" si="1"/>
        <v>59</v>
      </c>
      <c r="J18" s="1635">
        <f t="shared" si="1"/>
        <v>128</v>
      </c>
      <c r="K18" s="1636">
        <f t="shared" si="1"/>
        <v>59</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10422</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10422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4551</v>
      </c>
      <c r="D65" s="1573">
        <v>673</v>
      </c>
      <c r="E65" s="1573">
        <v>656</v>
      </c>
      <c r="F65" s="1574">
        <v>361</v>
      </c>
      <c r="G65" s="1573">
        <v>697</v>
      </c>
      <c r="H65" s="1573">
        <v>0</v>
      </c>
      <c r="I65" s="1573">
        <v>11498</v>
      </c>
      <c r="J65" s="1574">
        <v>212</v>
      </c>
      <c r="K65" s="1573">
        <v>223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4551</v>
      </c>
      <c r="D67" s="1594">
        <f t="shared" ref="D67:K67" si="2">SUM(D65:D66)</f>
        <v>673</v>
      </c>
      <c r="E67" s="1594">
        <f t="shared" si="2"/>
        <v>656</v>
      </c>
      <c r="F67" s="1594">
        <f t="shared" si="2"/>
        <v>361</v>
      </c>
      <c r="G67" s="1594">
        <f t="shared" si="2"/>
        <v>697</v>
      </c>
      <c r="H67" s="1594">
        <f t="shared" si="2"/>
        <v>0</v>
      </c>
      <c r="I67" s="1594">
        <f t="shared" si="2"/>
        <v>11498</v>
      </c>
      <c r="J67" s="1594">
        <f t="shared" si="2"/>
        <v>212</v>
      </c>
      <c r="K67" s="1594">
        <f t="shared" si="2"/>
        <v>223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86155</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175</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86330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8456</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74473</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5908</v>
      </c>
      <c r="D81" s="1573">
        <v>0</v>
      </c>
      <c r="E81" s="1575"/>
      <c r="F81" s="1575"/>
      <c r="G81" s="1575"/>
      <c r="H81" s="1575"/>
      <c r="I81" s="1575"/>
      <c r="J81" s="1575"/>
      <c r="K81" s="1575"/>
    </row>
    <row r="82" spans="1:11" ht="12.75" customHeight="1" thickBot="1" x14ac:dyDescent="0.25">
      <c r="A82" s="1406" t="s">
        <v>239</v>
      </c>
      <c r="B82" s="1407"/>
      <c r="C82" s="1633">
        <f>SUM(C77:C81)</f>
        <v>88837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62394</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2406</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64800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1760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8742</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261034</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24639</v>
      </c>
      <c r="D106" s="1598">
        <v>0</v>
      </c>
      <c r="E106" s="1574">
        <v>0</v>
      </c>
      <c r="F106" s="1574">
        <v>0</v>
      </c>
      <c r="G106" s="1574">
        <v>0</v>
      </c>
      <c r="H106" s="1574">
        <v>0</v>
      </c>
      <c r="I106" s="1617"/>
      <c r="J106" s="1574">
        <v>0</v>
      </c>
      <c r="K106" s="1574">
        <v>0</v>
      </c>
    </row>
    <row r="107" spans="1:12" ht="12.75" customHeight="1" x14ac:dyDescent="0.2">
      <c r="A107" s="427" t="s">
        <v>78</v>
      </c>
      <c r="B107" s="429">
        <v>1999</v>
      </c>
      <c r="C107" s="1632">
        <v>3513</v>
      </c>
      <c r="D107" s="1573">
        <v>0</v>
      </c>
      <c r="E107" s="1573">
        <v>0</v>
      </c>
      <c r="F107" s="1573">
        <v>0</v>
      </c>
      <c r="G107" s="1573">
        <v>0</v>
      </c>
      <c r="H107" s="1573">
        <v>0</v>
      </c>
      <c r="I107" s="1573">
        <v>0</v>
      </c>
      <c r="J107" s="1574">
        <v>150</v>
      </c>
      <c r="K107" s="1573">
        <v>0</v>
      </c>
    </row>
    <row r="108" spans="1:12" ht="12.75" customHeight="1" thickBot="1" x14ac:dyDescent="0.25">
      <c r="A108" s="1406" t="s">
        <v>484</v>
      </c>
      <c r="B108" s="1408"/>
      <c r="C108" s="1633">
        <f>SUM(C95:C107)</f>
        <v>38654</v>
      </c>
      <c r="D108" s="1633">
        <f t="shared" ref="D108:K108" si="3">SUM(D95:D107)</f>
        <v>0</v>
      </c>
      <c r="E108" s="1633">
        <f t="shared" si="3"/>
        <v>0</v>
      </c>
      <c r="F108" s="1633">
        <f t="shared" si="3"/>
        <v>0</v>
      </c>
      <c r="G108" s="1633">
        <f t="shared" si="3"/>
        <v>0</v>
      </c>
      <c r="H108" s="1633">
        <f t="shared" si="3"/>
        <v>261034</v>
      </c>
      <c r="I108" s="1633">
        <f t="shared" si="3"/>
        <v>0</v>
      </c>
      <c r="J108" s="1633">
        <f t="shared" si="3"/>
        <v>150</v>
      </c>
      <c r="K108" s="1594">
        <f t="shared" si="3"/>
        <v>0</v>
      </c>
    </row>
    <row r="109" spans="1:12" ht="14.25" thickTop="1" thickBot="1" x14ac:dyDescent="0.25">
      <c r="A109" s="1409" t="s">
        <v>246</v>
      </c>
      <c r="B109" s="1410" t="s">
        <v>566</v>
      </c>
      <c r="C109" s="1641">
        <f t="shared" ref="C109:K109" si="4">SUM(C12,C18,C40,C63,C67,C75,C82,C93,C108,)</f>
        <v>3109777</v>
      </c>
      <c r="D109" s="1641">
        <f t="shared" si="4"/>
        <v>446547</v>
      </c>
      <c r="E109" s="1641">
        <f t="shared" si="4"/>
        <v>829983</v>
      </c>
      <c r="F109" s="1641">
        <f t="shared" si="4"/>
        <v>224802</v>
      </c>
      <c r="G109" s="1641">
        <f t="shared" si="4"/>
        <v>230295</v>
      </c>
      <c r="H109" s="1641">
        <f t="shared" si="4"/>
        <v>261034</v>
      </c>
      <c r="I109" s="1641">
        <f t="shared" si="4"/>
        <v>100673</v>
      </c>
      <c r="J109" s="1641">
        <f t="shared" si="4"/>
        <v>194913</v>
      </c>
      <c r="K109" s="1629">
        <f t="shared" si="4"/>
        <v>89398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1789987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1789987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38525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7292</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45817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602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79420</v>
      </c>
      <c r="G152" s="1574">
        <v>0</v>
      </c>
      <c r="H152" s="1575"/>
      <c r="I152" s="1575"/>
      <c r="J152" s="1575"/>
      <c r="K152" s="1575"/>
    </row>
    <row r="153" spans="1:11" ht="12.75" customHeight="1" x14ac:dyDescent="0.2">
      <c r="A153" s="427" t="s">
        <v>1048</v>
      </c>
      <c r="B153" s="478">
        <v>3510</v>
      </c>
      <c r="C153" s="1632">
        <v>0</v>
      </c>
      <c r="D153" s="1573">
        <v>0</v>
      </c>
      <c r="E153" s="1640"/>
      <c r="F153" s="1573">
        <v>63346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142766</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2" t="s">
        <v>395</v>
      </c>
      <c r="B169" s="2273"/>
      <c r="C169" s="1658">
        <f t="shared" ref="C169:K169" si="6">SUM(C132,C141,C145,C146:C150,C155,C156:C167,C168)</f>
        <v>46419</v>
      </c>
      <c r="D169" s="1658">
        <f t="shared" si="6"/>
        <v>0</v>
      </c>
      <c r="E169" s="1658">
        <f t="shared" si="6"/>
        <v>0</v>
      </c>
      <c r="F169" s="1658">
        <f t="shared" si="6"/>
        <v>142766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1836406</v>
      </c>
      <c r="D170" s="1641">
        <f t="shared" si="7"/>
        <v>0</v>
      </c>
      <c r="E170" s="1641">
        <f t="shared" si="7"/>
        <v>0</v>
      </c>
      <c r="F170" s="1641">
        <f t="shared" si="7"/>
        <v>142766</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4" t="s">
        <v>1475</v>
      </c>
      <c r="B172" s="227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8" t="s">
        <v>1646</v>
      </c>
      <c r="B175" s="227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2" t="s">
        <v>1645</v>
      </c>
      <c r="B176" s="228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80" t="s">
        <v>780</v>
      </c>
      <c r="B181" s="228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6" t="s">
        <v>1780</v>
      </c>
      <c r="B182" s="227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46294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3401</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49695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68114</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68114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3749</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3749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14149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184338</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198487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15226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3760</v>
      </c>
      <c r="D263" s="1651">
        <v>0</v>
      </c>
      <c r="E263" s="1575"/>
      <c r="F263" s="1651">
        <v>0</v>
      </c>
      <c r="G263" s="1651">
        <v>0</v>
      </c>
      <c r="H263" s="1575"/>
      <c r="I263" s="1575"/>
      <c r="J263" s="1575"/>
      <c r="K263" s="1575"/>
    </row>
    <row r="264" spans="1:11" ht="12.75" customHeight="1" thickTop="1" thickBot="1" x14ac:dyDescent="0.25">
      <c r="A264" s="427" t="s">
        <v>374</v>
      </c>
      <c r="B264" s="429">
        <v>4992</v>
      </c>
      <c r="C264" s="1650">
        <v>1793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340824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340824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5287007</v>
      </c>
      <c r="D268" s="1641">
        <f t="shared" si="12"/>
        <v>446547</v>
      </c>
      <c r="E268" s="1641">
        <f t="shared" si="12"/>
        <v>829983</v>
      </c>
      <c r="F268" s="1641">
        <f t="shared" si="12"/>
        <v>367568</v>
      </c>
      <c r="G268" s="1641">
        <f t="shared" si="12"/>
        <v>230295</v>
      </c>
      <c r="H268" s="1641">
        <f t="shared" si="12"/>
        <v>311034</v>
      </c>
      <c r="I268" s="1641">
        <f t="shared" si="12"/>
        <v>100673</v>
      </c>
      <c r="J268" s="1641">
        <f t="shared" si="12"/>
        <v>194913</v>
      </c>
      <c r="K268" s="1629">
        <f t="shared" si="12"/>
        <v>89398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1" activeCellId="1" sqref="F31 A41:F4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2" t="s">
        <v>294</v>
      </c>
      <c r="B3" s="229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2620543</v>
      </c>
      <c r="D5" s="1573">
        <v>577886</v>
      </c>
      <c r="E5" s="1573">
        <v>48270</v>
      </c>
      <c r="F5" s="1573">
        <v>216819</v>
      </c>
      <c r="G5" s="1573">
        <v>3688</v>
      </c>
      <c r="H5" s="1573">
        <v>0</v>
      </c>
      <c r="I5" s="1574">
        <v>0</v>
      </c>
      <c r="J5" s="1574">
        <v>0</v>
      </c>
      <c r="K5" s="1672">
        <f>SUM(C5:J5)</f>
        <v>3467206</v>
      </c>
      <c r="L5" s="1573">
        <v>3513200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490558</v>
      </c>
      <c r="D8" s="1573">
        <v>83838</v>
      </c>
      <c r="E8" s="1573">
        <v>1902</v>
      </c>
      <c r="F8" s="1573">
        <v>832</v>
      </c>
      <c r="G8" s="1573">
        <v>0</v>
      </c>
      <c r="H8" s="1573">
        <v>0</v>
      </c>
      <c r="I8" s="1574">
        <v>0</v>
      </c>
      <c r="J8" s="1574">
        <v>0</v>
      </c>
      <c r="K8" s="1672">
        <f t="shared" si="0"/>
        <v>577130</v>
      </c>
      <c r="L8" s="1573">
        <v>529129</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73081</v>
      </c>
      <c r="D10" s="1573">
        <v>20922</v>
      </c>
      <c r="E10" s="1573">
        <v>0</v>
      </c>
      <c r="F10" s="1573">
        <v>5442</v>
      </c>
      <c r="G10" s="1573">
        <v>0</v>
      </c>
      <c r="H10" s="1573">
        <v>0</v>
      </c>
      <c r="I10" s="1574">
        <v>0</v>
      </c>
      <c r="J10" s="1574">
        <v>0</v>
      </c>
      <c r="K10" s="1672">
        <f t="shared" si="0"/>
        <v>99445</v>
      </c>
      <c r="L10" s="1573">
        <v>101786</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54304</v>
      </c>
      <c r="D14" s="1573">
        <v>8460</v>
      </c>
      <c r="E14" s="1573">
        <v>17722</v>
      </c>
      <c r="F14" s="1573">
        <v>11009</v>
      </c>
      <c r="G14" s="1573">
        <v>0</v>
      </c>
      <c r="H14" s="1573">
        <v>1970</v>
      </c>
      <c r="I14" s="1574">
        <v>0</v>
      </c>
      <c r="J14" s="1574">
        <v>0</v>
      </c>
      <c r="K14" s="1672">
        <f t="shared" si="0"/>
        <v>93465</v>
      </c>
      <c r="L14" s="1573">
        <v>102624</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70898</v>
      </c>
      <c r="I22" s="1673"/>
      <c r="J22" s="1582"/>
      <c r="K22" s="1672">
        <f t="shared" si="0"/>
        <v>70898</v>
      </c>
      <c r="L22" s="1577">
        <v>80800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3238486</v>
      </c>
      <c r="D33" s="1674">
        <f t="shared" ref="D33:L33" si="1">SUM(D5:D32)</f>
        <v>691106</v>
      </c>
      <c r="E33" s="1674">
        <f t="shared" si="1"/>
        <v>67894</v>
      </c>
      <c r="F33" s="1674">
        <f t="shared" si="1"/>
        <v>234102</v>
      </c>
      <c r="G33" s="1674">
        <f t="shared" si="1"/>
        <v>3688</v>
      </c>
      <c r="H33" s="1674">
        <f t="shared" si="1"/>
        <v>72868</v>
      </c>
      <c r="I33" s="1674">
        <f t="shared" si="1"/>
        <v>0</v>
      </c>
      <c r="J33" s="1674">
        <f t="shared" si="1"/>
        <v>0</v>
      </c>
      <c r="K33" s="1674">
        <f t="shared" si="1"/>
        <v>4308144</v>
      </c>
      <c r="L33" s="1674">
        <f t="shared" si="1"/>
        <v>4327539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2183</v>
      </c>
      <c r="F37" s="1573">
        <v>0</v>
      </c>
      <c r="G37" s="1573">
        <v>0</v>
      </c>
      <c r="H37" s="1573">
        <v>0</v>
      </c>
      <c r="I37" s="1574">
        <v>0</v>
      </c>
      <c r="J37" s="1574">
        <v>0</v>
      </c>
      <c r="K37" s="1672">
        <f t="shared" si="2"/>
        <v>2183</v>
      </c>
      <c r="L37" s="1573">
        <v>2183</v>
      </c>
    </row>
    <row r="38" spans="1:14" x14ac:dyDescent="0.2">
      <c r="A38" s="1274" t="s">
        <v>196</v>
      </c>
      <c r="B38" s="503">
        <v>2130</v>
      </c>
      <c r="C38" s="1573">
        <v>0</v>
      </c>
      <c r="D38" s="1573">
        <v>0</v>
      </c>
      <c r="E38" s="1573">
        <v>1400</v>
      </c>
      <c r="F38" s="1573">
        <v>0</v>
      </c>
      <c r="G38" s="1573">
        <v>0</v>
      </c>
      <c r="H38" s="1573">
        <v>0</v>
      </c>
      <c r="I38" s="1573">
        <v>0</v>
      </c>
      <c r="J38" s="1573">
        <v>0</v>
      </c>
      <c r="K38" s="1672">
        <f t="shared" si="2"/>
        <v>1400</v>
      </c>
      <c r="L38" s="1573">
        <v>2000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18263</v>
      </c>
      <c r="D41" s="1573">
        <v>2490</v>
      </c>
      <c r="E41" s="1573">
        <v>532</v>
      </c>
      <c r="F41" s="1573">
        <v>144</v>
      </c>
      <c r="G41" s="1573">
        <v>0</v>
      </c>
      <c r="H41" s="1573">
        <v>0</v>
      </c>
      <c r="I41" s="1574">
        <v>0</v>
      </c>
      <c r="J41" s="1574">
        <v>0</v>
      </c>
      <c r="K41" s="1672">
        <f t="shared" si="2"/>
        <v>21429</v>
      </c>
      <c r="L41" s="1573">
        <v>26470</v>
      </c>
    </row>
    <row r="42" spans="1:14" ht="12.75" customHeight="1" thickBot="1" x14ac:dyDescent="0.25">
      <c r="A42" s="1380" t="s">
        <v>556</v>
      </c>
      <c r="B42" s="1381" t="s">
        <v>711</v>
      </c>
      <c r="C42" s="1674">
        <f>SUM(C36:C41)</f>
        <v>18263</v>
      </c>
      <c r="D42" s="1674">
        <f t="shared" ref="D42:L42" si="3">SUM(D36:D41)</f>
        <v>2490</v>
      </c>
      <c r="E42" s="1674">
        <f t="shared" si="3"/>
        <v>4115</v>
      </c>
      <c r="F42" s="1674">
        <f t="shared" si="3"/>
        <v>144</v>
      </c>
      <c r="G42" s="1674">
        <f t="shared" si="3"/>
        <v>0</v>
      </c>
      <c r="H42" s="1674">
        <f t="shared" si="3"/>
        <v>0</v>
      </c>
      <c r="I42" s="1674">
        <f t="shared" si="3"/>
        <v>0</v>
      </c>
      <c r="J42" s="1674">
        <f t="shared" si="3"/>
        <v>0</v>
      </c>
      <c r="K42" s="1674">
        <f t="shared" si="3"/>
        <v>25012</v>
      </c>
      <c r="L42" s="1674">
        <f t="shared" si="3"/>
        <v>30653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27160</v>
      </c>
      <c r="F44" s="1586">
        <v>0</v>
      </c>
      <c r="G44" s="1586">
        <v>0</v>
      </c>
      <c r="H44" s="1586">
        <v>0</v>
      </c>
      <c r="I44" s="1574">
        <v>0</v>
      </c>
      <c r="J44" s="1574">
        <v>0</v>
      </c>
      <c r="K44" s="1678">
        <f>SUM(C44:J44)</f>
        <v>27160</v>
      </c>
      <c r="L44" s="1586">
        <v>21151</v>
      </c>
    </row>
    <row r="45" spans="1:14" x14ac:dyDescent="0.2">
      <c r="A45" s="1274" t="s">
        <v>810</v>
      </c>
      <c r="B45" s="503">
        <v>2220</v>
      </c>
      <c r="C45" s="1573">
        <v>16696</v>
      </c>
      <c r="D45" s="1573">
        <v>4765</v>
      </c>
      <c r="E45" s="1573">
        <v>0</v>
      </c>
      <c r="F45" s="1573">
        <v>1011</v>
      </c>
      <c r="G45" s="1573">
        <v>0</v>
      </c>
      <c r="H45" s="1573">
        <v>0</v>
      </c>
      <c r="I45" s="1574">
        <v>0</v>
      </c>
      <c r="J45" s="1574">
        <v>0</v>
      </c>
      <c r="K45" s="1678">
        <f>SUM(C45:J45)</f>
        <v>22472</v>
      </c>
      <c r="L45" s="1573">
        <v>22372</v>
      </c>
    </row>
    <row r="46" spans="1:14" x14ac:dyDescent="0.2">
      <c r="A46" s="1274" t="s">
        <v>811</v>
      </c>
      <c r="B46" s="503">
        <v>2230</v>
      </c>
      <c r="C46" s="1573">
        <v>0</v>
      </c>
      <c r="D46" s="1573">
        <v>0</v>
      </c>
      <c r="E46" s="1573">
        <v>0</v>
      </c>
      <c r="F46" s="1573">
        <v>14067</v>
      </c>
      <c r="G46" s="1573">
        <v>0</v>
      </c>
      <c r="H46" s="1573">
        <v>0</v>
      </c>
      <c r="I46" s="1574">
        <v>0</v>
      </c>
      <c r="J46" s="1574">
        <v>0</v>
      </c>
      <c r="K46" s="1678">
        <f>SUM(C46:J46)</f>
        <v>14067</v>
      </c>
      <c r="L46" s="1573">
        <v>14052</v>
      </c>
    </row>
    <row r="47" spans="1:14" ht="12.75" customHeight="1" thickBot="1" x14ac:dyDescent="0.25">
      <c r="A47" s="1380" t="s">
        <v>557</v>
      </c>
      <c r="B47" s="1381" t="s">
        <v>32</v>
      </c>
      <c r="C47" s="1674">
        <f>SUM(C44:C46)</f>
        <v>16696</v>
      </c>
      <c r="D47" s="1674">
        <f t="shared" ref="D47:K47" si="4">SUM(D44:D46)</f>
        <v>4765</v>
      </c>
      <c r="E47" s="1674">
        <f t="shared" si="4"/>
        <v>27160</v>
      </c>
      <c r="F47" s="1674">
        <f t="shared" si="4"/>
        <v>15078</v>
      </c>
      <c r="G47" s="1674">
        <f t="shared" si="4"/>
        <v>0</v>
      </c>
      <c r="H47" s="1674">
        <f t="shared" si="4"/>
        <v>0</v>
      </c>
      <c r="I47" s="1674">
        <f t="shared" si="4"/>
        <v>0</v>
      </c>
      <c r="J47" s="1674">
        <f t="shared" si="4"/>
        <v>0</v>
      </c>
      <c r="K47" s="1674">
        <f t="shared" si="4"/>
        <v>63699</v>
      </c>
      <c r="L47" s="1674">
        <f>SUM(L44:L46)</f>
        <v>57575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1250</v>
      </c>
      <c r="D49" s="1586">
        <v>0</v>
      </c>
      <c r="E49" s="1586">
        <v>38509</v>
      </c>
      <c r="F49" s="1586">
        <v>803</v>
      </c>
      <c r="G49" s="1586">
        <v>0</v>
      </c>
      <c r="H49" s="1586">
        <v>9085</v>
      </c>
      <c r="I49" s="1574">
        <v>0</v>
      </c>
      <c r="J49" s="1574">
        <v>0</v>
      </c>
      <c r="K49" s="1678">
        <f>SUM(C49:J49)</f>
        <v>49647</v>
      </c>
      <c r="L49" s="1586">
        <v>57150</v>
      </c>
    </row>
    <row r="50" spans="1:14" x14ac:dyDescent="0.2">
      <c r="A50" s="1274" t="s">
        <v>813</v>
      </c>
      <c r="B50" s="503">
        <v>2320</v>
      </c>
      <c r="C50" s="1574">
        <v>130811</v>
      </c>
      <c r="D50" s="1573">
        <v>45361</v>
      </c>
      <c r="E50" s="1573">
        <v>0</v>
      </c>
      <c r="F50" s="1573">
        <v>595</v>
      </c>
      <c r="G50" s="1573">
        <v>0</v>
      </c>
      <c r="H50" s="1573">
        <v>0</v>
      </c>
      <c r="I50" s="1574">
        <v>0</v>
      </c>
      <c r="J50" s="1574">
        <v>0</v>
      </c>
      <c r="K50" s="1678">
        <f>SUM(C50:J50)</f>
        <v>176767</v>
      </c>
      <c r="L50" s="1573">
        <v>178987</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132061</v>
      </c>
      <c r="D53" s="1674">
        <f t="shared" ref="D53:L53" si="5">SUM(D49:D52)</f>
        <v>45361</v>
      </c>
      <c r="E53" s="1674">
        <f t="shared" si="5"/>
        <v>38509</v>
      </c>
      <c r="F53" s="1674">
        <f t="shared" si="5"/>
        <v>1398</v>
      </c>
      <c r="G53" s="1674">
        <f t="shared" si="5"/>
        <v>0</v>
      </c>
      <c r="H53" s="1674">
        <f t="shared" si="5"/>
        <v>9085</v>
      </c>
      <c r="I53" s="1674">
        <f t="shared" si="5"/>
        <v>0</v>
      </c>
      <c r="J53" s="1674">
        <f t="shared" si="5"/>
        <v>0</v>
      </c>
      <c r="K53" s="1674">
        <f t="shared" si="5"/>
        <v>226414</v>
      </c>
      <c r="L53" s="1674">
        <f t="shared" si="5"/>
        <v>236137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213709</v>
      </c>
      <c r="D55" s="1586">
        <v>96382</v>
      </c>
      <c r="E55" s="1586">
        <v>2435</v>
      </c>
      <c r="F55" s="1586">
        <v>1981</v>
      </c>
      <c r="G55" s="1586">
        <v>0</v>
      </c>
      <c r="H55" s="1586">
        <v>2329</v>
      </c>
      <c r="I55" s="1574">
        <v>0</v>
      </c>
      <c r="J55" s="1574">
        <v>0</v>
      </c>
      <c r="K55" s="1678">
        <f>SUM(C55:J55)</f>
        <v>316836</v>
      </c>
      <c r="L55" s="1586">
        <v>310921</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213709</v>
      </c>
      <c r="D57" s="1679">
        <f t="shared" ref="D57:K57" si="6">SUM(D55:D56)</f>
        <v>96382</v>
      </c>
      <c r="E57" s="1679">
        <f t="shared" si="6"/>
        <v>2435</v>
      </c>
      <c r="F57" s="1679">
        <f t="shared" si="6"/>
        <v>1981</v>
      </c>
      <c r="G57" s="1679">
        <f t="shared" si="6"/>
        <v>0</v>
      </c>
      <c r="H57" s="1679">
        <f t="shared" si="6"/>
        <v>2329</v>
      </c>
      <c r="I57" s="1679">
        <f t="shared" si="6"/>
        <v>0</v>
      </c>
      <c r="J57" s="1679">
        <f t="shared" si="6"/>
        <v>0</v>
      </c>
      <c r="K57" s="1679">
        <f t="shared" si="6"/>
        <v>316836</v>
      </c>
      <c r="L57" s="1674">
        <f>SUM(L55:L56)</f>
        <v>310921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46500</v>
      </c>
      <c r="D60" s="1573">
        <v>6036</v>
      </c>
      <c r="E60" s="1573">
        <v>9820</v>
      </c>
      <c r="F60" s="1573">
        <v>1102</v>
      </c>
      <c r="G60" s="1573">
        <v>0</v>
      </c>
      <c r="H60" s="1573">
        <v>0</v>
      </c>
      <c r="I60" s="1574">
        <v>0</v>
      </c>
      <c r="J60" s="1574">
        <v>0</v>
      </c>
      <c r="K60" s="1678">
        <f t="shared" si="7"/>
        <v>63458</v>
      </c>
      <c r="L60" s="1573">
        <v>65996</v>
      </c>
      <c r="M60" s="501"/>
      <c r="N60" s="501"/>
    </row>
    <row r="61" spans="1:14" s="321" customFormat="1" x14ac:dyDescent="0.2">
      <c r="A61" s="1274" t="s">
        <v>195</v>
      </c>
      <c r="B61" s="503">
        <v>2540</v>
      </c>
      <c r="C61" s="1573">
        <v>0</v>
      </c>
      <c r="D61" s="1573">
        <v>0</v>
      </c>
      <c r="E61" s="1573">
        <v>15810</v>
      </c>
      <c r="F61" s="1573">
        <v>111941</v>
      </c>
      <c r="G61" s="1573">
        <v>0</v>
      </c>
      <c r="H61" s="1573">
        <v>0</v>
      </c>
      <c r="I61" s="1574">
        <v>0</v>
      </c>
      <c r="J61" s="1574">
        <v>0</v>
      </c>
      <c r="K61" s="1678">
        <f t="shared" si="7"/>
        <v>127751</v>
      </c>
      <c r="L61" s="1573">
        <v>155636</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109546</v>
      </c>
      <c r="D63" s="1573">
        <v>13702</v>
      </c>
      <c r="E63" s="1573">
        <v>2691</v>
      </c>
      <c r="F63" s="1573">
        <v>73424</v>
      </c>
      <c r="G63" s="1573">
        <v>0</v>
      </c>
      <c r="H63" s="1573">
        <v>464</v>
      </c>
      <c r="I63" s="1574">
        <v>0</v>
      </c>
      <c r="J63" s="1574">
        <v>0</v>
      </c>
      <c r="K63" s="1678">
        <f t="shared" si="7"/>
        <v>199827</v>
      </c>
      <c r="L63" s="1573">
        <v>233944</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156046</v>
      </c>
      <c r="D65" s="1674">
        <f t="shared" ref="D65:L65" si="8">SUM(D59:D64)</f>
        <v>19738</v>
      </c>
      <c r="E65" s="1674">
        <f t="shared" si="8"/>
        <v>28321</v>
      </c>
      <c r="F65" s="1674">
        <f t="shared" si="8"/>
        <v>186467</v>
      </c>
      <c r="G65" s="1674">
        <f t="shared" si="8"/>
        <v>0</v>
      </c>
      <c r="H65" s="1674">
        <f t="shared" si="8"/>
        <v>464</v>
      </c>
      <c r="I65" s="1674">
        <f t="shared" si="8"/>
        <v>0</v>
      </c>
      <c r="J65" s="1674">
        <f t="shared" si="8"/>
        <v>0</v>
      </c>
      <c r="K65" s="1674">
        <f t="shared" si="8"/>
        <v>391036</v>
      </c>
      <c r="L65" s="1674">
        <f t="shared" si="8"/>
        <v>455576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47800</v>
      </c>
      <c r="D73" s="1649">
        <v>0</v>
      </c>
      <c r="E73" s="1649">
        <v>0</v>
      </c>
      <c r="F73" s="1649">
        <v>5694</v>
      </c>
      <c r="G73" s="1649">
        <v>0</v>
      </c>
      <c r="H73" s="1649">
        <v>0</v>
      </c>
      <c r="I73" s="1627">
        <v>0</v>
      </c>
      <c r="J73" s="1627">
        <v>0</v>
      </c>
      <c r="K73" s="1674">
        <f>SUM(C73:J73)</f>
        <v>53494</v>
      </c>
      <c r="L73" s="1651">
        <v>69000</v>
      </c>
      <c r="M73" s="501"/>
      <c r="N73" s="501"/>
    </row>
    <row r="74" spans="1:14" ht="12.75" customHeight="1" thickTop="1" thickBot="1" x14ac:dyDescent="0.25">
      <c r="A74" s="1380" t="s">
        <v>806</v>
      </c>
      <c r="B74" s="1384">
        <v>2000</v>
      </c>
      <c r="C74" s="1681">
        <f>SUM(C42,C47,C53,C57,C65,C72,C73)</f>
        <v>584575</v>
      </c>
      <c r="D74" s="1681">
        <f t="shared" ref="D74:K74" si="10">SUM(D42,D47,D53,D57,D65,D72,D73)</f>
        <v>168736</v>
      </c>
      <c r="E74" s="1681">
        <f t="shared" si="10"/>
        <v>100540</v>
      </c>
      <c r="F74" s="1681">
        <f t="shared" si="10"/>
        <v>210762</v>
      </c>
      <c r="G74" s="1681">
        <f t="shared" si="10"/>
        <v>0</v>
      </c>
      <c r="H74" s="1681">
        <f t="shared" si="10"/>
        <v>11878</v>
      </c>
      <c r="I74" s="1681">
        <f t="shared" si="10"/>
        <v>0</v>
      </c>
      <c r="J74" s="1681">
        <f t="shared" si="10"/>
        <v>0</v>
      </c>
      <c r="K74" s="1681">
        <f t="shared" si="10"/>
        <v>1076491</v>
      </c>
      <c r="L74" s="1681">
        <f>SUM(L42,L47,L53,L57,L65,L72,L73)</f>
        <v>1159862</v>
      </c>
    </row>
    <row r="75" spans="1:14" s="254" customFormat="1" ht="15.75" customHeight="1" thickTop="1" thickBot="1" x14ac:dyDescent="0.25">
      <c r="A75" s="1348" t="s">
        <v>47</v>
      </c>
      <c r="B75" s="1349" t="s">
        <v>571</v>
      </c>
      <c r="C75" s="1649">
        <v>0</v>
      </c>
      <c r="D75" s="1649">
        <v>0</v>
      </c>
      <c r="E75" s="1649">
        <v>4675</v>
      </c>
      <c r="F75" s="1649">
        <v>695</v>
      </c>
      <c r="G75" s="1649">
        <v>0</v>
      </c>
      <c r="H75" s="1649">
        <v>0</v>
      </c>
      <c r="I75" s="1627">
        <v>0</v>
      </c>
      <c r="J75" s="1627">
        <v>0</v>
      </c>
      <c r="K75" s="1674">
        <f>SUM(C75:J75)</f>
        <v>5370</v>
      </c>
      <c r="L75" s="1651">
        <v>6425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319767</v>
      </c>
      <c r="F79" s="1673"/>
      <c r="G79" s="1673"/>
      <c r="H79" s="1573">
        <v>0</v>
      </c>
      <c r="I79" s="1582"/>
      <c r="J79" s="1582"/>
      <c r="K79" s="1672">
        <f t="shared" si="11"/>
        <v>319767</v>
      </c>
      <c r="L79" s="1573">
        <v>359764</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319767</v>
      </c>
      <c r="F84" s="1673"/>
      <c r="G84" s="1673"/>
      <c r="H84" s="1674">
        <f>SUM(H78:H83)</f>
        <v>0</v>
      </c>
      <c r="I84" s="1582"/>
      <c r="J84" s="1582"/>
      <c r="K84" s="1674">
        <f>SUM(K78:K83)</f>
        <v>319767</v>
      </c>
      <c r="L84" s="1674">
        <f>SUM(L78:L83)</f>
        <v>359764</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120196</v>
      </c>
      <c r="I86" s="1582"/>
      <c r="J86" s="1582"/>
      <c r="K86" s="1681">
        <f t="shared" ref="K86:K98" si="12">H86</f>
        <v>120196</v>
      </c>
      <c r="L86" s="1626">
        <v>152000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120196</v>
      </c>
      <c r="I92" s="1582"/>
      <c r="J92" s="1582"/>
      <c r="K92" s="1681">
        <f t="shared" si="12"/>
        <v>120196</v>
      </c>
      <c r="L92" s="1674">
        <f>SUM(L85:L91)</f>
        <v>152000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319767</v>
      </c>
      <c r="F102" s="1673"/>
      <c r="G102" s="1673"/>
      <c r="H102" s="1681">
        <f>SUM(H84,H92,H100,H101)</f>
        <v>120196</v>
      </c>
      <c r="I102" s="1582"/>
      <c r="J102" s="1582"/>
      <c r="K102" s="1681">
        <f>SUM(K84,K92,K100,K101)</f>
        <v>439963</v>
      </c>
      <c r="L102" s="1681">
        <f>SUM(L84,L92,L100,L101)</f>
        <v>511764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3823061</v>
      </c>
      <c r="D114" s="1674">
        <f t="shared" ref="D114:K114" si="13">SUM(D33,D74,D75,D102,D112,D113)</f>
        <v>859842</v>
      </c>
      <c r="E114" s="1674">
        <f t="shared" si="13"/>
        <v>492876</v>
      </c>
      <c r="F114" s="1674">
        <f t="shared" si="13"/>
        <v>445559</v>
      </c>
      <c r="G114" s="1674">
        <f t="shared" si="13"/>
        <v>3688</v>
      </c>
      <c r="H114" s="1674">
        <f>SUM(H33,H74,H75,H102,H112,H113)</f>
        <v>204942</v>
      </c>
      <c r="I114" s="1674">
        <f t="shared" si="13"/>
        <v>0</v>
      </c>
      <c r="J114" s="1674">
        <f t="shared" si="13"/>
        <v>0</v>
      </c>
      <c r="K114" s="1674">
        <f t="shared" si="13"/>
        <v>5829968</v>
      </c>
      <c r="L114" s="1674">
        <f>SUM(L33,L74,L75,L102,L112,L113)</f>
        <v>6005590</v>
      </c>
    </row>
    <row r="115" spans="1:14" ht="13.5" thickTop="1" x14ac:dyDescent="0.2">
      <c r="A115" s="2284" t="s">
        <v>989</v>
      </c>
      <c r="B115" s="2285"/>
      <c r="C115" s="1675"/>
      <c r="D115" s="1675"/>
      <c r="E115" s="1675"/>
      <c r="F115" s="1675"/>
      <c r="G115" s="1675"/>
      <c r="H115" s="1675"/>
      <c r="I115" s="1675"/>
      <c r="J115" s="1675"/>
      <c r="K115" s="1689">
        <f>'Revenues 9-14'!C268-'Expenditures 15-22'!K114</f>
        <v>-542961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9" t="s">
        <v>293</v>
      </c>
      <c r="B117" s="229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222361</v>
      </c>
      <c r="D124" s="1573">
        <v>39373</v>
      </c>
      <c r="E124" s="1573">
        <v>73075</v>
      </c>
      <c r="F124" s="1573">
        <v>28808</v>
      </c>
      <c r="G124" s="1573">
        <v>4185</v>
      </c>
      <c r="H124" s="1573">
        <v>0</v>
      </c>
      <c r="I124" s="1574">
        <v>0</v>
      </c>
      <c r="J124" s="1574">
        <v>0</v>
      </c>
      <c r="K124" s="1674">
        <f>SUM(C124:J124)</f>
        <v>367802</v>
      </c>
      <c r="L124" s="1573">
        <v>387840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222361</v>
      </c>
      <c r="D127" s="1674">
        <f t="shared" ref="D127:L127" si="14">SUM(D122:D126)</f>
        <v>39373</v>
      </c>
      <c r="E127" s="1674">
        <f t="shared" si="14"/>
        <v>73075</v>
      </c>
      <c r="F127" s="1674">
        <f t="shared" si="14"/>
        <v>28808</v>
      </c>
      <c r="G127" s="1674">
        <f t="shared" si="14"/>
        <v>4185</v>
      </c>
      <c r="H127" s="1674">
        <f t="shared" si="14"/>
        <v>0</v>
      </c>
      <c r="I127" s="1674">
        <f t="shared" si="14"/>
        <v>0</v>
      </c>
      <c r="J127" s="1674">
        <f t="shared" si="14"/>
        <v>0</v>
      </c>
      <c r="K127" s="1674">
        <f t="shared" si="14"/>
        <v>367802</v>
      </c>
      <c r="L127" s="1674">
        <f t="shared" si="14"/>
        <v>387840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222361</v>
      </c>
      <c r="D129" s="1681">
        <f t="shared" ref="D129:L129" si="15">SUM(D120,D127,D128)</f>
        <v>39373</v>
      </c>
      <c r="E129" s="1681">
        <f t="shared" si="15"/>
        <v>73075</v>
      </c>
      <c r="F129" s="1681">
        <f t="shared" si="15"/>
        <v>28808</v>
      </c>
      <c r="G129" s="1681">
        <f t="shared" si="15"/>
        <v>4185</v>
      </c>
      <c r="H129" s="1681">
        <f t="shared" si="15"/>
        <v>0</v>
      </c>
      <c r="I129" s="1681">
        <f t="shared" si="15"/>
        <v>0</v>
      </c>
      <c r="J129" s="1681">
        <f t="shared" si="15"/>
        <v>0</v>
      </c>
      <c r="K129" s="1681">
        <f t="shared" si="15"/>
        <v>367802</v>
      </c>
      <c r="L129" s="1681">
        <f t="shared" si="15"/>
        <v>387840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1" t="s">
        <v>616</v>
      </c>
      <c r="B151" s="2281"/>
      <c r="C151" s="1674">
        <f>SUM(C129,C130,C139,C149,C150)</f>
        <v>222361</v>
      </c>
      <c r="D151" s="1674">
        <f t="shared" ref="D151:K151" si="16">SUM(D129,D130,D139,D149,D150)</f>
        <v>39373</v>
      </c>
      <c r="E151" s="1674">
        <f t="shared" si="16"/>
        <v>73075</v>
      </c>
      <c r="F151" s="1674">
        <f t="shared" si="16"/>
        <v>28808</v>
      </c>
      <c r="G151" s="1674">
        <f t="shared" si="16"/>
        <v>4185</v>
      </c>
      <c r="H151" s="1674">
        <f t="shared" si="16"/>
        <v>0</v>
      </c>
      <c r="I151" s="1674">
        <f t="shared" si="16"/>
        <v>0</v>
      </c>
      <c r="J151" s="1674">
        <f t="shared" si="16"/>
        <v>0</v>
      </c>
      <c r="K151" s="1674">
        <f t="shared" si="16"/>
        <v>367802</v>
      </c>
      <c r="L151" s="1674">
        <f>SUM(L129,L130,L139,L149,L150)</f>
        <v>387840</v>
      </c>
    </row>
    <row r="152" spans="1:14" ht="12.75" customHeight="1" thickTop="1" x14ac:dyDescent="0.2">
      <c r="A152" s="2304" t="s">
        <v>1168</v>
      </c>
      <c r="B152" s="2305"/>
      <c r="C152" s="1675"/>
      <c r="D152" s="1675"/>
      <c r="E152" s="1675"/>
      <c r="F152" s="1675"/>
      <c r="G152" s="1675"/>
      <c r="H152" s="1675"/>
      <c r="I152" s="1675"/>
      <c r="J152" s="1673"/>
      <c r="K152" s="1689">
        <f>'Revenues 9-14'!D268-'Expenditures 15-22'!K151</f>
        <v>78745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9" t="s">
        <v>617</v>
      </c>
      <c r="B154" s="229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307088</v>
      </c>
      <c r="I169" s="1673"/>
      <c r="J169" s="1673"/>
      <c r="K169" s="1672">
        <f>SUM(C169:H169)</f>
        <v>307088</v>
      </c>
      <c r="L169" s="1695">
        <v>308000</v>
      </c>
    </row>
    <row r="170" spans="1:14" ht="33.75" customHeight="1" x14ac:dyDescent="0.2">
      <c r="A170" s="543" t="s">
        <v>1651</v>
      </c>
      <c r="B170" s="545" t="s">
        <v>31</v>
      </c>
      <c r="C170" s="1673"/>
      <c r="D170" s="1673"/>
      <c r="E170" s="1673"/>
      <c r="F170" s="1673"/>
      <c r="G170" s="1673"/>
      <c r="H170" s="1646">
        <v>505000</v>
      </c>
      <c r="I170" s="1673"/>
      <c r="J170" s="1673"/>
      <c r="K170" s="1672">
        <f>SUM(C170:J170)</f>
        <v>505000</v>
      </c>
      <c r="L170" s="1646">
        <v>505000</v>
      </c>
    </row>
    <row r="171" spans="1:14" ht="15.75" customHeight="1" x14ac:dyDescent="0.2">
      <c r="A171" s="507" t="s">
        <v>761</v>
      </c>
      <c r="B171" s="546" t="s">
        <v>84</v>
      </c>
      <c r="C171" s="1673"/>
      <c r="D171" s="1673"/>
      <c r="E171" s="1573">
        <v>1300</v>
      </c>
      <c r="F171" s="1673"/>
      <c r="G171" s="1673"/>
      <c r="H171" s="1646">
        <v>0</v>
      </c>
      <c r="I171" s="1582"/>
      <c r="J171" s="1673"/>
      <c r="K171" s="1672">
        <f>SUM(C171:J171)</f>
        <v>1300</v>
      </c>
      <c r="L171" s="1646">
        <v>2000</v>
      </c>
    </row>
    <row r="172" spans="1:14" ht="12.75" customHeight="1" thickBot="1" x14ac:dyDescent="0.25">
      <c r="A172" s="1380" t="s">
        <v>633</v>
      </c>
      <c r="B172" s="1381" t="s">
        <v>489</v>
      </c>
      <c r="C172" s="1673"/>
      <c r="D172" s="1673"/>
      <c r="E172" s="1681">
        <f>SUM(E168,E169,E170,E171)</f>
        <v>1300</v>
      </c>
      <c r="F172" s="1673"/>
      <c r="G172" s="1673"/>
      <c r="H172" s="1681">
        <f>SUM(H168,H169,H170,H171)</f>
        <v>812088</v>
      </c>
      <c r="I172" s="1684"/>
      <c r="J172" s="1673"/>
      <c r="K172" s="1681">
        <f>SUM(K168,K169,K170,K171)</f>
        <v>813388</v>
      </c>
      <c r="L172" s="1681">
        <f>SUM(L168,L169,L170,L171)</f>
        <v>815000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1300</v>
      </c>
      <c r="F174" s="1673"/>
      <c r="G174" s="1673"/>
      <c r="H174" s="1681">
        <f>SUM(H160,H172,H173)</f>
        <v>812088</v>
      </c>
      <c r="I174" s="1684"/>
      <c r="J174" s="1673"/>
      <c r="K174" s="1681">
        <f>SUM(K160,K172,K173)</f>
        <v>813388</v>
      </c>
      <c r="L174" s="1681">
        <f>SUM(L160,L172,L173)</f>
        <v>815000</v>
      </c>
    </row>
    <row r="175" spans="1:14" ht="13.5" thickTop="1" x14ac:dyDescent="0.2">
      <c r="A175" s="2284" t="s">
        <v>989</v>
      </c>
      <c r="B175" s="2285"/>
      <c r="C175" s="1673"/>
      <c r="D175" s="1673"/>
      <c r="E175" s="1673"/>
      <c r="F175" s="1673"/>
      <c r="G175" s="1673"/>
      <c r="H175" s="1675"/>
      <c r="I175" s="1673"/>
      <c r="J175" s="1673"/>
      <c r="K175" s="1689">
        <f>'Revenues 9-14'!E268-'Expenditures 15-22'!K174</f>
        <v>16595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261814</v>
      </c>
      <c r="D182" s="1573">
        <v>27273</v>
      </c>
      <c r="E182" s="1573">
        <v>255635</v>
      </c>
      <c r="F182" s="1573">
        <v>35764</v>
      </c>
      <c r="G182" s="1573">
        <v>0</v>
      </c>
      <c r="H182" s="1573">
        <v>1203</v>
      </c>
      <c r="I182" s="1574">
        <v>0</v>
      </c>
      <c r="J182" s="1574">
        <v>0</v>
      </c>
      <c r="K182" s="1672">
        <f>SUM(C182:J182)</f>
        <v>581689</v>
      </c>
      <c r="L182" s="1573">
        <v>581717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261814</v>
      </c>
      <c r="D184" s="1681">
        <f t="shared" ref="D184:J184" si="17">SUM(D180,D182,D183)</f>
        <v>27273</v>
      </c>
      <c r="E184" s="1681">
        <f t="shared" si="17"/>
        <v>255635</v>
      </c>
      <c r="F184" s="1681">
        <f t="shared" si="17"/>
        <v>35764</v>
      </c>
      <c r="G184" s="1681">
        <f t="shared" si="17"/>
        <v>0</v>
      </c>
      <c r="H184" s="1681">
        <f t="shared" si="17"/>
        <v>1203</v>
      </c>
      <c r="I184" s="1681">
        <f t="shared" si="17"/>
        <v>0</v>
      </c>
      <c r="J184" s="1681">
        <f t="shared" si="17"/>
        <v>0</v>
      </c>
      <c r="K184" s="1681">
        <f>SUM(K180,K182,K183)</f>
        <v>581689</v>
      </c>
      <c r="L184" s="1681">
        <f>SUM(L180, L182:L183)</f>
        <v>581717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261814</v>
      </c>
      <c r="D210" s="1674">
        <f>SUM(D184,D185)</f>
        <v>27273</v>
      </c>
      <c r="E210" s="1674">
        <f>SUM(E184,E185,E196)</f>
        <v>255635</v>
      </c>
      <c r="F210" s="1674">
        <f>SUM(F184,F185)</f>
        <v>35764</v>
      </c>
      <c r="G210" s="1674">
        <f>SUM(G184,G185)</f>
        <v>0</v>
      </c>
      <c r="H210" s="1674">
        <f>SUM(H184,H185,H196,H208,H209)</f>
        <v>1203</v>
      </c>
      <c r="I210" s="1674">
        <f>SUM(I184,I185)</f>
        <v>0</v>
      </c>
      <c r="J210" s="1674">
        <f>SUM(J184,J185)</f>
        <v>0</v>
      </c>
      <c r="K210" s="1672">
        <f>SUM(K184,K185,K196,K208,K209)</f>
        <v>581689</v>
      </c>
      <c r="L210" s="1674">
        <f>SUM(L184,L185,L196,L208,L209)</f>
        <v>581717</v>
      </c>
    </row>
    <row r="211" spans="1:14" ht="13.5" thickTop="1" x14ac:dyDescent="0.2">
      <c r="A211" s="2284" t="s">
        <v>989</v>
      </c>
      <c r="B211" s="2285"/>
      <c r="C211" s="1675"/>
      <c r="D211" s="1675"/>
      <c r="E211" s="1675"/>
      <c r="F211" s="1675"/>
      <c r="G211" s="1675"/>
      <c r="H211" s="1675"/>
      <c r="I211" s="1673"/>
      <c r="J211" s="1673"/>
      <c r="K211" s="1689">
        <f>'Revenues 9-14'!F268-'Expenditures 15-22'!K210</f>
        <v>-214121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6" t="s">
        <v>959</v>
      </c>
      <c r="B213" s="230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46370</v>
      </c>
      <c r="E215" s="1673"/>
      <c r="F215" s="1673"/>
      <c r="G215" s="1673"/>
      <c r="H215" s="1673"/>
      <c r="I215" s="1673"/>
      <c r="J215" s="1673"/>
      <c r="K215" s="1672">
        <f>D215</f>
        <v>46370</v>
      </c>
      <c r="L215" s="1573">
        <v>53287</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39865</v>
      </c>
      <c r="E217" s="1673"/>
      <c r="F217" s="1673"/>
      <c r="G217" s="1673"/>
      <c r="H217" s="1673"/>
      <c r="I217" s="1673"/>
      <c r="J217" s="1673"/>
      <c r="K217" s="1672">
        <f t="shared" si="19"/>
        <v>39865</v>
      </c>
      <c r="L217" s="1573">
        <v>46190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12848</v>
      </c>
      <c r="E219" s="1673"/>
      <c r="F219" s="1673"/>
      <c r="G219" s="1673"/>
      <c r="H219" s="1673"/>
      <c r="I219" s="1673"/>
      <c r="J219" s="1673"/>
      <c r="K219" s="1672">
        <f t="shared" si="19"/>
        <v>12848</v>
      </c>
      <c r="L219" s="1573">
        <v>14600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2737</v>
      </c>
      <c r="E223" s="1673"/>
      <c r="F223" s="1673"/>
      <c r="G223" s="1673"/>
      <c r="H223" s="1673"/>
      <c r="I223" s="1673"/>
      <c r="J223" s="1673"/>
      <c r="K223" s="1672">
        <f t="shared" si="19"/>
        <v>2737</v>
      </c>
      <c r="L223" s="1573">
        <v>3439</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101820</v>
      </c>
      <c r="E229" s="1673"/>
      <c r="F229" s="1673"/>
      <c r="G229" s="1673"/>
      <c r="H229" s="1673"/>
      <c r="I229" s="1673"/>
      <c r="J229" s="1673"/>
      <c r="K229" s="1674">
        <f>SUM(K215:K228)</f>
        <v>101820</v>
      </c>
      <c r="L229" s="1674">
        <f>SUM(L215:L228)</f>
        <v>117516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4011</v>
      </c>
      <c r="E237" s="1673"/>
      <c r="F237" s="1673"/>
      <c r="G237" s="1673"/>
      <c r="H237" s="1673"/>
      <c r="I237" s="1673"/>
      <c r="J237" s="1673"/>
      <c r="K237" s="1672">
        <f t="shared" si="20"/>
        <v>4011</v>
      </c>
      <c r="L237" s="1573">
        <v>3825</v>
      </c>
    </row>
    <row r="238" spans="1:12" ht="12.75" customHeight="1" thickBot="1" x14ac:dyDescent="0.25">
      <c r="A238" s="1380" t="s">
        <v>556</v>
      </c>
      <c r="B238" s="1383" t="s">
        <v>711</v>
      </c>
      <c r="C238" s="1673"/>
      <c r="D238" s="1674">
        <f>SUM(D232:D237)</f>
        <v>4011</v>
      </c>
      <c r="E238" s="1673"/>
      <c r="F238" s="1673"/>
      <c r="G238" s="1673"/>
      <c r="H238" s="1673"/>
      <c r="I238" s="1673"/>
      <c r="J238" s="1673"/>
      <c r="K238" s="1674">
        <f>SUM(K232:K237)</f>
        <v>4011</v>
      </c>
      <c r="L238" s="1674">
        <f>SUM(L232:L237)</f>
        <v>3825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2873</v>
      </c>
      <c r="E241" s="1673"/>
      <c r="F241" s="1673"/>
      <c r="G241" s="1673"/>
      <c r="H241" s="1673"/>
      <c r="I241" s="1673"/>
      <c r="J241" s="1673"/>
      <c r="K241" s="1678">
        <f>D241</f>
        <v>2873</v>
      </c>
      <c r="L241" s="1573">
        <v>3001</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2873</v>
      </c>
      <c r="E243" s="1673"/>
      <c r="F243" s="1673"/>
      <c r="G243" s="1673"/>
      <c r="H243" s="1673"/>
      <c r="I243" s="1673"/>
      <c r="J243" s="1673"/>
      <c r="K243" s="1674">
        <f>SUM(K240:K242)</f>
        <v>2873</v>
      </c>
      <c r="L243" s="1674">
        <f>SUM(L240:L242)</f>
        <v>3001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96</v>
      </c>
      <c r="E245" s="1673"/>
      <c r="F245" s="1673"/>
      <c r="G245" s="1673"/>
      <c r="H245" s="1673"/>
      <c r="I245" s="1673"/>
      <c r="J245" s="1673"/>
      <c r="K245" s="1678">
        <f>D245</f>
        <v>96</v>
      </c>
      <c r="L245" s="1586">
        <v>100</v>
      </c>
    </row>
    <row r="246" spans="1:12" x14ac:dyDescent="0.2">
      <c r="A246" s="1274" t="s">
        <v>813</v>
      </c>
      <c r="B246" s="503">
        <v>2320</v>
      </c>
      <c r="C246" s="1673"/>
      <c r="D246" s="1573">
        <v>1902</v>
      </c>
      <c r="E246" s="1673"/>
      <c r="F246" s="1673"/>
      <c r="G246" s="1673"/>
      <c r="H246" s="1673"/>
      <c r="I246" s="1673"/>
      <c r="J246" s="1673"/>
      <c r="K246" s="1678">
        <f t="shared" ref="K246:K256" si="21">D246</f>
        <v>1902</v>
      </c>
      <c r="L246" s="1573">
        <v>2000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1998</v>
      </c>
      <c r="E257" s="1673"/>
      <c r="F257" s="1673"/>
      <c r="G257" s="1673"/>
      <c r="H257" s="1673"/>
      <c r="I257" s="1673"/>
      <c r="J257" s="1673"/>
      <c r="K257" s="1674">
        <f>SUM(K245:K256)</f>
        <v>1998</v>
      </c>
      <c r="L257" s="1674">
        <f>SUM(L245:L256)</f>
        <v>2100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11600</v>
      </c>
      <c r="E259" s="1673"/>
      <c r="F259" s="1673"/>
      <c r="G259" s="1673"/>
      <c r="H259" s="1673"/>
      <c r="I259" s="1673"/>
      <c r="J259" s="1673"/>
      <c r="K259" s="1678">
        <f>D259</f>
        <v>11600</v>
      </c>
      <c r="L259" s="1586">
        <v>11500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11600</v>
      </c>
      <c r="E261" s="1673"/>
      <c r="F261" s="1673"/>
      <c r="G261" s="1673"/>
      <c r="H261" s="1673"/>
      <c r="I261" s="1673"/>
      <c r="J261" s="1673"/>
      <c r="K261" s="1674">
        <f>SUM(K259:K260)</f>
        <v>11600</v>
      </c>
      <c r="L261" s="1674">
        <f>SUM(L259:L260)</f>
        <v>11500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8354</v>
      </c>
      <c r="E264" s="1673"/>
      <c r="F264" s="1673"/>
      <c r="G264" s="1673"/>
      <c r="H264" s="1673"/>
      <c r="I264" s="1673"/>
      <c r="J264" s="1673"/>
      <c r="K264" s="1678">
        <f t="shared" ref="K264:K269" si="22">D264</f>
        <v>8354</v>
      </c>
      <c r="L264" s="1573">
        <v>9600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37513</v>
      </c>
      <c r="E266" s="1673"/>
      <c r="F266" s="1673"/>
      <c r="G266" s="1673"/>
      <c r="H266" s="1673"/>
      <c r="I266" s="1673"/>
      <c r="J266" s="1673"/>
      <c r="K266" s="1678">
        <f t="shared" si="22"/>
        <v>37513</v>
      </c>
      <c r="L266" s="1573">
        <v>37500</v>
      </c>
    </row>
    <row r="267" spans="1:14" x14ac:dyDescent="0.2">
      <c r="A267" s="1274" t="s">
        <v>947</v>
      </c>
      <c r="B267" s="503">
        <v>2550</v>
      </c>
      <c r="C267" s="1673"/>
      <c r="D267" s="1573">
        <v>36959</v>
      </c>
      <c r="E267" s="1673"/>
      <c r="F267" s="1673"/>
      <c r="G267" s="1673"/>
      <c r="H267" s="1673"/>
      <c r="I267" s="1673"/>
      <c r="J267" s="1673"/>
      <c r="K267" s="1678">
        <f t="shared" si="22"/>
        <v>36959</v>
      </c>
      <c r="L267" s="1573">
        <v>38072</v>
      </c>
    </row>
    <row r="268" spans="1:14" x14ac:dyDescent="0.2">
      <c r="A268" s="1274" t="s">
        <v>100</v>
      </c>
      <c r="B268" s="503">
        <v>2560</v>
      </c>
      <c r="C268" s="1673"/>
      <c r="D268" s="1573">
        <v>16839</v>
      </c>
      <c r="E268" s="1673"/>
      <c r="F268" s="1673"/>
      <c r="G268" s="1673"/>
      <c r="H268" s="1673"/>
      <c r="I268" s="1673"/>
      <c r="J268" s="1673"/>
      <c r="K268" s="1678">
        <f t="shared" si="22"/>
        <v>16839</v>
      </c>
      <c r="L268" s="1573">
        <v>20500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99665</v>
      </c>
      <c r="E270" s="1673"/>
      <c r="F270" s="1673"/>
      <c r="G270" s="1673"/>
      <c r="H270" s="1673"/>
      <c r="I270" s="1673"/>
      <c r="J270" s="1673"/>
      <c r="K270" s="1674">
        <f>SUM(K263:K269)</f>
        <v>99665</v>
      </c>
      <c r="L270" s="1674">
        <f>SUM(L263:L269)</f>
        <v>105672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4907</v>
      </c>
      <c r="E278" s="1673"/>
      <c r="F278" s="1673"/>
      <c r="G278" s="1673"/>
      <c r="H278" s="1673"/>
      <c r="I278" s="1673"/>
      <c r="J278" s="1673"/>
      <c r="K278" s="1696">
        <f>D278</f>
        <v>4907</v>
      </c>
      <c r="L278" s="1695">
        <v>5000</v>
      </c>
    </row>
    <row r="279" spans="1:12" ht="12.75" customHeight="1" thickBot="1" x14ac:dyDescent="0.25">
      <c r="A279" s="1400" t="s">
        <v>806</v>
      </c>
      <c r="B279" s="1387">
        <v>2000</v>
      </c>
      <c r="C279" s="1673"/>
      <c r="D279" s="1681">
        <f>SUM(D238,D243,D257,D261,D270,D277,D278)</f>
        <v>125054</v>
      </c>
      <c r="E279" s="1673"/>
      <c r="F279" s="1673"/>
      <c r="G279" s="1673"/>
      <c r="H279" s="1673"/>
      <c r="I279" s="1673"/>
      <c r="J279" s="1673"/>
      <c r="K279" s="1681">
        <f>SUM(K238,K243,K257,K261,K270,K277,K278)</f>
        <v>125054</v>
      </c>
      <c r="L279" s="1681">
        <f>SUM(L238,L243,L257,L261,L270,L277,L278)</f>
        <v>131098</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2" t="s">
        <v>502</v>
      </c>
      <c r="B295" s="2303"/>
      <c r="C295" s="1673"/>
      <c r="D295" s="1674">
        <f>SUM(D229,D279,D280,D285)</f>
        <v>226874</v>
      </c>
      <c r="E295" s="1673"/>
      <c r="F295" s="1673"/>
      <c r="G295" s="1673"/>
      <c r="H295" s="1674">
        <f>H293</f>
        <v>0</v>
      </c>
      <c r="I295" s="1673"/>
      <c r="J295" s="1673"/>
      <c r="K295" s="1674">
        <f>SUM(K229,K279,K280,K285,K293,K294)</f>
        <v>226874</v>
      </c>
      <c r="L295" s="1674">
        <f>SUM(L229,L279,L280,L285,L293,L294)</f>
        <v>248614</v>
      </c>
    </row>
    <row r="296" spans="1:14" ht="13.5" thickTop="1" x14ac:dyDescent="0.2">
      <c r="A296" s="2284" t="s">
        <v>989</v>
      </c>
      <c r="B296" s="2285"/>
      <c r="C296" s="1673"/>
      <c r="D296" s="1675"/>
      <c r="E296" s="1673"/>
      <c r="F296" s="1673"/>
      <c r="G296" s="1673"/>
      <c r="H296" s="1707"/>
      <c r="I296" s="1673"/>
      <c r="J296" s="1673"/>
      <c r="K296" s="1689">
        <f>'Revenues 9-14'!G268-'Expenditures 15-22'!K295</f>
        <v>3421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4" t="s">
        <v>142</v>
      </c>
      <c r="B298" s="228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590709</v>
      </c>
      <c r="H301" s="1573">
        <v>0</v>
      </c>
      <c r="I301" s="1574">
        <v>0</v>
      </c>
      <c r="J301" s="1574">
        <v>0</v>
      </c>
      <c r="K301" s="1672">
        <f>SUM(C301:J301)</f>
        <v>590709</v>
      </c>
      <c r="L301" s="1574">
        <v>600000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590709</v>
      </c>
      <c r="H303" s="1681">
        <f t="shared" si="23"/>
        <v>0</v>
      </c>
      <c r="I303" s="1681">
        <f t="shared" si="23"/>
        <v>0</v>
      </c>
      <c r="J303" s="1681">
        <f t="shared" si="23"/>
        <v>0</v>
      </c>
      <c r="K303" s="1681">
        <f t="shared" si="23"/>
        <v>590709</v>
      </c>
      <c r="L303" s="1681">
        <f t="shared" si="23"/>
        <v>600000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9" t="s">
        <v>275</v>
      </c>
      <c r="B312" s="2300"/>
      <c r="C312" s="1674">
        <f>SUM(C303)</f>
        <v>0</v>
      </c>
      <c r="D312" s="1674">
        <f>SUM(D303)</f>
        <v>0</v>
      </c>
      <c r="E312" s="1674">
        <f>SUM(E303,E310)</f>
        <v>0</v>
      </c>
      <c r="F312" s="1674">
        <f>SUM(F303)</f>
        <v>0</v>
      </c>
      <c r="G312" s="1674">
        <f>SUM(G303)</f>
        <v>590709</v>
      </c>
      <c r="H312" s="1674">
        <f>SUM(H303,H310)</f>
        <v>0</v>
      </c>
      <c r="I312" s="1674">
        <f>SUM(I303)</f>
        <v>0</v>
      </c>
      <c r="J312" s="1674">
        <f>SUM(J303)</f>
        <v>0</v>
      </c>
      <c r="K312" s="1674">
        <f>SUM(K303,K310,K311)</f>
        <v>590709</v>
      </c>
      <c r="L312" s="1674">
        <f>SUM(L303,L310,L311)</f>
        <v>600000</v>
      </c>
      <c r="M312" s="539"/>
      <c r="N312" s="539"/>
    </row>
    <row r="313" spans="1:14" ht="13.5" thickTop="1" x14ac:dyDescent="0.2">
      <c r="A313" s="2295" t="s">
        <v>989</v>
      </c>
      <c r="B313" s="2296"/>
      <c r="C313" s="1677"/>
      <c r="D313" s="1677"/>
      <c r="E313" s="1677"/>
      <c r="F313" s="1677"/>
      <c r="G313" s="1677"/>
      <c r="H313" s="1677"/>
      <c r="I313" s="1677"/>
      <c r="J313" s="1677"/>
      <c r="K313" s="1696">
        <f>'Revenues 9-14'!H268-'Expenditures 15-22'!K312</f>
        <v>-279675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8" t="s">
        <v>148</v>
      </c>
      <c r="B315" s="230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0" t="s">
        <v>892</v>
      </c>
      <c r="B317" s="230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41491</v>
      </c>
      <c r="F320" s="1574">
        <v>0</v>
      </c>
      <c r="G320" s="1574">
        <v>0</v>
      </c>
      <c r="H320" s="1574">
        <v>0</v>
      </c>
      <c r="I320" s="1574">
        <v>0</v>
      </c>
      <c r="J320" s="1574">
        <v>0</v>
      </c>
      <c r="K320" s="1672">
        <f t="shared" ref="K320:K327" si="24">SUM(C320:J320)</f>
        <v>41491</v>
      </c>
      <c r="L320" s="1574">
        <v>50266</v>
      </c>
      <c r="M320" s="539"/>
      <c r="N320" s="539"/>
    </row>
    <row r="321" spans="1:14" s="548" customFormat="1" x14ac:dyDescent="0.2">
      <c r="A321" s="1289" t="s">
        <v>297</v>
      </c>
      <c r="B321" s="567" t="s">
        <v>281</v>
      </c>
      <c r="C321" s="1574">
        <v>0</v>
      </c>
      <c r="D321" s="1574">
        <v>0</v>
      </c>
      <c r="E321" s="1574">
        <v>10462</v>
      </c>
      <c r="F321" s="1574">
        <v>0</v>
      </c>
      <c r="G321" s="1574">
        <v>0</v>
      </c>
      <c r="H321" s="1574">
        <v>0</v>
      </c>
      <c r="I321" s="1574">
        <v>0</v>
      </c>
      <c r="J321" s="1574">
        <v>0</v>
      </c>
      <c r="K321" s="1672">
        <f t="shared" si="24"/>
        <v>10462</v>
      </c>
      <c r="L321" s="1574">
        <v>21855</v>
      </c>
      <c r="M321" s="539"/>
      <c r="N321" s="539"/>
    </row>
    <row r="322" spans="1:14" s="548" customFormat="1" x14ac:dyDescent="0.2">
      <c r="A322" s="1289" t="s">
        <v>236</v>
      </c>
      <c r="B322" s="567" t="s">
        <v>282</v>
      </c>
      <c r="C322" s="1574">
        <v>0</v>
      </c>
      <c r="D322" s="1574">
        <v>0</v>
      </c>
      <c r="E322" s="1574">
        <v>43000</v>
      </c>
      <c r="F322" s="1574">
        <v>0</v>
      </c>
      <c r="G322" s="1574">
        <v>0</v>
      </c>
      <c r="H322" s="1574">
        <v>0</v>
      </c>
      <c r="I322" s="1574">
        <v>0</v>
      </c>
      <c r="J322" s="1574">
        <v>0</v>
      </c>
      <c r="K322" s="1672">
        <f t="shared" si="24"/>
        <v>43000</v>
      </c>
      <c r="L322" s="1574">
        <v>43709</v>
      </c>
      <c r="M322" s="539"/>
      <c r="N322" s="539"/>
    </row>
    <row r="323" spans="1:14" s="548" customFormat="1" x14ac:dyDescent="0.2">
      <c r="A323" s="1289" t="s">
        <v>697</v>
      </c>
      <c r="B323" s="567" t="s">
        <v>283</v>
      </c>
      <c r="C323" s="1574">
        <v>0</v>
      </c>
      <c r="D323" s="1574">
        <v>0</v>
      </c>
      <c r="E323" s="1574">
        <v>15214</v>
      </c>
      <c r="F323" s="1574">
        <v>0</v>
      </c>
      <c r="G323" s="1574">
        <v>0</v>
      </c>
      <c r="H323" s="1574">
        <v>0</v>
      </c>
      <c r="I323" s="1574">
        <v>0</v>
      </c>
      <c r="J323" s="1574">
        <v>0</v>
      </c>
      <c r="K323" s="1672">
        <f t="shared" si="24"/>
        <v>15214</v>
      </c>
      <c r="L323" s="1574">
        <v>17571</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14823</v>
      </c>
      <c r="F325" s="1574">
        <v>0</v>
      </c>
      <c r="G325" s="1574">
        <v>40644</v>
      </c>
      <c r="H325" s="1574">
        <v>0</v>
      </c>
      <c r="I325" s="1574">
        <v>0</v>
      </c>
      <c r="J325" s="1574">
        <v>0</v>
      </c>
      <c r="K325" s="1672">
        <f t="shared" si="24"/>
        <v>55467</v>
      </c>
      <c r="L325" s="1574">
        <v>18865</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10621</v>
      </c>
      <c r="F327" s="1574">
        <v>0</v>
      </c>
      <c r="G327" s="1574">
        <v>0</v>
      </c>
      <c r="H327" s="1574">
        <v>0</v>
      </c>
      <c r="I327" s="1574">
        <v>0</v>
      </c>
      <c r="J327" s="1574">
        <v>0</v>
      </c>
      <c r="K327" s="1672">
        <f t="shared" si="24"/>
        <v>10621</v>
      </c>
      <c r="L327" s="1574">
        <v>20000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135611</v>
      </c>
      <c r="F330" s="1674">
        <f t="shared" si="25"/>
        <v>0</v>
      </c>
      <c r="G330" s="1674">
        <f t="shared" si="25"/>
        <v>40644</v>
      </c>
      <c r="H330" s="1674">
        <f t="shared" si="25"/>
        <v>0</v>
      </c>
      <c r="I330" s="1674">
        <f t="shared" si="25"/>
        <v>0</v>
      </c>
      <c r="J330" s="1674">
        <f t="shared" si="25"/>
        <v>0</v>
      </c>
      <c r="K330" s="1674">
        <f>SUM(K319:K329)</f>
        <v>176255</v>
      </c>
      <c r="L330" s="1674">
        <f>SUM(L319:L329)</f>
        <v>172266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135611</v>
      </c>
      <c r="F342" s="1674">
        <f>SUM(F330)</f>
        <v>0</v>
      </c>
      <c r="G342" s="1674">
        <f>SUM(G330)</f>
        <v>40644</v>
      </c>
      <c r="H342" s="1674">
        <f>SUM(H330,H334,H340)</f>
        <v>0</v>
      </c>
      <c r="I342" s="1674">
        <f>SUM(I330)</f>
        <v>0</v>
      </c>
      <c r="J342" s="1674">
        <f>SUM(J330)</f>
        <v>0</v>
      </c>
      <c r="K342" s="1674">
        <f>SUM(K330,K334,K340)</f>
        <v>176255</v>
      </c>
      <c r="L342" s="1681">
        <f>SUM(L330,L334,L340,L341)</f>
        <v>172266</v>
      </c>
    </row>
    <row r="343" spans="1:14" ht="12.75" customHeight="1" thickTop="1" x14ac:dyDescent="0.2">
      <c r="A343" s="2297" t="s">
        <v>989</v>
      </c>
      <c r="B343" s="2298"/>
      <c r="C343" s="1673"/>
      <c r="D343" s="1673"/>
      <c r="E343" s="1673"/>
      <c r="F343" s="1673"/>
      <c r="G343" s="1673"/>
      <c r="H343" s="1673"/>
      <c r="I343" s="1673"/>
      <c r="J343" s="1673"/>
      <c r="K343" s="1689">
        <f>'Revenues 9-14'!J268-'Expenditures 15-22'!K342</f>
        <v>18658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7" t="s">
        <v>960</v>
      </c>
      <c r="B345" s="228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4378</v>
      </c>
      <c r="F348" s="1573">
        <v>9115</v>
      </c>
      <c r="G348" s="1573">
        <v>0</v>
      </c>
      <c r="H348" s="1573">
        <v>0</v>
      </c>
      <c r="I348" s="1574">
        <v>0</v>
      </c>
      <c r="J348" s="1574">
        <v>0</v>
      </c>
      <c r="K348" s="1672">
        <f>SUM(C348:J348)</f>
        <v>13493</v>
      </c>
      <c r="L348" s="1573">
        <v>89607</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4378</v>
      </c>
      <c r="F350" s="1674">
        <f t="shared" si="26"/>
        <v>9115</v>
      </c>
      <c r="G350" s="1674">
        <f t="shared" si="26"/>
        <v>0</v>
      </c>
      <c r="H350" s="1674">
        <f t="shared" si="26"/>
        <v>0</v>
      </c>
      <c r="I350" s="1674">
        <f t="shared" si="26"/>
        <v>0</v>
      </c>
      <c r="J350" s="1674">
        <f t="shared" si="26"/>
        <v>0</v>
      </c>
      <c r="K350" s="1674">
        <f t="shared" si="26"/>
        <v>13493</v>
      </c>
      <c r="L350" s="1674">
        <f t="shared" si="26"/>
        <v>89607</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4378</v>
      </c>
      <c r="F352" s="1674">
        <f t="shared" si="27"/>
        <v>9115</v>
      </c>
      <c r="G352" s="1674">
        <f t="shared" si="27"/>
        <v>0</v>
      </c>
      <c r="H352" s="1674">
        <f t="shared" si="27"/>
        <v>0</v>
      </c>
      <c r="I352" s="1674">
        <f t="shared" si="27"/>
        <v>0</v>
      </c>
      <c r="J352" s="1674">
        <f t="shared" si="27"/>
        <v>0</v>
      </c>
      <c r="K352" s="1674">
        <f t="shared" si="27"/>
        <v>13493</v>
      </c>
      <c r="L352" s="1674">
        <f t="shared" si="27"/>
        <v>89607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4378</v>
      </c>
      <c r="F367" s="1674">
        <f t="shared" si="28"/>
        <v>9115</v>
      </c>
      <c r="G367" s="1674">
        <f t="shared" si="28"/>
        <v>0</v>
      </c>
      <c r="H367" s="1674">
        <f t="shared" si="28"/>
        <v>0</v>
      </c>
      <c r="I367" s="1674">
        <f t="shared" si="28"/>
        <v>0</v>
      </c>
      <c r="J367" s="1674">
        <f t="shared" si="28"/>
        <v>0</v>
      </c>
      <c r="K367" s="1674">
        <f t="shared" si="28"/>
        <v>13493</v>
      </c>
      <c r="L367" s="1674">
        <f t="shared" si="28"/>
        <v>89607</v>
      </c>
    </row>
    <row r="368" spans="1:14" ht="13.5" thickTop="1" x14ac:dyDescent="0.2">
      <c r="A368" s="2284" t="s">
        <v>989</v>
      </c>
      <c r="B368" s="2285"/>
      <c r="C368" s="1694"/>
      <c r="D368" s="1694"/>
      <c r="E368" s="1677"/>
      <c r="F368" s="1677"/>
      <c r="G368" s="1677"/>
      <c r="H368" s="1677"/>
      <c r="I368" s="1677"/>
      <c r="J368" s="1676"/>
      <c r="K368" s="1672">
        <f>'Revenues 9-14'!K268-'Expenditures 15-22'!K367</f>
        <v>75905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sharepoint/v3"/>
    <ds:schemaRef ds:uri="http://schemas.microsoft.com/office/2006/metadata/properties"/>
    <ds:schemaRef ds:uri="6ce3111e-7420-4802-b50a-75d4e9a0b980"/>
    <ds:schemaRef ds:uri="http://schemas.microsoft.com/office/2006/documentManagement/types"/>
    <ds:schemaRef ds:uri="http://purl.org/dc/elements/1.1/"/>
    <ds:schemaRef ds:uri="http://www.w3.org/XML/1998/namespace"/>
    <ds:schemaRef ds:uri="d21dc803-237d-4c68-8692-8d731fd29118"/>
    <ds:schemaRef ds:uri="http://schemas.microsoft.com/office/infopath/2007/PartnerControls"/>
    <ds:schemaRef ds:uri="4d435f69-8686-490b-bd6d-b153bf22ab5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Sec-3</vt:lpstr>
      <vt:lpstr>Finding 2020-001</vt:lpstr>
      <vt:lpstr>SSPAF</vt:lpstr>
      <vt:lpstr> 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2020-10-12T22:40:29Z</cp:lastPrinted>
  <dcterms:created xsi:type="dcterms:W3CDTF">2003-10-29T19:06:34Z</dcterms:created>
  <dcterms:modified xsi:type="dcterms:W3CDTF">2020-10-29T13:52:07Z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