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4C42E13-CD99-45DB-9CE2-DA36600FCD9A}" xr6:coauthVersionLast="36" xr6:coauthVersionMax="36" xr10:uidLastSave="{00000000-0000-0000-0000-000000000000}"/>
  <bookViews>
    <workbookView xWindow="-24120" yWindow="-120" windowWidth="24240" windowHeight="13140" tabRatio="84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state="hidden" r:id="rId25"/>
    <sheet name="Single Audit Checklist" sheetId="170" state="hidden" r:id="rId26"/>
    <sheet name="SEFA Reconcile" sheetId="171" r:id="rId27"/>
    <sheet name=" SEFA" sheetId="179" state="hidden" r:id="rId28"/>
    <sheet name="SEFA NOTES" sheetId="173" state="hidden" r:id="rId29"/>
    <sheet name="SF&amp;QC Sec-1" sheetId="174" state="hidden" r:id="rId30"/>
    <sheet name="SF&amp;QC Sec-2" sheetId="175" r:id="rId31"/>
    <sheet name="SF&amp;QC Sec-3" sheetId="176" state="hidden"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8" i="127" l="1"/>
  <c r="I33" i="127"/>
  <c r="I11" i="127"/>
  <c r="I22" i="127"/>
  <c r="C124" i="29"/>
  <c r="C5" i="29"/>
  <c r="L33" i="3" l="1"/>
  <c r="L4" i="3"/>
  <c r="C9" i="4" l="1"/>
  <c r="C168" i="5" l="1"/>
  <c r="L39" i="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6" i="127"/>
  <c r="B67" i="127"/>
  <c r="G26" i="108"/>
  <c r="E27" i="108"/>
  <c r="G27" i="108"/>
  <c r="F31"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H28" i="118" l="1"/>
  <c r="H15" i="184"/>
  <c r="F36" i="108"/>
  <c r="F71" i="34"/>
  <c r="F70" i="34"/>
  <c r="B6289" i="106"/>
  <c r="D6289" i="106" s="1"/>
  <c r="H76" i="4"/>
  <c r="B3298" i="106" s="1"/>
  <c r="D3298" i="106" s="1"/>
  <c r="G14" i="4"/>
  <c r="B2609" i="106" s="1"/>
  <c r="D2609" i="106" s="1"/>
  <c r="F72" i="34"/>
  <c r="D69" i="36"/>
  <c r="J210" i="29"/>
  <c r="B7072" i="106" s="1"/>
  <c r="D7072" i="106" s="1"/>
  <c r="I129" i="29"/>
  <c r="B7037" i="106" s="1"/>
  <c r="D7037" i="106" s="1"/>
  <c r="I210" i="29"/>
  <c r="B7071" i="106" s="1"/>
  <c r="D7071" i="106" s="1"/>
  <c r="H33" i="118"/>
  <c r="C352" i="29"/>
  <c r="C367" i="29" s="1"/>
  <c r="B3622" i="106" s="1"/>
  <c r="D3622" i="106" s="1"/>
  <c r="J129" i="29"/>
  <c r="B7038" i="106" s="1"/>
  <c r="D7038" i="106" s="1"/>
  <c r="H342" i="29"/>
  <c r="B7221" i="106" s="1"/>
  <c r="D7221" i="106" s="1"/>
  <c r="C342" i="29"/>
  <c r="B7216" i="106" s="1"/>
  <c r="D7216" i="106" s="1"/>
  <c r="C129" i="29"/>
  <c r="C151" i="29" s="1"/>
  <c r="B1226" i="106" s="1"/>
  <c r="D1226" i="106" s="1"/>
  <c r="F34" i="34"/>
  <c r="B7826" i="106" s="1"/>
  <c r="D7826" i="106" s="1"/>
  <c r="B6995" i="106"/>
  <c r="D6995" i="106" s="1"/>
  <c r="G30" i="108"/>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66" i="106" l="1"/>
  <c r="D1266" i="106" s="1"/>
  <c r="B1225" i="106"/>
  <c r="D1225" i="106" s="1"/>
  <c r="H77" i="4"/>
  <c r="B3299" i="106" s="1"/>
  <c r="D3299" i="106" s="1"/>
  <c r="I7" i="4"/>
  <c r="B4444" i="106" s="1"/>
  <c r="D4444" i="106" s="1"/>
  <c r="J151" i="29"/>
  <c r="B7052" i="106" s="1"/>
  <c r="D7052" i="106" s="1"/>
  <c r="I151" i="29"/>
  <c r="F59" i="34" s="1"/>
  <c r="F66" i="34"/>
  <c r="K365" i="29"/>
  <c r="K16" i="4" s="1"/>
  <c r="B5770" i="106"/>
  <c r="D5770" i="106" s="1"/>
  <c r="K77" i="4"/>
  <c r="B3587" i="106" s="1"/>
  <c r="D3587" i="106" s="1"/>
  <c r="N23" i="3"/>
  <c r="B284" i="106" s="1"/>
  <c r="D284" i="106" s="1"/>
  <c r="J16" i="4"/>
  <c r="B6226" i="106" s="1"/>
  <c r="D6226" i="106" s="1"/>
  <c r="B7235" i="106"/>
  <c r="D7235" i="106" s="1"/>
  <c r="K342" i="29"/>
  <c r="F13" i="34" s="1"/>
  <c r="F41" i="108"/>
  <c r="G43" i="108" s="1"/>
  <c r="B1381" i="106"/>
  <c r="D1381" i="106" s="1"/>
  <c r="B5527" i="106"/>
  <c r="D5527" i="106" s="1"/>
  <c r="N57" i="184"/>
  <c r="N68" i="184" s="1"/>
  <c r="E68" i="184"/>
  <c r="L114" i="29"/>
  <c r="E367" i="29"/>
  <c r="B3636" i="106" s="1"/>
  <c r="D3636" i="106" s="1"/>
  <c r="B3635" i="106"/>
  <c r="D3635" i="106" s="1"/>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K367" i="29"/>
  <c r="B3678" i="106" s="1"/>
  <c r="D3678"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K368" i="29"/>
  <c r="B3681" i="106" s="1"/>
  <c r="D3681" i="106" s="1"/>
  <c r="F8" i="4"/>
  <c r="F10" i="4" s="1"/>
  <c r="B4125" i="106" s="1"/>
  <c r="D4125" i="106" s="1"/>
  <c r="B6223" i="106"/>
  <c r="D6223" i="106" s="1"/>
  <c r="J20" i="4"/>
  <c r="J78" i="4" s="1"/>
  <c r="K17" i="4"/>
  <c r="K20" i="4" s="1"/>
  <c r="B6227" i="106"/>
  <c r="D6227"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6230" i="106"/>
  <c r="D6230" i="106" s="1"/>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8" i="146" l="1"/>
  <c r="D10" i="146"/>
  <c r="B6215" i="106"/>
  <c r="D6215" i="106" s="1"/>
  <c r="J41" i="3"/>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567" i="106"/>
  <c r="D3567" i="106" s="1"/>
  <c r="K41" i="3"/>
  <c r="D51" i="36"/>
  <c r="B6216" i="106"/>
  <c r="D6216" i="106" s="1"/>
  <c r="B2912" i="106"/>
  <c r="D2912" i="106" s="1"/>
  <c r="I41" i="3"/>
  <c r="B212" i="106"/>
  <c r="D212" i="106" s="1"/>
  <c r="H41" i="3"/>
  <c r="D81" i="4"/>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39" i="3" l="1"/>
  <c r="B123" i="106" s="1"/>
  <c r="D123" i="106" s="1"/>
  <c r="B3568" i="106"/>
  <c r="D3568" i="106" s="1"/>
  <c r="D52" i="36"/>
  <c r="D50" i="36"/>
  <c r="B2913" i="106"/>
  <c r="D2913" i="106" s="1"/>
  <c r="B213" i="106"/>
  <c r="D213" i="106" s="1"/>
  <c r="D49" i="36"/>
  <c r="B189" i="106"/>
  <c r="D189" i="106" s="1"/>
  <c r="G41" i="3"/>
  <c r="B170" i="106"/>
  <c r="D170" i="106" s="1"/>
  <c r="F41" i="3"/>
  <c r="B140" i="106"/>
  <c r="D140" i="106" s="1"/>
  <c r="E41" i="3"/>
  <c r="C11" i="146"/>
  <c r="B1644" i="106"/>
  <c r="D1644" i="106" s="1"/>
  <c r="D82" i="4"/>
  <c r="D83" i="4" s="1"/>
  <c r="B6277" i="106" s="1"/>
  <c r="D6277" i="106" s="1"/>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41" i="3" l="1"/>
  <c r="B124" i="106" s="1"/>
  <c r="D124" i="106" s="1"/>
  <c r="D76" i="36"/>
  <c r="D58" i="36"/>
  <c r="B190" i="106"/>
  <c r="D190" i="106" s="1"/>
  <c r="D48" i="36"/>
  <c r="B171" i="106"/>
  <c r="D171" i="106" s="1"/>
  <c r="D47" i="36"/>
  <c r="B141" i="106"/>
  <c r="D141" i="106" s="1"/>
  <c r="D46" i="36"/>
  <c r="B6268" i="106"/>
  <c r="D6268" i="106" s="1"/>
  <c r="D45" i="36"/>
  <c r="O11" i="118"/>
  <c r="O13" i="118" s="1"/>
  <c r="J20" i="118"/>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<sst xmlns="http://schemas.openxmlformats.org/spreadsheetml/2006/main" count="5196" uniqueCount="2122">
  <si>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</si>
  <si>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</si>
  <si>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</si>
  <si>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</si>
  <si>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</si>
  <si>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</si>
  <si>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</si>
  <si>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</si>
  <si>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</si>
  <si>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</si>
  <si>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</si>
  <si>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</si>
  <si>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</si>
  <si>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</si>
  <si>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</si>
  <si>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</si>
  <si>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</si>
  <si>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</si>
  <si>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</si>
  <si>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</si>
  <si>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</si>
  <si>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</si>
  <si>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</si>
  <si>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</si>
  <si>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</si>
  <si>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</si>
  <si>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</si>
  <si>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</si>
  <si>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</si>
  <si>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</si>
  <si>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</si>
  <si>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</si>
  <si>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</si>
  <si>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</si>
  <si>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</si>
  <si>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</si>
  <si>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</si>
  <si>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</si>
  <si>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</si>
  <si>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</si>
  <si>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</si>
  <si>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</si>
  <si>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</si>
  <si>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</si>
  <si>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</si>
  <si>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</si>
  <si>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</si>
  <si>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</si>
  <si>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</si>
  <si>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</si>
  <si>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</si>
  <si>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</si>
  <si>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</si>
  <si>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</si>
  <si>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</si>
  <si>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</si>
  <si>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</si>
  <si>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</si>
  <si>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</si>
  <si>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</si>
  <si>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</si>
  <si>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</si>
  <si>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</si>
  <si>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</si>
  <si>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</si>
  <si>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</si>
  <si>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</si>
  <si>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</si>
  <si>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</si>
  <si>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</si>
  <si>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</si>
  <si>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</si>
  <si>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</si>
  <si>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</si>
  <si>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</si>
  <si>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</si>
  <si>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</si>
  <si>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</si>
  <si>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</si>
  <si>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</si>
  <si>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</si>
  <si>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</si>
  <si>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</si>
  <si>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</si>
  <si>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</si>
  <si>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</si>
  <si>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</si>
  <si>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</si>
  <si>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</si>
  <si>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</si>
  <si>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</si>
  <si>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</si>
  <si>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</si>
  <si>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</si>
  <si>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</si>
  <si>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</si>
  <si>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</si>
  <si>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</si>
  <si>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</si>
  <si>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</si>
  <si>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</si>
  <si>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</si>
  <si>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</si>
  <si>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</si>
  <si>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</si>
  <si>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</si>
  <si>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</si>
  <si>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</si>
  <si>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</si>
  <si>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</si>
  <si>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</si>
  <si>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</si>
  <si>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</si>
  <si>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</si>
  <si>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</si>
  <si>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</si>
  <si>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</si>
  <si>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</si>
  <si>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</si>
  <si>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</si>
  <si>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</si>
  <si>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</si>
  <si>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</si>
  <si>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</si>
  <si>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</si>
  <si>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</si>
  <si>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</si>
  <si>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</si>
  <si>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</si>
  <si>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</si>
  <si>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</si>
  <si>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</si>
  <si>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</si>
  <si>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</si>
  <si>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</si>
  <si>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</si>
  <si>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</si>
  <si>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</si>
  <si>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</si>
  <si>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</si>
  <si>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</si>
  <si>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</si>
  <si>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</si>
  <si>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</si>
  <si>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</si>
  <si>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</si>
  <si>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</si>
  <si>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</si>
  <si>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</si>
  <si>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</si>
  <si>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</si>
  <si>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</si>
  <si>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</si>
  <si>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</si>
  <si>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</si>
  <si>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</si>
  <si>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</si>
  <si>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</si>
  <si>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</si>
  <si>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</si>
  <si>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</si>
  <si>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</si>
  <si>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</si>
  <si>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</si>
  <si>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</si>
  <si>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</si>
  <si>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</si>
  <si>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</si>
  <si>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</si>
  <si>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</si>
  <si>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</si>
  <si>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</si>
  <si>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</si>
  <si>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</si>
  <si>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</si>
  <si>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</si>
  <si>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</si>
  <si>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</si>
  <si>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</si>
  <si>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</si>
  <si>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</si>
  <si>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</si>
  <si>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</si>
  <si>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</si>
  <si>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</si>
  <si>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</si>
  <si>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</si>
  <si>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</si>
  <si>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</si>
  <si>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</si>
  <si>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</si>
  <si>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</si>
  <si>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</si>
  <si>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</si>
  <si>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</si>
  <si>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</si>
  <si>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</si>
  <si>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</si>
  <si>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</si>
  <si>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</si>
  <si>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</si>
  <si>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</si>
  <si>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</si>
  <si>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</si>
  <si>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</si>
  <si>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</si>
  <si>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</si>
  <si>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</si>
  <si>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</si>
  <si>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</si>
  <si>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</si>
  <si>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</si>
  <si>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</si>
  <si>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</si>
  <si>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</si>
  <si>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</si>
  <si>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</si>
  <si>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</si>
  <si>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</si>
  <si>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</si>
  <si>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</si>
  <si>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</si>
  <si>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</si>
  <si>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</si>
  <si>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</si>
  <si>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</si>
  <si>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</si>
  <si>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</si>
  <si>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</si>
  <si>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</si>
  <si>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</si>
  <si>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</si>
  <si>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</si>
  <si>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</si>
  <si>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</si>
  <si>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</si>
  <si>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</si>
  <si>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</si>
  <si>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</si>
  <si>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</si>
  <si>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</si>
  <si>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</si>
  <si>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</si>
  <si>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</si>
  <si>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</si>
  <si>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</si>
  <si>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</si>
  <si>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</si>
  <si>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</si>
  <si>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</si>
  <si>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</si>
  <si>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</si>
  <si>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</si>
  <si>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</si>
  <si>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</si>
  <si>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</si>
  <si>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</si>
  <si>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</si>
  <si>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</si>
  <si>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</si>
  <si>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</si>
  <si>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</si>
  <si>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</si>
  <si>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</si>
  <si>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</si>
  <si>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</si>
  <si>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</si>
  <si>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</si>
  <si>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</si>
  <si>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</si>
  <si>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</si>
  <si>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</si>
  <si>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</si>
  <si>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</si>
  <si>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</si>
  <si>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</si>
  <si>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</si>
  <si>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</si>
  <si>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</si>
  <si>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</si>
  <si>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</si>
  <si>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</si>
  <si>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</si>
  <si>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</si>
  <si>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</si>
  <si>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</si>
  <si>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</si>
  <si>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</si>
  <si>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</si>
  <si>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</si>
  <si>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</si>
  <si>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</si>
  <si>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</si>
  <si>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</si>
  <si>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</si>
  <si>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</si>
  <si>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</si>
  <si>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</si>
  <si>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</si>
  <si>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</si>
  <si>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</si>
  <si>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</si>
  <si>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</si>
  <si>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</si>
  <si>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</si>
  <si>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</si>
  <si>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</si>
  <si>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</si>
  <si>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</si>
  <si>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</si>
  <si>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</si>
  <si>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</si>
  <si>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</si>
  <si>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</si>
  <si>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</si>
  <si>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</si>
  <si>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</si>
  <si>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</si>
  <si>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</si>
  <si>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</si>
  <si>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</si>
  <si>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</si>
  <si>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</si>
  <si>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</si>
  <si>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</si>
  <si>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</si>
  <si>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</si>
  <si>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</si>
  <si>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</si>
  <si>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</si>
  <si>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</si>
  <si>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</si>
  <si>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</si>
  <si>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</si>
  <si>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</si>
  <si>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</si>
  <si>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</si>
  <si>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</si>
  <si>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</si>
  <si>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</si>
  <si>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</si>
  <si>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</si>
  <si>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</si>
  <si>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</si>
  <si>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</si>
  <si>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</si>
  <si>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</si>
  <si>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</si>
  <si>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</si>
  <si>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</si>
  <si>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</si>
  <si>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</si>
  <si>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</si>
  <si>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</si>
  <si>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</si>
  <si>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</si>
  <si>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</si>
  <si>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</si>
  <si>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</si>
  <si>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</si>
  <si>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</si>
  <si>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</si>
  <si>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</si>
  <si>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</si>
  <si>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</si>
  <si>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</si>
  <si>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</si>
  <si>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</si>
  <si>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</si>
  <si>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</si>
  <si>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</si>
  <si>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</si>
  <si>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</si>
  <si>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</si>
  <si>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</si>
  <si>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</si>
  <si>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</si>
  <si>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</si>
  <si>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</si>
  <si>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</si>
  <si>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</si>
  <si>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</si>
  <si>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</si>
  <si>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</si>
  <si>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</si>
  <si>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</si>
  <si>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</si>
  <si>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</si>
  <si>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</si>
  <si>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</si>
  <si>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</si>
  <si>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</si>
  <si>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</si>
  <si>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</si>
  <si>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</si>
  <si>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</si>
  <si>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</si>
  <si>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</si>
  <si>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</si>
  <si>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</si>
  <si>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</si>
  <si>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</si>
  <si>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</si>
  <si>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</si>
  <si>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</si>
  <si>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</si>
  <si>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</si>
  <si>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</si>
  <si>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</si>
  <si>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</si>
  <si>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</si>
  <si>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</si>
  <si>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</si>
  <si>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</si>
  <si>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</si>
  <si>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</si>
  <si>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</si>
  <si>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</si>
  <si>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</si>
  <si>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</si>
  <si>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</si>
  <si>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</si>
  <si>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</si>
  <si>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</si>
  <si>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</si>
  <si>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</si>
  <si>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</si>
  <si>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</si>
  <si>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</si>
  <si>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</si>
  <si>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</si>
  <si>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</si>
  <si>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</si>
  <si>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</si>
  <si>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</si>
  <si>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</si>
  <si>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</si>
  <si>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</si>
  <si>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</si>
  <si>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</si>
  <si>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</si>
  <si>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</si>
  <si>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</si>
  <si>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</si>
  <si>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</si>
  <si>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</si>
  <si>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</si>
  <si>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</si>
  <si>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</si>
  <si>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</si>
  <si>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</si>
  <si>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</si>
  <si>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</si>
  <si>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</si>
  <si>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</si>
  <si>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</si>
  <si>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</si>
  <si>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</si>
  <si>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</si>
  <si>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</si>
  <si>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</si>
  <si>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</si>
  <si>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</si>
  <si>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</si>
  <si>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</si>
  <si>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</si>
  <si>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</si>
  <si>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</si>
  <si>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</si>
  <si>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</si>
  <si>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</si>
  <si>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</si>
  <si>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</si>
  <si>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</si>
  <si>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</si>
  <si>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</si>
  <si>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</si>
  <si>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</si>
  <si>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</si>
  <si>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</si>
  <si>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</si>
  <si>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</si>
  <si>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</si>
  <si>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</si>
  <si>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</si>
  <si>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</si>
  <si>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</si>
  <si>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</si>
  <si>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</si>
  <si>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</si>
  <si>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</si>
  <si>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</si>
  <si>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</si>
  <si>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</si>
  <si>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</si>
  <si>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</si>
  <si>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</si>
  <si>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</si>
  <si>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</si>
  <si>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</si>
  <si>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</si>
  <si>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</si>
  <si>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</si>
  <si>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</si>
  <si>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</si>
  <si>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</si>
  <si>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</si>
  <si>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</si>
  <si>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</si>
  <si>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</si>
  <si>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</si>
  <si>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</si>
  <si>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</si>
  <si>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</si>
  <si>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</si>
  <si>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</si>
  <si>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</si>
  <si>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</si>
  <si>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</si>
  <si>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</si>
  <si>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</si>
  <si>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</si>
  <si>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</si>
  <si>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</si>
  <si>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</si>
  <si>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</si>
  <si>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</si>
  <si>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</si>
  <si>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</si>
  <si>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</si>
  <si>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</si>
  <si>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</si>
  <si>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</si>
  <si>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</si>
  <si>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</si>
  <si>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</si>
  <si>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</si>
  <si>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</si>
  <si>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</si>
  <si>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</si>
  <si>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</si>
  <si>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</si>
  <si>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</si>
  <si>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</si>
  <si>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</si>
  <si>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</si>
  <si>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</si>
  <si>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</si>
  <si>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</si>
  <si>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</si>
  <si>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</si>
  <si>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</si>
  <si>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</si>
  <si>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</si>
  <si>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</si>
  <si>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</si>
  <si>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</si>
  <si>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</si>
  <si>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</si>
  <si>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</si>
  <si>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</si>
  <si>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</si>
  <si>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</si>
  <si>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</si>
  <si>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</si>
  <si>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</si>
  <si>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</si>
  <si>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</si>
  <si>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</si>
  <si>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</si>
  <si>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</si>
  <si>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</si>
  <si>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</si>
  <si>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</si>
  <si>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</si>
  <si>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</si>
  <si>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</si>
  <si>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</si>
  <si>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</si>
  <si>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</si>
  <si>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</si>
  <si>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</si>
  <si>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</si>
  <si>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</si>
  <si>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</si>
  <si>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</si>
  <si>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</si>
  <si>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</si>
  <si>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</si>
  <si>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</si>
  <si>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</si>
  <si>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</si>
  <si>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</si>
  <si>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</si>
  <si>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</si>
  <si>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</si>
  <si>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</si>
  <si>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</si>
  <si>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</si>
  <si>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</si>
  <si>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</si>
  <si>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</si>
  <si>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</si>
  <si>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</si>
  <si>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</si>
  <si>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</si>
  <si>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</si>
  <si>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</si>
  <si>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</si>
  <si>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</si>
  <si>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</si>
  <si>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</si>
  <si>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</si>
  <si>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</si>
  <si>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</si>
  <si>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</si>
  <si>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</si>
  <si>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</si>
  <si>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</si>
  <si>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</si>
  <si>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</si>
  <si>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</si>
  <si>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</si>
  <si>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</si>
  <si>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</si>
  <si>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</si>
  <si>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</si>
  <si>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</si>
  <si>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</si>
  <si>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</si>
  <si>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</si>
  <si>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</si>
  <si>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</si>
  <si>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</si>
  <si>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</si>
  <si>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</si>
  <si>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</si>
  <si>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</si>
  <si>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</si>
  <si>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</si>
  <si>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</si>
  <si>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</si>
  <si>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</si>
  <si>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</si>
  <si>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</si>
  <si>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</si>
  <si>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</si>
  <si>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</si>
  <si>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</si>
  <si>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</si>
  <si>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</si>
  <si>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</si>
  <si>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</si>
  <si>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</si>
  <si>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</si>
  <si>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</si>
  <si>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</si>
  <si>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</si>
  <si>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</si>
  <si>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</si>
  <si>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</si>
  <si>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</si>
  <si>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</si>
  <si>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</si>
  <si>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</si>
  <si>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</si>
  <si>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</si>
  <si>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</si>
  <si>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</si>
  <si>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</si>
  <si>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</si>
  <si>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</si>
  <si>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</si>
  <si>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</si>
  <si>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</si>
  <si>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</si>
  <si>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</si>
  <si>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</si>
  <si>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</si>
  <si>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</si>
  <si>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</si>
  <si>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</si>
  <si>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</si>
  <si>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</si>
  <si>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</si>
  <si>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</si>
  <si>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</si>
  <si>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</si>
  <si>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</si>
  <si>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</si>
  <si>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</si>
  <si>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</si>
  <si>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</si>
  <si>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</si>
  <si>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</si>
  <si>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</si>
  <si>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</si>
  <si>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</si>
  <si>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</si>
  <si>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</si>
  <si>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</si>
  <si>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</si>
  <si>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</si>
  <si>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</si>
  <si>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</si>
  <si>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</si>
  <si>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</si>
  <si>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</si>
  <si>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</si>
  <si>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</si>
  <si>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</si>
  <si>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</si>
  <si>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</si>
  <si>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</si>
  <si>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</si>
  <si>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</si>
  <si>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</si>
  <si>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</si>
  <si>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</si>
  <si>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</si>
  <si>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</si>
  <si>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</si>
  <si>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</si>
  <si>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</si>
  <si>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</si>
  <si>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</si>
  <si>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</si>
  <si>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</si>
  <si>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</si>
  <si>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</si>
  <si>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</si>
  <si>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</si>
  <si>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</si>
  <si>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</si>
  <si>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</si>
  <si>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</si>
  <si>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</si>
  <si>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</si>
  <si>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</si>
  <si>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</si>
  <si>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</si>
  <si>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</si>
  <si>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</si>
  <si>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</si>
  <si>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</si>
  <si>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</si>
  <si>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</si>
  <si>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</si>
  <si>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</si>
  <si>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</si>
  <si>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</si>
  <si>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</si>
  <si>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</si>
  <si>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</si>
  <si>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</si>
  <si>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</si>
  <si>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</si>
  <si>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</si>
  <si>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</si>
  <si>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</si>
  <si>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</si>
  <si>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</si>
  <si>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</si>
  <si>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</si>
  <si>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</si>
  <si>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</si>
  <si>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</si>
  <si>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</si>
  <si>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</si>
  <si>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</si>
  <si>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</si>
  <si>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</si>
  <si>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</si>
  <si>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</si>
  <si>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</si>
  <si>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</si>
  <si>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</si>
  <si>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</si>
  <si>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</si>
  <si>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</si>
  <si>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</si>
  <si>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</si>
  <si>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</si>
  <si>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</si>
  <si>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</si>
  <si>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</si>
  <si>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</si>
  <si>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</si>
  <si>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</si>
  <si>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</si>
  <si>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</si>
  <si>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</si>
  <si>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</si>
  <si>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</si>
  <si>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</si>
  <si>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</si>
  <si>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</si>
  <si>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</si>
  <si>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</si>
  <si>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</si>
  <si>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</si>
  <si>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</si>
  <si>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</si>
  <si>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</si>
  <si>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</si>
  <si>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</si>
  <si>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</si>
  <si>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</si>
  <si>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</si>
  <si>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</si>
  <si>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</si>
  <si>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</si>
  <si>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</si>
  <si>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</si>
  <si>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</si>
  <si>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</si>
  <si>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</si>
  <si>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</si>
  <si>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</si>
  <si>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</si>
  <si>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</si>
  <si>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</si>
  <si>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</si>
  <si>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</si>
  <si>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</si>
  <si>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</si>
  <si>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</si>
  <si>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</si>
  <si>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</si>
  <si>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</si>
  <si>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</si>
  <si>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</si>
  <si>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</si>
  <si>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</si>
  <si>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</si>
  <si>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</si>
  <si>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</si>
  <si>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</si>
  <si>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</si>
  <si>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</si>
  <si>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</si>
  <si>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</si>
  <si>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</si>
  <si>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</si>
  <si>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</si>
  <si>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</si>
  <si>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</si>
  <si>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</si>
  <si>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</si>
  <si>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</si>
  <si>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</si>
  <si>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</si>
  <si>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</si>
  <si>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</si>
  <si>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</si>
  <si>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</si>
  <si>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</si>
  <si>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</si>
  <si>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</si>
  <si>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</si>
  <si>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</si>
  <si>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</si>
  <si>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</si>
  <si>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</si>
  <si>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</si>
  <si>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</si>
  <si>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</si>
  <si>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</si>
  <si>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</si>
  <si>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</si>
  <si>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</si>
  <si>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</si>
  <si>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</si>
  <si>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</si>
  <si>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</si>
  <si>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</si>
  <si>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</si>
  <si>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</si>
  <si>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</si>
  <si>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</si>
  <si>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</si>
  <si>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</si>
  <si>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</si>
  <si>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</si>
  <si>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</si>
  <si>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</si>
  <si>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</si>
  <si>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</si>
  <si>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</si>
  <si>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</si>
  <si>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</si>
  <si>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</si>
  <si>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</si>
  <si>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</si>
  <si>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</si>
  <si>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</si>
  <si>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</si>
  <si>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</si>
  <si>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</si>
  <si>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</si>
  <si>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</si>
  <si>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</si>
  <si>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</si>
  <si>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</si>
  <si>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</si>
  <si>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</si>
  <si>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</si>
  <si>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</si>
  <si>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</si>
  <si>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</si>
  <si>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</si>
  <si>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</si>
  <si>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</si>
  <si>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</si>
  <si>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</si>
  <si>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</si>
  <si>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</si>
  <si>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</si>
  <si>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</si>
  <si>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</si>
  <si>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</si>
  <si>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</si>
  <si>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</si>
  <si>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</si>
  <si>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</si>
  <si>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</si>
  <si>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</si>
  <si>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</si>
  <si>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</si>
  <si>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</si>
  <si>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</si>
  <si>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</si>
  <si>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</si>
  <si>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</si>
  <si>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</si>
  <si>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</si>
  <si>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</si>
  <si>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</si>
  <si>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</si>
  <si>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</si>
  <si>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</si>
  <si>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</si>
  <si>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</si>
  <si>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</si>
  <si>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</si>
  <si>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</si>
  <si>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</si>
  <si>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</si>
  <si>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</si>
  <si>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</si>
  <si>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</si>
  <si>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</si>
  <si>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</si>
  <si>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</si>
  <si>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</si>
  <si>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</si>
  <si>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</si>
  <si>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</si>
  <si>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</si>
  <si>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</si>
  <si>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</si>
  <si>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</si>
  <si>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</si>
  <si>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</si>
  <si>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</si>
  <si>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</si>
  <si>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</si>
  <si>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</si>
  <si>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</si>
  <si>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</si>
  <si>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</si>
  <si>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</si>
  <si>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</si>
  <si>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</si>
  <si>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</si>
  <si>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</si>
  <si>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</si>
  <si>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</si>
  <si>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</si>
  <si>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</si>
  <si>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</si>
  <si>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</si>
  <si>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</si>
  <si>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</si>
  <si>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</si>
  <si>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</si>
  <si>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</si>
  <si>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</si>
  <si>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</si>
  <si>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</si>
  <si>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</si>
  <si>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</si>
  <si>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</si>
  <si>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</si>
  <si>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</si>
  <si>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</si>
  <si>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</si>
  <si>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</si>
  <si>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</si>
  <si>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</si>
  <si>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</si>
  <si>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</si>
  <si>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</si>
  <si>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</si>
  <si>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</si>
  <si>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</si>
  <si>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</si>
  <si>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</si>
  <si>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</si>
  <si>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</si>
  <si>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</si>
  <si>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</si>
  <si>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</si>
  <si>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</si>
  <si>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</si>
  <si>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</si>
  <si>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</si>
  <si>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</si>
  <si>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</si>
  <si>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</si>
  <si>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</si>
  <si>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</si>
  <si>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</si>
  <si>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</si>
  <si>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</si>
  <si>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</si>
  <si>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</si>
  <si>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</si>
  <si>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</si>
  <si>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</si>
  <si>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</si>
  <si>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</si>
  <si>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</si>
  <si>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</si>
  <si>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</si>
  <si>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</si>
  <si>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</si>
  <si>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</si>
  <si>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</si>
  <si>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</si>
  <si>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</si>
  <si>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</si>
  <si>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</si>
  <si>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</si>
  <si>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</si>
  <si>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</si>
  <si>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</si>
  <si>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</si>
  <si>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</si>
  <si>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</si>
  <si>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</si>
  <si>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</si>
  <si>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</si>
  <si>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</si>
  <si>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</si>
  <si>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</si>
  <si>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</si>
  <si>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</si>
  <si>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</si>
  <si>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</si>
  <si>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</si>
  <si>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</si>
  <si>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</si>
  <si>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</si>
  <si>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</si>
  <si>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</si>
  <si>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</si>
  <si>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</si>
  <si>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</si>
  <si>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</si>
  <si>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</si>
  <si>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</si>
  <si>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</si>
  <si>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</si>
  <si>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</si>
  <si>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</si>
  <si>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</si>
  <si>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</si>
  <si>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</si>
  <si>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</si>
  <si>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</si>
  <si>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</si>
  <si>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</si>
  <si>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</si>
  <si>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</si>
  <si>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</si>
  <si>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</si>
  <si>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</si>
  <si>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</si>
  <si>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</si>
  <si>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</si>
  <si>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</si>
  <si>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</si>
  <si>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</si>
  <si>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</si>
  <si>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</si>
  <si>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</si>
  <si>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</si>
  <si>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</si>
  <si>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</si>
  <si>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</si>
  <si>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</si>
  <si>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</si>
  <si>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</si>
  <si>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</si>
  <si>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</si>
  <si>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</si>
  <si>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</si>
  <si>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</si>
  <si>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</si>
  <si>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</si>
  <si>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</si>
  <si>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</si>
  <si>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</si>
  <si>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</si>
  <si>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</si>
  <si>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</si>
  <si>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</si>
  <si>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</si>
  <si>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</si>
  <si>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</si>
  <si>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</si>
  <si>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</si>
  <si>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</si>
  <si>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</si>
  <si>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</si>
  <si>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</si>
  <si>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</si>
  <si>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</si>
  <si>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</si>
  <si>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</si>
  <si>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</si>
  <si>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</si>
  <si>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</si>
  <si>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</si>
  <si>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</si>
  <si>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</si>
  <si>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</si>
  <si>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</si>
  <si>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</si>
  <si>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</si>
  <si>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</si>
  <si>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</si>
  <si>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</si>
  <si>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</si>
  <si>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</si>
  <si>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</si>
  <si>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</si>
  <si>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</si>
  <si>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</si>
  <si>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</si>
  <si>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</si>
  <si>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</si>
  <si>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</si>
  <si>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</si>
  <si>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</si>
  <si>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</si>
  <si>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</si>
  <si>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</si>
  <si>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</si>
  <si>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</si>
  <si>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</si>
  <si>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</si>
  <si>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</si>
  <si>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</si>
  <si>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</si>
  <si>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</si>
  <si>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</si>
  <si>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</si>
  <si>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</si>
  <si>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</si>
  <si>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</si>
  <si>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</si>
  <si>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</si>
  <si>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</si>
  <si>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</si>
  <si>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</si>
  <si>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</si>
  <si>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</si>
  <si>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</si>
  <si>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</si>
  <si>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</si>
  <si>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</si>
  <si>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</si>
  <si>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</si>
  <si>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</si>
  <si>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</si>
  <si>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</si>
  <si>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</si>
  <si>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</si>
  <si>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</si>
  <si>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</si>
  <si>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</si>
  <si>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</si>
  <si>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</si>
  <si>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</si>
  <si>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</si>
  <si>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</si>
  <si>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</si>
  <si>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</si>
  <si>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</si>
  <si>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</si>
  <si>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</si>
  <si>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</si>
  <si>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</si>
  <si>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</si>
  <si>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</si>
  <si>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</si>
  <si>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</si>
  <si>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</si>
  <si>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</si>
  <si>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</si>
  <si>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</si>
  <si>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</si>
  <si>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</si>
  <si>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</si>
  <si>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</si>
  <si>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</si>
  <si>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</si>
  <si>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</si>
  <si>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</si>
  <si>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</si>
  <si>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</si>
  <si>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</si>
  <si>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</si>
  <si>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</si>
  <si>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</si>
  <si>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</si>
  <si>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</si>
  <si>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</si>
  <si>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</si>
  <si>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</si>
  <si>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</si>
  <si>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</si>
  <si>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</si>
  <si>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</si>
  <si>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</si>
  <si>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</si>
  <si>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</si>
  <si>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</si>
  <si>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</si>
  <si>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</si>
  <si>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</si>
  <si>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</si>
  <si>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</si>
  <si>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</si>
  <si>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</si>
  <si>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</si>
  <si>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</si>
  <si>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</si>
  <si>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</si>
  <si>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</si>
  <si>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</si>
  <si>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</si>
  <si>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</si>
  <si>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</si>
  <si>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</si>
  <si>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</si>
  <si>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</si>
  <si>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</si>
  <si>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</si>
  <si>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</si>
  <si>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</si>
  <si>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</si>
  <si>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</si>
  <si>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</si>
  <si>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</si>
  <si>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</si>
  <si>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</si>
  <si>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</si>
  <si>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</si>
  <si>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</si>
  <si>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</si>
  <si>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</si>
  <si>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</si>
  <si>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</si>
  <si>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</si>
  <si>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</si>
  <si>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</si>
  <si>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</si>
  <si>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</si>
  <si>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</si>
  <si>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</si>
  <si>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</si>
  <si>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</si>
  <si>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</si>
  <si>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</si>
  <si>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</si>
  <si>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</si>
  <si>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</si>
  <si>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</si>
  <si>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</si>
  <si>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</si>
  <si>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</si>
  <si>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</si>
  <si>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</si>
  <si>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</si>
  <si>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</si>
  <si>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</si>
  <si>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</si>
  <si>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</si>
  <si>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</si>
  <si>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</si>
  <si>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</si>
  <si>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</si>
  <si>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</si>
  <si>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</si>
  <si>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</si>
  <si>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</si>
  <si>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</si>
  <si>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</si>
  <si>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</si>
  <si>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</si>
  <si>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</si>
  <si>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</si>
  <si>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</si>
  <si>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</si>
  <si>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</si>
  <si>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</si>
  <si>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</si>
  <si>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</si>
  <si>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</si>
  <si>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</si>
  <si>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</si>
  <si>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</si>
  <si>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</si>
  <si>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</si>
  <si>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</si>
  <si>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</si>
  <si>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</si>
  <si>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</si>
  <si>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</si>
  <si>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</si>
  <si>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</si>
  <si>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</si>
  <si>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</si>
  <si>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</si>
  <si>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</si>
  <si>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</si>
  <si>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</si>
  <si>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</si>
  <si>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</si>
  <si>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</si>
  <si>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</si>
  <si>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</si>
  <si>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</si>
  <si>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</si>
  <si>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</si>
  <si>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</si>
  <si>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</si>
  <si>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</si>
  <si>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</si>
  <si>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</si>
  <si>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</si>
  <si>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</si>
  <si>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</si>
  <si>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</si>
  <si>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</si>
  <si>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</si>
  <si>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</si>
  <si>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</si>
  <si>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</si>
  <si>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</si>
  <si>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</si>
  <si>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</si>
  <si>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</si>
  <si>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</si>
  <si>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</si>
  <si>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</si>
  <si>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</si>
  <si>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</si>
  <si>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</si>
  <si>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</si>
  <si>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</si>
  <si>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</si>
  <si>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</si>
  <si>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</si>
  <si>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</si>
  <si>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</si>
  <si>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</si>
  <si>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</si>
  <si>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</si>
  <si>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</si>
  <si>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</si>
  <si>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</si>
  <si>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</si>
  <si>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</si>
  <si>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</si>
  <si>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</si>
  <si>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</si>
  <si>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</si>
  <si>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</si>
  <si>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</si>
  <si>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</si>
  <si>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</si>
  <si>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</si>
  <si>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</si>
  <si>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</si>
  <si>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</si>
  <si>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</si>
  <si>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</si>
  <si>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</si>
  <si>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</si>
  <si>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</si>
  <si>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</si>
  <si>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</si>
  <si>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</si>
  <si>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</si>
  <si>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</si>
  <si>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</si>
  <si>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</si>
  <si>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</si>
  <si>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</si>
  <si>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</si>
  <si>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</si>
  <si>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</si>
  <si>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</si>
  <si>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</si>
  <si>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</si>
  <si>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</si>
  <si>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</si>
  <si>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</si>
  <si>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</si>
  <si>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</si>
  <si>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</si>
  <si>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</si>
  <si>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</si>
  <si>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</si>
  <si>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</si>
  <si>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</si>
  <si>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</si>
  <si>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</si>
  <si>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</si>
  <si>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</si>
  <si>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</si>
  <si>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</si>
  <si>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</si>
  <si>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</si>
  <si>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</si>
  <si>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</si>
  <si>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</si>
  <si>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</si>
  <si>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</si>
  <si>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</si>
  <si>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</si>
  <si>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</si>
  <si>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</si>
  <si>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</si>
  <si>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</si>
  <si>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</si>
  <si>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</si>
  <si>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</si>
  <si>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</si>
  <si>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</si>
  <si>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</si>
  <si>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</si>
  <si>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</si>
  <si>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</si>
  <si>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</si>
  <si>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</si>
  <si>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</si>
  <si>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</si>
  <si>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</si>
  <si>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</si>
  <si>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</si>
  <si>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</si>
  <si>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</si>
  <si>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</si>
  <si>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</si>
  <si>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</si>
  <si>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</si>
  <si>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</si>
  <si>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</si>
  <si>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</si>
  <si>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</si>
  <si>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</si>
  <si>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</si>
  <si>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</si>
  <si>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</si>
  <si>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</si>
  <si>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</si>
  <si>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</si>
  <si>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</si>
  <si>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</si>
  <si>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</si>
  <si>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</si>
  <si>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</si>
  <si>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</si>
  <si>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</si>
  <si>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</si>
  <si>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</si>
  <si>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</si>
  <si>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</si>
  <si>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</si>
  <si>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</si>
  <si>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</si>
  <si>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</si>
  <si>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</si>
  <si>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</si>
  <si>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</si>
  <si>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</si>
  <si>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</si>
  <si>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</si>
  <si>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</si>
  <si>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</si>
  <si>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</si>
  <si>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</si>
  <si>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</si>
  <si>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</si>
  <si>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</si>
  <si>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</si>
  <si>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</si>
  <si>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</si>
  <si>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</si>
  <si>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</si>
  <si>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</si>
  <si>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</si>
  <si>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</si>
  <si>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</si>
  <si>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</si>
  <si>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</si>
  <si>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</si>
  <si>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</si>
  <si>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</si>
  <si>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</si>
  <si>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</si>
  <si>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</si>
  <si>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</si>
  <si>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</si>
  <si>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</si>
  <si>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</si>
  <si>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</si>
  <si>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</si>
  <si>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</si>
  <si>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</si>
  <si>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</si>
  <si>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</si>
  <si>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</si>
  <si>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</si>
  <si>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</si>
  <si>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</si>
  <si>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</si>
  <si>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</si>
  <si>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</si>
  <si>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</si>
  <si>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</si>
  <si>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</si>
  <si>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</si>
  <si>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</si>
  <si>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</si>
  <si>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</si>
  <si>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</si>
  <si>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</si>
  <si>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</si>
  <si>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</si>
  <si>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</si>
  <si>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</si>
  <si>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</si>
  <si>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</si>
  <si>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</si>
  <si>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</si>
  <si>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</si>
  <si>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</si>
  <si>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</si>
  <si>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</si>
  <si>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</si>
  <si>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</si>
  <si>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</si>
  <si>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</si>
  <si>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</si>
  <si>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</si>
  <si>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</si>
  <si>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</si>
  <si>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</si>
  <si>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</si>
  <si>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</si>
  <si>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</si>
  <si>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</si>
  <si>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</si>
  <si>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</si>
  <si>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</si>
  <si>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</si>
  <si>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</si>
  <si>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</si>
  <si>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</si>
  <si>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</si>
  <si>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</si>
  <si>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</si>
  <si>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</si>
  <si>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</si>
  <si>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</si>
  <si>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</si>
  <si>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</si>
  <si>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</si>
  <si>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</si>
  <si>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</si>
  <si>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</si>
  <si>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</si>
  <si>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</si>
  <si>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</si>
  <si>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</si>
  <si>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</si>
  <si>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</si>
  <si>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</si>
  <si>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</si>
  <si>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</si>
  <si>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</si>
  <si>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</si>
  <si>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</si>
  <si>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</si>
  <si>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</si>
  <si>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</si>
  <si>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</si>
  <si>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</si>
  <si>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</si>
  <si>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</si>
  <si>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</si>
  <si>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</si>
  <si>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</si>
  <si>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</si>
  <si>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</si>
  <si>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</si>
  <si>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</si>
  <si>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</si>
  <si>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</si>
  <si>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</si>
  <si>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</si>
  <si>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</si>
  <si>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</si>
  <si>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</si>
  <si>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</si>
  <si>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</si>
  <si>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</si>
  <si>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</si>
  <si>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</si>
  <si>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</si>
  <si>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</si>
  <si>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</si>
  <si>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</si>
  <si>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</si>
  <si>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</si>
  <si>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</si>
  <si>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</si>
  <si>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</si>
  <si>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</si>
  <si>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</si>
  <si>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</si>
  <si>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</si>
  <si>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</si>
  <si>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</si>
  <si>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</si>
  <si>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</si>
  <si>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</si>
  <si>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</si>
  <si>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</si>
  <si>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</si>
  <si>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</si>
  <si>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</si>
  <si>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</si>
  <si>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</si>
  <si>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</si>
  <si>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</si>
  <si>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</si>
  <si>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</si>
  <si>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</si>
  <si>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</si>
  <si>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</si>
  <si>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</si>
  <si>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</si>
  <si>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</si>
  <si>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</si>
  <si>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</si>
  <si>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</si>
  <si>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</si>
  <si>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</si>
  <si>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</si>
  <si>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</si>
  <si>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</si>
  <si>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</si>
  <si>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</si>
  <si>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</si>
  <si>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</si>
  <si>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</si>
  <si>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</si>
  <si>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</si>
  <si>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</si>
  <si>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</si>
  <si>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</si>
  <si>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</si>
  <si>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</si>
  <si>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</si>
  <si>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</si>
  <si>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</si>
  <si>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</si>
  <si>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</si>
  <si>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</si>
  <si>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</si>
  <si>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</si>
  <si>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</si>
  <si>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</si>
  <si>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</si>
  <si>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</si>
  <si>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</si>
  <si>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</si>
  <si>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</si>
  <si>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</si>
  <si>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</si>
  <si>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</si>
  <si>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</si>
  <si>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</si>
  <si>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</si>
  <si>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</si>
  <si>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</si>
  <si>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</si>
  <si>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</si>
  <si>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</si>
  <si>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</si>
  <si>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</si>
  <si>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</si>
  <si>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</si>
  <si>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</si>
  <si>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</si>
  <si>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</si>
  <si>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</si>
  <si>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</si>
  <si>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</si>
  <si>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</si>
  <si>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</si>
  <si>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</si>
  <si>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</si>
  <si>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</si>
  <si>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</si>
  <si>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</si>
  <si>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</si>
  <si>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</si>
  <si>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</si>
  <si>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</si>
  <si>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</si>
  <si>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</si>
  <si>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</si>
  <si>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</si>
  <si>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</si>
  <si>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</si>
  <si>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</si>
  <si>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</si>
  <si>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</si>
  <si>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</si>
  <si>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</si>
  <si>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</si>
  <si>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</si>
  <si>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</si>
  <si>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</si>
  <si>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</si>
  <si>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</si>
  <si>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</si>
  <si>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</si>
  <si>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</si>
  <si>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</si>
  <si>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</si>
  <si>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</si>
  <si>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</si>
  <si>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</si>
  <si>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</si>
  <si>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</si>
  <si>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</si>
  <si>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</si>
  <si>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</si>
  <si>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</si>
  <si>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</si>
  <si>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</si>
  <si>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</si>
  <si>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</si>
  <si>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</si>
  <si>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</si>
  <si>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</si>
  <si>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</si>
  <si>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</si>
  <si>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</si>
  <si>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</si>
  <si>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</si>
  <si>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</si>
  <si>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</si>
  <si>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</si>
  <si>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</si>
  <si>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</si>
  <si>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</si>
  <si>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</si>
  <si>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</si>
  <si>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</si>
  <si>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</si>
  <si>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</si>
  <si>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</si>
  <si>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</si>
  <si>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</si>
  <si>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</si>
  <si>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</si>
  <si>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</si>
  <si>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</si>
  <si>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</si>
  <si>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</si>
  <si>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</si>
  <si>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</si>
  <si>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</si>
  <si>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</si>
  <si>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</si>
  <si>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</si>
  <si>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</si>
  <si>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</si>
  <si>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</si>
  <si>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</si>
  <si>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</si>
  <si>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</si>
  <si>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</si>
  <si>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</si>
  <si>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</si>
  <si>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</si>
  <si>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</si>
  <si>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</si>
  <si>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</si>
  <si>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</si>
  <si>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</si>
  <si>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</si>
  <si>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</si>
  <si>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</si>
  <si>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</si>
  <si>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</si>
  <si>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</si>
  <si>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</si>
  <si>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</si>
  <si>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</si>
  <si>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</si>
  <si>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</si>
  <si>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</si>
  <si>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</si>
  <si>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</si>
  <si>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</si>
  <si>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</si>
  <si>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</si>
  <si>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</si>
  <si>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</si>
  <si>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</si>
  <si>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</si>
  <si>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</si>
  <si>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</si>
  <si>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</si>
  <si>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</si>
  <si>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</si>
  <si>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</si>
  <si>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</si>
  <si>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</si>
  <si>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</si>
  <si>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</si>
  <si>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</si>
  <si>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</si>
  <si>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</si>
  <si>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</si>
  <si>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</si>
  <si>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</si>
  <si>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</si>
  <si>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</si>
  <si>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</si>
  <si>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</si>
  <si>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</si>
  <si>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</si>
  <si>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</si>
  <si>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</si>
  <si>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</si>
  <si>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</si>
  <si>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</si>
  <si>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</si>
  <si>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</si>
  <si>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</si>
  <si>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</si>
  <si>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</si>
  <si>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</si>
  <si>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</si>
  <si>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</si>
  <si>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</si>
  <si>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</si>
  <si>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</si>
  <si>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</si>
  <si>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</si>
  <si>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</si>
  <si>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</si>
  <si>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</si>
  <si>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</si>
  <si>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</si>
  <si>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</si>
  <si>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</si>
  <si>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</si>
  <si>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</si>
  <si>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</si>
  <si>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</si>
  <si>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</si>
  <si>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</si>
  <si>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</si>
  <si>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</si>
  <si>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</si>
  <si>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</si>
  <si>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</si>
  <si>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</si>
  <si>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</si>
  <si>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</si>
  <si>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</si>
  <si>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</si>
  <si>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</si>
  <si>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</si>
  <si>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</si>
  <si>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</si>
  <si>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</si>
  <si>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</si>
  <si>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</si>
  <si>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</si>
  <si>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</si>
  <si>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</si>
  <si>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</si>
  <si>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</si>
  <si>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</si>
  <si>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</si>
  <si>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</si>
  <si>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</si>
  <si>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</si>
  <si>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</si>
  <si>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</si>
  <si>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</si>
  <si>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</si>
  <si>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</si>
  <si>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</si>
  <si>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</si>
  <si>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</si>
  <si>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</si>
  <si>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</si>
  <si>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</si>
  <si>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</si>
  <si>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</si>
  <si>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</si>
  <si>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</si>
  <si>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</si>
  <si>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</si>
  <si>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</si>
  <si>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</si>
  <si>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</si>
  <si>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</si>
  <si>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</si>
  <si>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</si>
  <si>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</si>
  <si>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</si>
  <si>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</si>
  <si>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</si>
  <si>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</si>
  <si>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</si>
  <si>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</si>
  <si>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</si>
  <si>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</si>
  <si>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</si>
  <si>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</si>
  <si>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</si>
  <si>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</si>
  <si>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</si>
  <si>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</si>
  <si>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</si>
  <si>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</si>
  <si>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</si>
  <si>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</si>
  <si>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</si>
  <si>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</si>
  <si>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</si>
  <si>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</si>
  <si>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</si>
  <si>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</si>
  <si>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</si>
  <si>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</si>
  <si>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</si>
  <si>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</si>
  <si>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</si>
  <si>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</si>
  <si>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</si>
  <si>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</si>
  <si>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</si>
  <si>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</si>
  <si>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</si>
  <si>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</si>
  <si>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</si>
  <si>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</si>
  <si>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</si>
  <si>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</si>
  <si>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</si>
  <si>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</si>
  <si>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</si>
  <si>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</si>
  <si>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</si>
  <si>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</si>
  <si>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</si>
  <si>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</si>
  <si>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</si>
  <si>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</si>
  <si>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</si>
  <si>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</si>
  <si>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</si>
  <si>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</si>
  <si>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</si>
  <si>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</si>
  <si>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</si>
  <si>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</si>
  <si>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</si>
  <si>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</si>
  <si>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</si>
  <si>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</si>
  <si>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</si>
  <si>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</si>
  <si>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</si>
  <si>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</si>
  <si>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</si>
  <si>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</si>
  <si>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</si>
  <si>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</si>
  <si>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</si>
  <si>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</si>
  <si>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</si>
  <si>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</si>
  <si>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</si>
  <si>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</si>
  <si>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</si>
  <si>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</si>
  <si>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</si>
  <si>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</si>
  <si>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</si>
  <si>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</si>
  <si>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</si>
  <si>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</si>
  <si>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</si>
  <si>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</si>
  <si>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</si>
  <si>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</si>
  <si>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</si>
  <si>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</si>
  <si>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</si>
  <si>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</si>
  <si>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</si>
  <si>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</si>
  <si>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</si>
  <si>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</si>
  <si>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</si>
  <si>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</si>
  <si>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</si>
  <si>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</si>
  <si>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</si>
  <si>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</si>
  <si>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</si>
  <si>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</si>
  <si>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</si>
  <si>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</si>
  <si>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112 S Main Street</t>
  </si>
  <si>
    <t>Washington</t>
  </si>
  <si>
    <t>IL</t>
  </si>
  <si>
    <t>309 444-4909</t>
  </si>
  <si>
    <t>309 444-8580</t>
  </si>
  <si>
    <t>066-004355</t>
  </si>
  <si>
    <t>X</t>
  </si>
  <si>
    <t>Tazewell/Logan</t>
  </si>
  <si>
    <t>907 Locust Street</t>
  </si>
  <si>
    <t xml:space="preserve">Delavan  </t>
  </si>
  <si>
    <t>brooksa@delavanschools.com</t>
  </si>
  <si>
    <t>x</t>
  </si>
  <si>
    <t>Dr. Andrew Brooks</t>
  </si>
  <si>
    <t>309-244-8285</t>
  </si>
  <si>
    <t>309-244-7301</t>
  </si>
  <si>
    <t>Aaron Phillips</t>
  </si>
  <si>
    <t>aphillips@psa-cpa.com</t>
  </si>
  <si>
    <t>Building Bonds - Series 2015</t>
  </si>
  <si>
    <t>Lighting Lease</t>
  </si>
  <si>
    <t>Capital Lease</t>
  </si>
  <si>
    <t>Aramark</t>
  </si>
  <si>
    <t>Tazewell-Mason Counties Special Education</t>
  </si>
  <si>
    <t>Tri-com Systems &amp; Consulting</t>
  </si>
  <si>
    <t>Midwest Transit Equipment, Santander Leasing</t>
  </si>
  <si>
    <t>Children's Home</t>
  </si>
  <si>
    <t>Tazewell-Mason Special Education</t>
  </si>
  <si>
    <t>Tri-Com Systems &amp; Consulting</t>
  </si>
  <si>
    <t>Santander Leasing</t>
  </si>
  <si>
    <t>Pekin Public Schools</t>
  </si>
  <si>
    <t>Trans-Pupil Transportation-Purchased Services</t>
  </si>
  <si>
    <t>ED-Instruction-Other</t>
  </si>
  <si>
    <t>ED-Food Services-Purchased Services</t>
  </si>
  <si>
    <t>ED-Information Services-Purchased Services</t>
  </si>
  <si>
    <t>See PDF at Opinion - Notes 36 Tab</t>
  </si>
  <si>
    <t>Page 10</t>
  </si>
  <si>
    <t>1999 - Educational - Other Local Revenues</t>
  </si>
  <si>
    <t>1999 - O&amp;M - Other Local Revenues</t>
  </si>
  <si>
    <t>1999 - Transportation - Other Local Revenues</t>
  </si>
  <si>
    <t>1999 - Capital Projects - Other Local Revenues</t>
  </si>
  <si>
    <t>Page 12</t>
  </si>
  <si>
    <t>3999 - Educational - Other Restricted Revenue</t>
  </si>
  <si>
    <t>Miscellaneous revenue and refunds</t>
  </si>
  <si>
    <t>Miscellaenous revenue and refunds</t>
  </si>
  <si>
    <t>THIS refund</t>
  </si>
  <si>
    <t>Miscellaneous</t>
  </si>
  <si>
    <t>4090 - Educational - Other Restricted Grants in-aid</t>
  </si>
  <si>
    <t>Rural Education Achievement Program</t>
  </si>
  <si>
    <t>Page 14</t>
  </si>
  <si>
    <t>4998 - Educational - Other Restricted Revenue from Federal</t>
  </si>
  <si>
    <t>E-Rate Reimbursements</t>
  </si>
  <si>
    <t>Tax reimbursement</t>
  </si>
  <si>
    <t>Page 16</t>
  </si>
  <si>
    <t>2490 - Educational - Other Support Services - School Admin</t>
  </si>
  <si>
    <t>Dean of Students salary (100)</t>
  </si>
  <si>
    <t>Dean of Students employee benefits (200)</t>
  </si>
  <si>
    <t>Page 18</t>
  </si>
  <si>
    <t>5400 - Debt Services - Other</t>
  </si>
  <si>
    <t>Bond services</t>
  </si>
  <si>
    <t>Page 20</t>
  </si>
  <si>
    <t>2490 - IMRF - Other Support Services - School Admin</t>
  </si>
  <si>
    <t>Dean of students medicare (200)</t>
  </si>
  <si>
    <t>Page 23</t>
  </si>
  <si>
    <t>Prior year tax levy adjustment</t>
  </si>
  <si>
    <t>Page 24</t>
  </si>
  <si>
    <t>Debt Issuance - Lighting Capital Lease</t>
  </si>
  <si>
    <t>Retired Debt Total</t>
  </si>
  <si>
    <t>Debt Services - Payments of Principal on long-term debt</t>
  </si>
  <si>
    <t>2540.310 - O&amp;M Lease Payment</t>
  </si>
  <si>
    <t>Other Federal Programs - ESSER Grant</t>
  </si>
  <si>
    <t xml:space="preserve">   Delavan CUSD 703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</si>
</sst>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7" fillId="0" borderId="0" xfId="1" applyNumberFormat="1" applyFont="1"/>
    <xf numFmtId="185" fontId="57" fillId="0" borderId="78" xfId="1" applyNumberFormat="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65" fillId="0" borderId="5" xfId="3" applyNumberFormat="1" applyFont="1" applyBorder="1" applyAlignment="1" applyProtection="1">
      <alignment horizontal="left"/>
    </xf>
    <xf numFmtId="0" fontId="65" fillId="0" borderId="0" xfId="3" applyNumberFormat="1" applyFont="1" applyBorder="1" applyAlignment="1" applyProtection="1">
      <alignment horizontal="left"/>
    </xf>
    <xf numFmtId="0" fontId="65" fillId="0" borderId="40" xfId="3" applyNumberFormat="1" applyFont="1" applyBorder="1" applyAlignment="1" applyProtection="1">
      <alignment horizontal="left"/>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xf>
    <xf numFmtId="0" fontId="65" fillId="0" borderId="0" xfId="3" applyFont="1" applyBorder="1" applyAlignment="1" applyProtection="1">
      <alignment horizontal="left"/>
    </xf>
    <xf numFmtId="0" fontId="65" fillId="0" borderId="40" xfId="3" applyFont="1" applyBorder="1" applyAlignment="1" applyProtection="1">
      <alignment horizontal="left"/>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952500</xdr:colOff>
          <xdr:row>6</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1</xdr:row>
          <xdr:rowOff>0</xdr:rowOff>
        </xdr:from>
        <xdr:to>
          <xdr:col>1</xdr:col>
          <xdr:colOff>2000250</xdr:colOff>
          <xdr:row>6</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90" zoomScaleNormal="9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2006</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2058</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2063</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53090703026</v>
      </c>
      <c r="B13" s="2089"/>
      <c r="C13" s="2089"/>
      <c r="D13" s="2089"/>
      <c r="E13" s="2089"/>
      <c r="F13" s="2089"/>
      <c r="G13" s="2089"/>
      <c r="H13" s="2090"/>
      <c r="I13" s="31"/>
      <c r="J13" s="30"/>
      <c r="K13" s="28"/>
      <c r="L13" s="30"/>
      <c r="M13" s="30"/>
      <c r="N13" s="30"/>
      <c r="O13" s="30"/>
      <c r="P13" s="30"/>
      <c r="Q13" s="30"/>
      <c r="R13" s="30"/>
      <c r="S13" s="30"/>
      <c r="T13" s="2093" t="s">
        <v>2051</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6" t="s">
        <v>2059</v>
      </c>
      <c r="B15" s="2091"/>
      <c r="C15" s="2091"/>
      <c r="D15" s="2091"/>
      <c r="E15" s="2091"/>
      <c r="F15" s="2091"/>
      <c r="G15" s="2091"/>
      <c r="H15" s="2092"/>
      <c r="T15" s="2054" t="s">
        <v>2067</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2121</v>
      </c>
      <c r="B17" s="2116"/>
      <c r="C17" s="2116"/>
      <c r="D17" s="2116"/>
      <c r="E17" s="2116"/>
      <c r="F17" s="2116"/>
      <c r="G17" s="2116"/>
      <c r="H17" s="2117"/>
      <c r="T17" s="2103" t="s">
        <v>2052</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2060</v>
      </c>
      <c r="B19" s="2087"/>
      <c r="C19" s="2087"/>
      <c r="D19" s="2087"/>
      <c r="E19" s="2087"/>
      <c r="F19" s="2087"/>
      <c r="G19" s="2087"/>
      <c r="H19" s="2085"/>
      <c r="I19" s="30"/>
      <c r="J19" s="96"/>
      <c r="K19" s="40"/>
      <c r="L19" s="38"/>
      <c r="M19" s="109" t="s">
        <v>312</v>
      </c>
      <c r="P19" s="27"/>
      <c r="Q19" s="27"/>
      <c r="R19" s="27"/>
      <c r="S19" s="31"/>
      <c r="T19" s="2086" t="s">
        <v>2053</v>
      </c>
      <c r="U19" s="2084"/>
      <c r="V19" s="2084"/>
      <c r="W19" s="2085"/>
      <c r="X19" s="2101" t="s">
        <v>2054</v>
      </c>
      <c r="Y19" s="2102"/>
      <c r="Z19" s="2099">
        <v>61571</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2061</v>
      </c>
      <c r="B21" s="2084"/>
      <c r="C21" s="2084"/>
      <c r="D21" s="2084"/>
      <c r="E21" s="2084"/>
      <c r="F21" s="2084"/>
      <c r="G21" s="2084"/>
      <c r="H21" s="2085"/>
      <c r="I21" s="2109" t="s">
        <v>673</v>
      </c>
      <c r="J21" s="2072"/>
      <c r="K21" s="2072"/>
      <c r="L21" s="2072"/>
      <c r="M21" s="2072"/>
      <c r="N21" s="2072"/>
      <c r="O21" s="2072"/>
      <c r="P21" s="2072"/>
      <c r="Q21" s="2072"/>
      <c r="R21" s="2072"/>
      <c r="S21" s="2073"/>
      <c r="T21" s="2051" t="s">
        <v>2055</v>
      </c>
      <c r="U21" s="2052"/>
      <c r="V21" s="2052"/>
      <c r="W21" s="2052"/>
      <c r="X21" s="2065" t="s">
        <v>2056</v>
      </c>
      <c r="Y21" s="2066"/>
      <c r="Z21" s="2066"/>
      <c r="AA21" s="2067"/>
    </row>
    <row r="22" spans="1:27" ht="13.5" customHeight="1" x14ac:dyDescent="0.2">
      <c r="A22" s="84" t="s">
        <v>528</v>
      </c>
      <c r="B22" s="56"/>
      <c r="C22" s="56"/>
      <c r="D22" s="56"/>
      <c r="E22" s="56"/>
      <c r="F22" s="56"/>
      <c r="G22" s="56"/>
      <c r="H22" s="57"/>
      <c r="I22" s="2110" t="s">
        <v>1415</v>
      </c>
      <c r="J22" s="2111"/>
      <c r="K22" s="2111"/>
      <c r="L22" s="2111"/>
      <c r="M22" s="2111"/>
      <c r="N22" s="2111"/>
      <c r="O22" s="2111"/>
      <c r="P22" s="2111"/>
      <c r="Q22" s="2111"/>
      <c r="R22" s="2111"/>
      <c r="S22" s="2112"/>
      <c r="T22" s="82" t="s">
        <v>1502</v>
      </c>
      <c r="U22" s="48"/>
      <c r="V22" s="69"/>
      <c r="W22" s="48"/>
      <c r="X22" s="155" t="s">
        <v>1309</v>
      </c>
      <c r="Z22" s="43"/>
      <c r="AA22" s="44"/>
    </row>
    <row r="23" spans="1:27" ht="13.5" customHeight="1" x14ac:dyDescent="0.2">
      <c r="A23" s="2106" t="s">
        <v>2062</v>
      </c>
      <c r="B23" s="2107"/>
      <c r="C23" s="2107"/>
      <c r="D23" s="2107"/>
      <c r="E23" s="2107"/>
      <c r="F23" s="2107"/>
      <c r="G23" s="2107"/>
      <c r="H23" s="2108"/>
      <c r="T23" s="2046" t="s">
        <v>2057</v>
      </c>
      <c r="U23" s="2047"/>
      <c r="V23" s="2047"/>
      <c r="W23" s="2047"/>
      <c r="X23" s="2062">
        <v>44530</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2019-2020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61734</v>
      </c>
      <c r="B25" s="2084"/>
      <c r="C25" s="2084"/>
      <c r="D25" s="2084"/>
      <c r="E25" s="2084"/>
      <c r="F25" s="2084"/>
      <c r="G25" s="2084"/>
      <c r="H25" s="2085"/>
      <c r="I25" s="110"/>
      <c r="J25" s="2150"/>
      <c r="K25" s="2150"/>
      <c r="L25" s="2150"/>
      <c r="M25" s="2150"/>
      <c r="N25" s="2150"/>
      <c r="O25" s="2150"/>
      <c r="P25" s="2150"/>
      <c r="Q25" s="2150"/>
      <c r="R25" s="2150"/>
      <c r="S25" s="2151"/>
      <c r="T25" s="2043" t="s">
        <v>2068</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1" t="s">
        <v>1497</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2063</v>
      </c>
      <c r="M29" s="40" t="s">
        <v>99</v>
      </c>
      <c r="N29" s="32" t="s">
        <v>1509</v>
      </c>
      <c r="O29" s="32"/>
      <c r="P29" s="32"/>
      <c r="Q29" s="32"/>
      <c r="R29" s="32"/>
      <c r="S29" s="120"/>
      <c r="T29" s="6"/>
      <c r="U29" s="6"/>
      <c r="V29" s="6"/>
      <c r="W29" s="6"/>
      <c r="X29" s="6"/>
      <c r="Y29" s="6"/>
      <c r="Z29" s="6"/>
      <c r="AA29" s="129"/>
    </row>
    <row r="30" spans="1:27" ht="13.5" customHeight="1" x14ac:dyDescent="0.2">
      <c r="A30" s="149"/>
      <c r="B30" s="133" t="s">
        <v>2063</v>
      </c>
      <c r="C30" s="121" t="s">
        <v>1156</v>
      </c>
      <c r="D30" s="28"/>
      <c r="E30" s="28"/>
      <c r="F30" s="136"/>
      <c r="G30" s="111"/>
      <c r="H30" s="111"/>
      <c r="I30" s="51"/>
      <c r="J30" s="99"/>
      <c r="K30" s="28" t="s">
        <v>572</v>
      </c>
      <c r="L30" s="144" t="s">
        <v>2063</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2063</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2063</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2064</v>
      </c>
      <c r="B38" s="2116"/>
      <c r="C38" s="2116"/>
      <c r="D38" s="2116"/>
      <c r="E38" s="2116"/>
      <c r="F38" s="2084"/>
      <c r="G38" s="2084"/>
      <c r="H38" s="2085"/>
      <c r="I38" s="2135"/>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2062</v>
      </c>
      <c r="B40" s="2143"/>
      <c r="C40" s="2144"/>
      <c r="D40" s="2144"/>
      <c r="E40" s="2144"/>
      <c r="F40" s="2145"/>
      <c r="G40" s="2145"/>
      <c r="H40" s="2146"/>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2065</v>
      </c>
      <c r="B42" s="2133"/>
      <c r="C42" s="2134"/>
      <c r="D42" s="2147" t="s">
        <v>2066</v>
      </c>
      <c r="E42" s="2133"/>
      <c r="F42" s="2133"/>
      <c r="G42" s="2133"/>
      <c r="H42" s="2134"/>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Normal="100" workbookViewId="0">
      <selection activeCell="E26" sqref="E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1147</v>
      </c>
      <c r="B4" s="1721">
        <f>'Revenues 9-14'!C5</f>
        <v>2235684</v>
      </c>
      <c r="C4" s="1722"/>
      <c r="D4" s="1723">
        <f>B4-C4</f>
        <v>2235684</v>
      </c>
      <c r="E4" s="1722">
        <v>2394386</v>
      </c>
      <c r="F4" s="1723">
        <f>E4-C4</f>
        <v>2394386</v>
      </c>
    </row>
    <row r="5" spans="1:8" ht="13.7" customHeight="1" x14ac:dyDescent="0.2">
      <c r="A5" s="579" t="s">
        <v>865</v>
      </c>
      <c r="B5" s="1724">
        <f>'Revenues 9-14'!D5</f>
        <v>333398</v>
      </c>
      <c r="C5" s="1664"/>
      <c r="D5" s="1725">
        <f t="shared" ref="D5:D18" si="0">B5-C5</f>
        <v>333398</v>
      </c>
      <c r="E5" s="1664">
        <v>342203</v>
      </c>
      <c r="F5" s="1725">
        <f>E5-C5</f>
        <v>342203</v>
      </c>
    </row>
    <row r="6" spans="1:8" ht="13.7" customHeight="1" x14ac:dyDescent="0.2">
      <c r="A6" s="579" t="s">
        <v>408</v>
      </c>
      <c r="B6" s="1724">
        <f>'Revenues 9-14'!E5</f>
        <v>568452</v>
      </c>
      <c r="C6" s="1664"/>
      <c r="D6" s="1725">
        <f t="shared" si="0"/>
        <v>568452</v>
      </c>
      <c r="E6" s="1664">
        <v>569027</v>
      </c>
      <c r="F6" s="1725">
        <f t="shared" ref="F6:F18" si="1">E6-C6</f>
        <v>569027</v>
      </c>
    </row>
    <row r="7" spans="1:8" ht="13.7" customHeight="1" x14ac:dyDescent="0.2">
      <c r="A7" s="579" t="s">
        <v>154</v>
      </c>
      <c r="B7" s="1724">
        <f>'Revenues 9-14'!F5</f>
        <v>98063</v>
      </c>
      <c r="C7" s="1664"/>
      <c r="D7" s="1725">
        <f t="shared" si="0"/>
        <v>98063</v>
      </c>
      <c r="E7" s="1664">
        <v>103664</v>
      </c>
      <c r="F7" s="1725">
        <f t="shared" si="1"/>
        <v>103664</v>
      </c>
    </row>
    <row r="8" spans="1:8" ht="13.7" customHeight="1" x14ac:dyDescent="0.2">
      <c r="A8" s="579" t="s">
        <v>1171</v>
      </c>
      <c r="B8" s="1724">
        <f>'Revenues 9-14'!G5</f>
        <v>29422</v>
      </c>
      <c r="C8" s="1664"/>
      <c r="D8" s="1725">
        <f t="shared" si="0"/>
        <v>29422</v>
      </c>
      <c r="E8" s="1664">
        <v>29434</v>
      </c>
      <c r="F8" s="1725">
        <f t="shared" si="1"/>
        <v>29434</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4907</v>
      </c>
      <c r="C10" s="1664"/>
      <c r="D10" s="1725">
        <f t="shared" si="0"/>
        <v>4907</v>
      </c>
      <c r="E10" s="1664">
        <v>4996</v>
      </c>
      <c r="F10" s="1725">
        <f t="shared" si="1"/>
        <v>4996</v>
      </c>
    </row>
    <row r="11" spans="1:8" x14ac:dyDescent="0.2">
      <c r="A11" s="579" t="s">
        <v>406</v>
      </c>
      <c r="B11" s="1724">
        <f>'Revenues 9-14'!J5</f>
        <v>81394</v>
      </c>
      <c r="C11" s="1664"/>
      <c r="D11" s="1725">
        <f t="shared" si="0"/>
        <v>81394</v>
      </c>
      <c r="E11" s="1664">
        <v>84805</v>
      </c>
      <c r="F11" s="1725">
        <f t="shared" si="1"/>
        <v>84805</v>
      </c>
    </row>
    <row r="12" spans="1:8" ht="13.7" customHeight="1" x14ac:dyDescent="0.2">
      <c r="A12" s="579" t="s">
        <v>156</v>
      </c>
      <c r="B12" s="1724">
        <f>'Revenues 9-14'!K5</f>
        <v>56392</v>
      </c>
      <c r="C12" s="1664"/>
      <c r="D12" s="1725">
        <f t="shared" si="0"/>
        <v>56392</v>
      </c>
      <c r="E12" s="1664">
        <v>61661</v>
      </c>
      <c r="F12" s="1725">
        <f t="shared" si="1"/>
        <v>61661</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51484</v>
      </c>
      <c r="C14" s="1664"/>
      <c r="D14" s="1725">
        <f t="shared" si="0"/>
        <v>51484</v>
      </c>
      <c r="E14" s="1664">
        <v>73270</v>
      </c>
      <c r="F14" s="1725">
        <f t="shared" si="1"/>
        <v>73270</v>
      </c>
    </row>
    <row r="15" spans="1:8" ht="13.7" customHeight="1" x14ac:dyDescent="0.2">
      <c r="A15" s="579" t="s">
        <v>1150</v>
      </c>
      <c r="B15" s="1724">
        <f>SUM('Revenues 9-14'!D9:E9,'Revenues 9-14'!H9)</f>
        <v>0</v>
      </c>
      <c r="C15" s="1664"/>
      <c r="D15" s="1725">
        <f t="shared" si="0"/>
        <v>0</v>
      </c>
      <c r="E15" s="1664">
        <v>0</v>
      </c>
      <c r="F15" s="1725">
        <f t="shared" si="1"/>
        <v>0</v>
      </c>
    </row>
    <row r="16" spans="1:8" ht="13.7" customHeight="1" x14ac:dyDescent="0.2">
      <c r="A16" s="579" t="s">
        <v>1151</v>
      </c>
      <c r="B16" s="1724">
        <f>'Revenues 9-14'!G8</f>
        <v>29422</v>
      </c>
      <c r="C16" s="1664"/>
      <c r="D16" s="1725">
        <f t="shared" si="0"/>
        <v>29422</v>
      </c>
      <c r="E16" s="1664">
        <v>29434</v>
      </c>
      <c r="F16" s="1725">
        <f t="shared" si="1"/>
        <v>29434</v>
      </c>
    </row>
    <row r="17" spans="1:6" ht="13.7" customHeight="1" x14ac:dyDescent="0.2">
      <c r="A17" s="579" t="s">
        <v>1152</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-3778</v>
      </c>
      <c r="F18" s="1725">
        <f t="shared" si="1"/>
        <v>-3778</v>
      </c>
    </row>
    <row r="19" spans="1:6" ht="13.7" customHeight="1" thickBot="1" x14ac:dyDescent="0.25">
      <c r="A19" s="1432" t="s">
        <v>1153</v>
      </c>
      <c r="B19" s="1726">
        <f>SUM(B4:B18)</f>
        <v>3488618</v>
      </c>
      <c r="C19" s="1726">
        <f>SUM(C4:C18)</f>
        <v>0</v>
      </c>
      <c r="D19" s="1726">
        <f>SUM(D4:D18)</f>
        <v>3488618</v>
      </c>
      <c r="E19" s="1726">
        <f>SUM(E4:E18)</f>
        <v>3689102</v>
      </c>
      <c r="F19" s="1726">
        <f>SUM(F4:F18)</f>
        <v>3689102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Normal="10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1782</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1106</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1103</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1104</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1105</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2009</v>
      </c>
      <c r="B24" s="2293"/>
      <c r="C24" s="2301"/>
      <c r="D24" s="2302"/>
      <c r="E24" s="2302"/>
      <c r="F24" s="2303"/>
    </row>
    <row r="25" spans="1:11" ht="13.5" thickBot="1" x14ac:dyDescent="0.25">
      <c r="A25" s="2307" t="s">
        <v>2010</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1063</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42227</v>
      </c>
      <c r="C31" s="1734">
        <v>7100000</v>
      </c>
      <c r="D31" s="1735">
        <v>6</v>
      </c>
      <c r="E31" s="1734">
        <v>6655000</v>
      </c>
      <c r="F31" s="1734"/>
      <c r="G31" s="1734"/>
      <c r="H31" s="1734">
        <v>305000</v>
      </c>
      <c r="I31" s="1736">
        <f>((E31+F31)-H31)+G31</f>
        <v>6350000</v>
      </c>
      <c r="J31" s="1734">
        <v>6456453</v>
      </c>
      <c r="K31" s="596"/>
    </row>
    <row r="32" spans="1:11" ht="12" customHeight="1" x14ac:dyDescent="0.2">
      <c r="A32" s="594" t="s">
        <v>2070</v>
      </c>
      <c r="B32" s="595">
        <v>43831</v>
      </c>
      <c r="C32" s="1734">
        <v>136000</v>
      </c>
      <c r="D32" s="1735">
        <v>7</v>
      </c>
      <c r="E32" s="1734"/>
      <c r="F32" s="1734">
        <v>136000</v>
      </c>
      <c r="G32" s="1734"/>
      <c r="H32" s="1734">
        <v>6387</v>
      </c>
      <c r="I32" s="1736">
        <f>((E32+F32)-H32)+G32</f>
        <v>129613</v>
      </c>
      <c r="J32" s="1734">
        <v>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7236000</v>
      </c>
      <c r="D49" s="1742"/>
      <c r="E49" s="1736">
        <f t="shared" ref="E49:J49" si="2">SUM(E31:E48)</f>
        <v>6655000</v>
      </c>
      <c r="F49" s="1736">
        <f t="shared" si="2"/>
        <v>136000</v>
      </c>
      <c r="G49" s="1736">
        <f t="shared" si="2"/>
        <v>0</v>
      </c>
      <c r="H49" s="1736">
        <f t="shared" si="2"/>
        <v>311387</v>
      </c>
      <c r="I49" s="1736">
        <f t="shared" si="2"/>
        <v>6479613</v>
      </c>
      <c r="J49" s="1736">
        <f t="shared" si="2"/>
        <v>6456453</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2071</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Normal="100" workbookViewId="0">
      <selection activeCell="D31" sqref="D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1661</v>
      </c>
      <c r="B2" s="2325"/>
      <c r="C2" s="2325"/>
      <c r="D2" s="2325"/>
      <c r="E2" s="2326"/>
      <c r="F2" s="615" t="s">
        <v>898</v>
      </c>
      <c r="G2" s="616" t="s">
        <v>1658</v>
      </c>
      <c r="H2" s="616" t="s">
        <v>407</v>
      </c>
      <c r="I2" s="616" t="s">
        <v>1150</v>
      </c>
      <c r="J2" s="616" t="s">
        <v>1792</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1062</v>
      </c>
      <c r="B5" s="2321"/>
      <c r="C5" s="2321"/>
      <c r="D5" s="2321"/>
      <c r="E5" s="2351"/>
      <c r="F5" s="622" t="s">
        <v>843</v>
      </c>
      <c r="G5" s="1749"/>
      <c r="H5" s="1744">
        <v>51484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560</v>
      </c>
    </row>
    <row r="8" spans="1:11" x14ac:dyDescent="0.2">
      <c r="A8" s="629" t="s">
        <v>342</v>
      </c>
      <c r="B8" s="630"/>
      <c r="C8" s="630"/>
      <c r="D8" s="630"/>
      <c r="E8" s="631"/>
      <c r="F8" s="622" t="s">
        <v>846</v>
      </c>
      <c r="G8" s="1753"/>
      <c r="H8" s="1753"/>
      <c r="I8" s="1753"/>
      <c r="J8" s="1745">
        <v>2152</v>
      </c>
      <c r="K8" s="1748"/>
    </row>
    <row r="9" spans="1:11" x14ac:dyDescent="0.2">
      <c r="A9" s="629" t="s">
        <v>137</v>
      </c>
      <c r="B9" s="630"/>
      <c r="C9" s="630"/>
      <c r="D9" s="630"/>
      <c r="E9" s="631"/>
      <c r="F9" s="628" t="s">
        <v>848</v>
      </c>
      <c r="G9" s="1753"/>
      <c r="H9" s="1749"/>
      <c r="I9" s="1749"/>
      <c r="J9" s="1752"/>
      <c r="K9" s="1745">
        <v>4997</v>
      </c>
    </row>
    <row r="10" spans="1:11" x14ac:dyDescent="0.2">
      <c r="A10" s="2350" t="s">
        <v>1793</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51484</v>
      </c>
      <c r="I12" s="1755">
        <f>SUM(I5:I11)</f>
        <v>0</v>
      </c>
      <c r="J12" s="1755">
        <f>SUM(J5:J11)</f>
        <v>2152</v>
      </c>
      <c r="K12" s="1755">
        <f>SUM(K5:K11)</f>
        <v>5557</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51484</v>
      </c>
      <c r="I14" s="1749"/>
      <c r="J14" s="1751"/>
      <c r="K14" s="1745">
        <v>5557</v>
      </c>
    </row>
    <row r="15" spans="1:11" x14ac:dyDescent="0.2">
      <c r="A15" s="2321" t="s">
        <v>4</v>
      </c>
      <c r="B15" s="2321"/>
      <c r="C15" s="2321"/>
      <c r="D15" s="2321"/>
      <c r="E15" s="2351"/>
      <c r="F15" s="635" t="s">
        <v>850</v>
      </c>
      <c r="G15" s="1749"/>
      <c r="H15" s="1744"/>
      <c r="I15" s="1744"/>
      <c r="J15" s="1745">
        <v>2152</v>
      </c>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1789</v>
      </c>
      <c r="B19" s="2358"/>
      <c r="C19" s="2358"/>
      <c r="D19" s="2358"/>
      <c r="E19" s="2359"/>
      <c r="F19" s="635" t="s">
        <v>927</v>
      </c>
      <c r="G19" s="1753"/>
      <c r="H19" s="1753"/>
      <c r="I19" s="1753"/>
      <c r="J19" s="1745"/>
      <c r="K19" s="1763"/>
    </row>
    <row r="20" spans="1:15" x14ac:dyDescent="0.2">
      <c r="A20" s="2335" t="s">
        <v>1794</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0</v>
      </c>
      <c r="K21" s="1761"/>
    </row>
    <row r="22" spans="1:15" ht="13.5" thickTop="1" x14ac:dyDescent="0.2">
      <c r="A22" s="2321" t="s">
        <v>1795</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51484</v>
      </c>
      <c r="I23" s="1755">
        <f>SUM(I14:I16,I21,I22)</f>
        <v>0</v>
      </c>
      <c r="J23" s="1755">
        <f>SUM(J14:J16,J21,J22)</f>
        <v>2152</v>
      </c>
      <c r="K23" s="1755">
        <f>SUM(K14:K16,K21,K22)</f>
        <v>5557</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2058</v>
      </c>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1161</v>
      </c>
      <c r="B33" s="341"/>
      <c r="C33" s="341"/>
      <c r="D33" s="341"/>
      <c r="E33" s="341"/>
      <c r="F33" s="341"/>
      <c r="G33" s="653"/>
      <c r="H33" s="2355"/>
      <c r="I33" s="2354"/>
      <c r="J33" s="2354"/>
      <c r="K33" s="235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I26" sqref="I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1878</v>
      </c>
      <c r="B1" s="2363"/>
      <c r="C1" s="2364"/>
      <c r="D1" s="666"/>
      <c r="E1" s="667"/>
      <c r="F1" s="667"/>
      <c r="G1" s="668"/>
      <c r="H1" s="669"/>
      <c r="I1" s="670"/>
      <c r="J1" s="2360"/>
      <c r="K1" s="2361"/>
      <c r="L1" s="2361"/>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47526</v>
      </c>
      <c r="D5" s="1770"/>
      <c r="E5" s="1770"/>
      <c r="F5" s="1765">
        <f>(C5+D5)-E5</f>
        <v>47526</v>
      </c>
      <c r="G5" s="676"/>
      <c r="H5" s="680"/>
      <c r="I5" s="680"/>
      <c r="J5" s="680"/>
      <c r="K5" s="637"/>
      <c r="L5" s="1442">
        <f>F5-K5</f>
        <v>47526</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10196471</v>
      </c>
      <c r="D8" s="1771">
        <v>37880</v>
      </c>
      <c r="E8" s="1771"/>
      <c r="F8" s="1765">
        <f>(C8+D8)-E8</f>
        <v>10234351</v>
      </c>
      <c r="G8" s="681">
        <v>50</v>
      </c>
      <c r="H8" s="619">
        <v>2602953</v>
      </c>
      <c r="I8" s="619">
        <v>173169</v>
      </c>
      <c r="J8" s="619"/>
      <c r="K8" s="1442">
        <f>(H8+I8)-J8</f>
        <v>2776122</v>
      </c>
      <c r="L8" s="1442">
        <f>F8-K8</f>
        <v>7458229</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994978</v>
      </c>
      <c r="D10" s="1772">
        <v>89000</v>
      </c>
      <c r="E10" s="1772"/>
      <c r="F10" s="1773">
        <f>(C10+D10)-E10</f>
        <v>1083978</v>
      </c>
      <c r="G10" s="681">
        <v>20</v>
      </c>
      <c r="H10" s="683">
        <v>434174</v>
      </c>
      <c r="I10" s="683">
        <v>45111</v>
      </c>
      <c r="J10" s="683"/>
      <c r="K10" s="1442">
        <f>(H10+I10)-J10</f>
        <v>479285</v>
      </c>
      <c r="L10" s="1442">
        <f>F10-K10</f>
        <v>604693</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547681</v>
      </c>
      <c r="D12" s="1771">
        <v>139648</v>
      </c>
      <c r="E12" s="1771">
        <v>51392</v>
      </c>
      <c r="F12" s="1765">
        <f>(C12+D12)-E12</f>
        <v>635937</v>
      </c>
      <c r="G12" s="681">
        <v>10</v>
      </c>
      <c r="H12" s="619">
        <v>252347</v>
      </c>
      <c r="I12" s="619">
        <v>49631</v>
      </c>
      <c r="J12" s="619">
        <v>51392</v>
      </c>
      <c r="K12" s="1442">
        <f>(H12+I12)-J12</f>
        <v>250586</v>
      </c>
      <c r="L12" s="1442">
        <f>F12-K12</f>
        <v>385351</v>
      </c>
    </row>
    <row r="13" spans="1:14" ht="14.25" thickTop="1" thickBot="1" x14ac:dyDescent="0.25">
      <c r="A13" s="684" t="s">
        <v>1114</v>
      </c>
      <c r="B13" s="679">
        <v>252</v>
      </c>
      <c r="C13" s="1771">
        <v>28610</v>
      </c>
      <c r="D13" s="1771"/>
      <c r="E13" s="1771"/>
      <c r="F13" s="1765">
        <f>(C13+D13)-E13</f>
        <v>28610</v>
      </c>
      <c r="G13" s="681">
        <v>5</v>
      </c>
      <c r="H13" s="619">
        <v>20331</v>
      </c>
      <c r="I13" s="619">
        <v>4356</v>
      </c>
      <c r="J13" s="619"/>
      <c r="K13" s="1442">
        <f>(H13+I13)-J13</f>
        <v>24687</v>
      </c>
      <c r="L13" s="1442">
        <f>F13-K13</f>
        <v>3923</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52274</v>
      </c>
      <c r="E15" s="1771"/>
      <c r="F15" s="1765">
        <f>(C15+D15)-E15</f>
        <v>52274</v>
      </c>
      <c r="G15" s="685" t="s">
        <v>857</v>
      </c>
      <c r="H15" s="632"/>
      <c r="I15" s="632"/>
      <c r="J15" s="632"/>
      <c r="K15" s="632"/>
      <c r="L15" s="1442">
        <f>F15-K15</f>
        <v>52274</v>
      </c>
    </row>
    <row r="16" spans="1:14" ht="15" customHeight="1" thickTop="1" thickBot="1" x14ac:dyDescent="0.25">
      <c r="A16" s="1438" t="s">
        <v>638</v>
      </c>
      <c r="B16" s="1439">
        <v>200</v>
      </c>
      <c r="C16" s="1765">
        <f>SUM(C3,C5:C6,C8:C10,C12:C15)</f>
        <v>11815266</v>
      </c>
      <c r="D16" s="1765">
        <f>SUM(D3,D5:D6,D8:D10,D12:D15)</f>
        <v>318802</v>
      </c>
      <c r="E16" s="1765">
        <f>SUM(E3,E5:E6,E8:E10,E12:E15)</f>
        <v>51392</v>
      </c>
      <c r="F16" s="1765">
        <f>SUM(F3,F5:F6,F8:F10,F12:F15)</f>
        <v>12082676</v>
      </c>
      <c r="G16" s="681"/>
      <c r="H16" s="1435">
        <f>SUM(H3,H6,H8:H10,H12:H14,)</f>
        <v>3309805</v>
      </c>
      <c r="I16" s="1435">
        <f>SUM(I3,I6,I8:I10,I12:I14,)</f>
        <v>272267</v>
      </c>
      <c r="J16" s="1435">
        <f>SUM(J3,J6,J8:J10,J12:J14,)</f>
        <v>51392</v>
      </c>
      <c r="K16" s="1435">
        <f>(H16+I16)-J16</f>
        <v>3530680</v>
      </c>
      <c r="L16" s="1435">
        <f>F16-K16</f>
        <v>8551996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272267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Normal="100" workbookViewId="0">
      <selection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4286253</v>
      </c>
      <c r="G8" s="701"/>
    </row>
    <row r="9" spans="1:9" x14ac:dyDescent="0.2">
      <c r="A9" s="705" t="s">
        <v>457</v>
      </c>
      <c r="B9" s="706" t="s">
        <v>1851</v>
      </c>
      <c r="C9" s="707"/>
      <c r="D9" s="705" t="s">
        <v>498</v>
      </c>
      <c r="E9" s="704"/>
      <c r="F9" s="1775">
        <f>'Expenditures 15-22'!K151</f>
        <v>443179</v>
      </c>
      <c r="G9" s="708"/>
    </row>
    <row r="10" spans="1:9" x14ac:dyDescent="0.2">
      <c r="A10" s="705" t="s">
        <v>496</v>
      </c>
      <c r="B10" s="706" t="s">
        <v>1852</v>
      </c>
      <c r="C10" s="707"/>
      <c r="D10" s="705" t="s">
        <v>498</v>
      </c>
      <c r="E10" s="704"/>
      <c r="F10" s="1775">
        <f>'Expenditures 15-22'!K174</f>
        <v>565516</v>
      </c>
      <c r="G10" s="708"/>
    </row>
    <row r="11" spans="1:9" x14ac:dyDescent="0.2">
      <c r="A11" s="705" t="s">
        <v>458</v>
      </c>
      <c r="B11" s="706" t="s">
        <v>1853</v>
      </c>
      <c r="C11" s="707"/>
      <c r="D11" s="705" t="s">
        <v>498</v>
      </c>
      <c r="E11" s="704"/>
      <c r="F11" s="1775">
        <f>'Expenditures 15-22'!K210</f>
        <v>189113</v>
      </c>
      <c r="G11" s="708"/>
    </row>
    <row r="12" spans="1:9" x14ac:dyDescent="0.2">
      <c r="A12" s="705" t="s">
        <v>459</v>
      </c>
      <c r="B12" s="706" t="s">
        <v>1854</v>
      </c>
      <c r="C12" s="707"/>
      <c r="D12" s="705" t="s">
        <v>498</v>
      </c>
      <c r="E12" s="704"/>
      <c r="F12" s="1775">
        <f>'Expenditures 15-22'!K295</f>
        <v>133813</v>
      </c>
      <c r="G12" s="708"/>
    </row>
    <row r="13" spans="1:9" x14ac:dyDescent="0.2">
      <c r="A13" s="705" t="s">
        <v>106</v>
      </c>
      <c r="B13" s="706" t="s">
        <v>1855</v>
      </c>
      <c r="C13" s="707"/>
      <c r="D13" s="705" t="s">
        <v>498</v>
      </c>
      <c r="E13" s="704"/>
      <c r="F13" s="1775">
        <f>'Expenditures 15-22'!K342</f>
        <v>117245</v>
      </c>
      <c r="G13" s="709"/>
    </row>
    <row r="14" spans="1:9" ht="12" customHeight="1" thickBot="1" x14ac:dyDescent="0.25">
      <c r="A14" s="1443"/>
      <c r="B14" s="1444"/>
      <c r="C14" s="1445"/>
      <c r="D14" s="1446" t="s">
        <v>498</v>
      </c>
      <c r="E14" s="1447" t="s">
        <v>952</v>
      </c>
      <c r="F14" s="1776">
        <f>SUM(F8:F13)</f>
        <v>5735119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144536</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130628</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9312</v>
      </c>
      <c r="G52" s="701"/>
    </row>
    <row r="53" spans="1:7" x14ac:dyDescent="0.2">
      <c r="A53" s="705" t="s">
        <v>456</v>
      </c>
      <c r="B53" s="705" t="s">
        <v>1461</v>
      </c>
      <c r="C53" s="724">
        <f>'Expenditures 15-22'!B102</f>
        <v>4000</v>
      </c>
      <c r="D53" s="723" t="str">
        <f>'Expenditures 15-22'!A102</f>
        <v>Total Payments to Other Govt Units</v>
      </c>
      <c r="E53" s="704"/>
      <c r="F53" s="1782">
        <f>'Expenditures 15-22'!K102</f>
        <v>149744</v>
      </c>
      <c r="G53" s="701"/>
    </row>
    <row r="54" spans="1:7" x14ac:dyDescent="0.2">
      <c r="A54" s="705" t="s">
        <v>456</v>
      </c>
      <c r="B54" s="705" t="s">
        <v>1462</v>
      </c>
      <c r="C54" s="724" t="s">
        <v>975</v>
      </c>
      <c r="D54" s="720" t="s">
        <v>1088</v>
      </c>
      <c r="E54" s="704"/>
      <c r="F54" s="1782">
        <f>'Expenditures 15-22'!G114</f>
        <v>3648</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89000</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305000</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3359</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647</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835874</v>
      </c>
      <c r="G77" s="701"/>
    </row>
    <row r="78" spans="1:9" s="728" customFormat="1" ht="12" customHeight="1" thickTop="1" thickBot="1" x14ac:dyDescent="0.25">
      <c r="A78" s="1450"/>
      <c r="B78" s="1448"/>
      <c r="C78" s="1445"/>
      <c r="D78" s="1449" t="s">
        <v>2015</v>
      </c>
      <c r="E78" s="1447"/>
      <c r="F78" s="1788">
        <f>(F14-F77)</f>
        <v>4899245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445.5</v>
      </c>
      <c r="G79" s="733"/>
      <c r="H79" s="705"/>
      <c r="I79" s="705"/>
    </row>
    <row r="80" spans="1:9" s="728" customFormat="1" ht="12" customHeight="1" thickBot="1" x14ac:dyDescent="0.25">
      <c r="A80" s="1452"/>
      <c r="B80" s="1448"/>
      <c r="C80" s="1445"/>
      <c r="D80" s="1449" t="s">
        <v>2016</v>
      </c>
      <c r="E80" s="1447" t="s">
        <v>952</v>
      </c>
      <c r="F80" s="1790">
        <f>IF(F79&gt;0,F78/F79," Complete Line 79")</f>
        <v>10997.182940516273</v>
      </c>
      <c r="G80" s="705"/>
    </row>
    <row r="81" spans="1:7" s="728" customFormat="1" ht="8.25" customHeight="1" thickTop="1" x14ac:dyDescent="0.2">
      <c r="A81" s="734"/>
      <c r="B81" s="705"/>
      <c r="C81" s="707"/>
      <c r="D81" s="735"/>
      <c r="E81" s="704"/>
      <c r="F81" s="1791"/>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27839</v>
      </c>
      <c r="G95" s="745"/>
    </row>
    <row r="96" spans="1:7" x14ac:dyDescent="0.2">
      <c r="A96" s="741" t="s">
        <v>139</v>
      </c>
      <c r="B96" s="741" t="s">
        <v>174</v>
      </c>
      <c r="C96" s="743">
        <v>1700</v>
      </c>
      <c r="D96" s="751" t="str">
        <f>'Revenues 9-14'!A82</f>
        <v>Total District/School Activity Income</v>
      </c>
      <c r="E96" s="739"/>
      <c r="F96" s="1793">
        <f>SUM('Revenues 9-14'!C82,'Revenues 9-14'!D82)</f>
        <v>13838</v>
      </c>
      <c r="G96" s="745"/>
    </row>
    <row r="97" spans="1:7" x14ac:dyDescent="0.2">
      <c r="A97" s="741" t="s">
        <v>456</v>
      </c>
      <c r="B97" s="741" t="s">
        <v>175</v>
      </c>
      <c r="C97" s="743">
        <f>'Revenues 9-14'!B84</f>
        <v>1811</v>
      </c>
      <c r="D97" s="744" t="str">
        <f>'Revenues 9-14'!A84</f>
        <v>Rentals - Regular Textbooks</v>
      </c>
      <c r="E97" s="739"/>
      <c r="F97" s="1793">
        <f>'Revenues 9-14'!C84</f>
        <v>34595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259</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53041</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17827</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909</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4997</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103017</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1929</v>
      </c>
      <c r="C122" s="761">
        <f>'Revenues 9-14'!B168</f>
        <v>3999</v>
      </c>
      <c r="D122" s="762" t="s">
        <v>540</v>
      </c>
      <c r="E122" s="764"/>
      <c r="F122" s="1793">
        <f>SUM('Revenues 9-14'!C168:G168,'Revenues 9-14'!J168)</f>
        <v>6781</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31355</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88360</v>
      </c>
      <c r="G126" s="763"/>
    </row>
    <row r="127" spans="1:7" x14ac:dyDescent="0.2">
      <c r="A127" s="760" t="s">
        <v>663</v>
      </c>
      <c r="B127" s="760" t="s">
        <v>1934</v>
      </c>
      <c r="C127" s="765">
        <v>4300</v>
      </c>
      <c r="D127" s="766" t="str">
        <f>'Revenues 9-14'!A204</f>
        <v>Total Title I</v>
      </c>
      <c r="E127" s="739"/>
      <c r="F127" s="1793">
        <f>SUM('Revenues 9-14'!C204,'Revenues 9-14'!D204,'Revenues 9-14'!F204,'Revenues 9-14'!G204)</f>
        <v>81914</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102049</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12789</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18174</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9378</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12043</v>
      </c>
      <c r="G171" s="760"/>
    </row>
    <row r="172" spans="1:7" x14ac:dyDescent="0.2">
      <c r="A172" s="1529" t="s">
        <v>5</v>
      </c>
      <c r="B172" s="1530" t="s">
        <v>1888</v>
      </c>
      <c r="C172" s="1531">
        <v>3100</v>
      </c>
      <c r="D172" s="1532" t="s">
        <v>1890</v>
      </c>
      <c r="E172" s="739"/>
      <c r="F172" s="1794">
        <v>217428</v>
      </c>
      <c r="G172" s="760"/>
    </row>
    <row r="173" spans="1:7" x14ac:dyDescent="0.2">
      <c r="A173" s="1529" t="s">
        <v>659</v>
      </c>
      <c r="B173" s="1530" t="s">
        <v>1888</v>
      </c>
      <c r="C173" s="1531">
        <v>3300</v>
      </c>
      <c r="D173" s="1532" t="s">
        <v>1891</v>
      </c>
      <c r="E173" s="739"/>
      <c r="F173" s="1794">
        <v>3</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896596</v>
      </c>
    </row>
    <row r="176" spans="1:7" ht="12" customHeight="1" x14ac:dyDescent="0.2">
      <c r="A176" s="1443"/>
      <c r="B176" s="1453"/>
      <c r="C176" s="1454"/>
      <c r="D176" s="1455" t="s">
        <v>2017</v>
      </c>
      <c r="E176" s="1456"/>
      <c r="F176" s="1793">
        <f>'PCTC-OEPP 27-28'!F78-F175</f>
        <v>4002649</v>
      </c>
    </row>
    <row r="177" spans="1:9" ht="12" customHeight="1" x14ac:dyDescent="0.2">
      <c r="A177" s="1443"/>
      <c r="B177" s="1453"/>
      <c r="C177" s="1454"/>
      <c r="D177" s="1455" t="s">
        <v>1797</v>
      </c>
      <c r="E177" s="1456"/>
      <c r="F177" s="1793">
        <f>'Cap Outlay Deprec 26'!I18</f>
        <v>272267</v>
      </c>
    </row>
    <row r="178" spans="1:9" ht="12" customHeight="1" x14ac:dyDescent="0.2">
      <c r="A178" s="1443"/>
      <c r="B178" s="1453"/>
      <c r="C178" s="1454"/>
      <c r="D178" s="1455" t="s">
        <v>2018</v>
      </c>
      <c r="E178" s="1456"/>
      <c r="F178" s="1793">
        <f>F176+F177</f>
        <v>4274916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445.5</v>
      </c>
      <c r="G179" s="763"/>
      <c r="I179" s="701"/>
    </row>
    <row r="180" spans="1:9" ht="12" customHeight="1" thickBot="1" x14ac:dyDescent="0.25">
      <c r="A180" s="1443"/>
      <c r="B180" s="1457"/>
      <c r="C180" s="1454"/>
      <c r="D180" s="1455" t="s">
        <v>2020</v>
      </c>
      <c r="E180" s="1456" t="s">
        <v>1531</v>
      </c>
      <c r="F180" s="1798">
        <f>F178/F179</f>
        <v>9595.771043771043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90" zoomScaleNormal="9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9" t="s">
        <v>1798</v>
      </c>
      <c r="B4" s="2380"/>
      <c r="C4" s="2380"/>
      <c r="D4" s="2380"/>
      <c r="E4" s="2380"/>
      <c r="F4" s="2381"/>
    </row>
    <row r="5" spans="1:6" x14ac:dyDescent="0.25">
      <c r="A5" s="2382"/>
      <c r="B5" s="2383"/>
      <c r="C5" s="2383"/>
      <c r="D5" s="2383"/>
      <c r="E5" s="2383"/>
      <c r="F5" s="2384"/>
    </row>
    <row r="6" spans="1:6" ht="18.75" x14ac:dyDescent="0.25">
      <c r="A6" s="1867" t="s">
        <v>1799</v>
      </c>
      <c r="B6" s="1868"/>
      <c r="C6" s="1869"/>
      <c r="D6" s="1869"/>
      <c r="E6" s="1869"/>
      <c r="F6" s="1870"/>
    </row>
    <row r="7" spans="1:6" ht="47.25" customHeight="1" x14ac:dyDescent="0.25">
      <c r="A7" s="2385" t="s">
        <v>1988</v>
      </c>
      <c r="B7" s="2386"/>
      <c r="C7" s="2386"/>
      <c r="D7" s="2386"/>
      <c r="E7" s="2386"/>
      <c r="F7" s="2387"/>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8" t="s">
        <v>1984</v>
      </c>
      <c r="B10" s="2389"/>
      <c r="C10" s="2389"/>
      <c r="D10" s="2389"/>
      <c r="E10" s="2389"/>
      <c r="F10" s="2390"/>
    </row>
    <row r="11" spans="1:6" ht="33" customHeight="1" x14ac:dyDescent="0.25">
      <c r="A11" s="2385" t="s">
        <v>1989</v>
      </c>
      <c r="B11" s="2386"/>
      <c r="C11" s="2386"/>
      <c r="D11" s="2386"/>
      <c r="E11" s="2386"/>
      <c r="F11" s="2387"/>
    </row>
    <row r="12" spans="1:6" ht="15" customHeight="1" x14ac:dyDescent="0.25">
      <c r="A12" s="1873" t="s">
        <v>1985</v>
      </c>
      <c r="B12" s="1874"/>
      <c r="C12" s="1875"/>
      <c r="D12" s="1875"/>
      <c r="E12" s="1875"/>
      <c r="F12" s="1876"/>
    </row>
    <row r="13" spans="1:6" ht="17.25" customHeight="1" x14ac:dyDescent="0.25">
      <c r="A13" s="2385" t="s">
        <v>1986</v>
      </c>
      <c r="B13" s="2386"/>
      <c r="C13" s="2386"/>
      <c r="D13" s="2386"/>
      <c r="E13" s="2386"/>
      <c r="F13" s="2387"/>
    </row>
    <row r="14" spans="1:6" ht="15" customHeight="1" x14ac:dyDescent="0.25">
      <c r="A14" s="1873" t="s">
        <v>1803</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6" t="s">
        <v>2082</v>
      </c>
      <c r="B18" s="1908">
        <v>101000600</v>
      </c>
      <c r="C18" s="2035" t="s">
        <v>2076</v>
      </c>
      <c r="D18" s="1886">
        <v>130628</v>
      </c>
      <c r="E18" s="1906" t="str">
        <f t="shared" ref="E18:E81" si="0">IF(D18&lt;25000,D18,"25,000")</f>
        <v>25,000</v>
      </c>
      <c r="F18" s="1906">
        <f t="shared" ref="F18:F81" si="1">IF(D18&gt;=25000,(D18-E18),"0")</f>
        <v>105628</v>
      </c>
      <c r="G18" s="1887"/>
    </row>
    <row r="19" spans="1:7" x14ac:dyDescent="0.25">
      <c r="A19" s="2036" t="s">
        <v>2082</v>
      </c>
      <c r="B19" s="1908">
        <v>101000600</v>
      </c>
      <c r="C19" s="2035" t="s">
        <v>2077</v>
      </c>
      <c r="D19" s="1886">
        <v>104961</v>
      </c>
      <c r="E19" s="1906" t="str">
        <f t="shared" si="0"/>
        <v>25,000</v>
      </c>
      <c r="F19" s="1906">
        <f t="shared" si="1"/>
        <v>79961</v>
      </c>
    </row>
    <row r="20" spans="1:7" x14ac:dyDescent="0.25">
      <c r="A20" s="2036" t="s">
        <v>2083</v>
      </c>
      <c r="B20" s="1908">
        <v>102560300</v>
      </c>
      <c r="C20" s="2035" t="s">
        <v>2072</v>
      </c>
      <c r="D20" s="1886">
        <v>85254</v>
      </c>
      <c r="E20" s="1906" t="str">
        <f t="shared" si="0"/>
        <v>25,000</v>
      </c>
      <c r="F20" s="1906">
        <f t="shared" si="1"/>
        <v>60254</v>
      </c>
    </row>
    <row r="21" spans="1:7" x14ac:dyDescent="0.25">
      <c r="A21" s="2036" t="s">
        <v>2084</v>
      </c>
      <c r="B21" s="1908">
        <v>102630300</v>
      </c>
      <c r="C21" s="2035" t="s">
        <v>2078</v>
      </c>
      <c r="D21" s="1886">
        <v>70349</v>
      </c>
      <c r="E21" s="1906" t="str">
        <f t="shared" si="0"/>
        <v>25,000</v>
      </c>
      <c r="F21" s="1906">
        <f t="shared" si="1"/>
        <v>45349</v>
      </c>
    </row>
    <row r="22" spans="1:7" x14ac:dyDescent="0.25">
      <c r="A22" s="2036" t="s">
        <v>2081</v>
      </c>
      <c r="B22" s="1908">
        <v>402550300</v>
      </c>
      <c r="C22" s="2035" t="s">
        <v>2079</v>
      </c>
      <c r="D22" s="1886">
        <v>50431</v>
      </c>
      <c r="E22" s="1906" t="str">
        <f t="shared" si="0"/>
        <v>25,000</v>
      </c>
      <c r="F22" s="1906">
        <f t="shared" si="1"/>
        <v>25431</v>
      </c>
    </row>
    <row r="23" spans="1:7" x14ac:dyDescent="0.25">
      <c r="A23" s="2036" t="s">
        <v>2082</v>
      </c>
      <c r="B23" s="1908">
        <v>101000600</v>
      </c>
      <c r="C23" s="2035" t="s">
        <v>2080</v>
      </c>
      <c r="D23" s="1886">
        <v>29990</v>
      </c>
      <c r="E23" s="1906" t="str">
        <f t="shared" si="0"/>
        <v>25,000</v>
      </c>
      <c r="F23" s="1906">
        <f t="shared" si="1"/>
        <v>4990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471613</v>
      </c>
      <c r="E142" s="1893">
        <f>SUM(E18:E141)</f>
        <v>0</v>
      </c>
      <c r="F142" s="1894">
        <f>SUM(F18:F141)</f>
        <v>321613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Normal="100" workbookViewId="0">
      <selection activeCell="N31" sqref="N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9283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3232838</v>
      </c>
      <c r="F19" s="1802"/>
      <c r="G19" s="1804">
        <f>'Expenditures 15-22'!K33-SUM('Expenditures 15-22'!G33,'Expenditures 15-22'!I33)+'Expenditures 15-22'!D229</f>
        <v>3232838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230279</v>
      </c>
      <c r="F21" s="1805"/>
      <c r="G21" s="1808">
        <f>'Expenditures 15-22'!K42-SUM('Expenditures 15-22'!G42,'Expenditures 15-22'!I42)+'Expenditures 15-22'!K120-SUM('Expenditures 15-22'!G120,'Expenditures 15-22'!I120)+'Expenditures 15-22'!K180-SUM('Expenditures 15-22'!G180,'Expenditures 15-22'!I180)+'Expenditures 15-22'!D238</f>
        <v>230279</v>
      </c>
      <c r="H21" s="817"/>
      <c r="I21" s="157"/>
    </row>
    <row r="22" spans="1:9" s="542" customFormat="1" ht="12" customHeight="1" x14ac:dyDescent="0.2">
      <c r="A22" s="824" t="s">
        <v>560</v>
      </c>
      <c r="B22" s="825"/>
      <c r="C22" s="823">
        <v>2200</v>
      </c>
      <c r="D22" s="1805"/>
      <c r="E22" s="1807">
        <f>'Expenditures 15-22'!K47-SUM('Expenditures 15-22'!G47,'Expenditures 15-22'!I47)+'Expenditures 15-22'!D243</f>
        <v>135915</v>
      </c>
      <c r="F22" s="1805"/>
      <c r="G22" s="1808">
        <f>'Expenditures 15-22'!K47-SUM('Expenditures 15-22'!G47,'Expenditures 15-22'!I47)+'Expenditures 15-22'!D243</f>
        <v>135915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316118</v>
      </c>
      <c r="F23" s="1805"/>
      <c r="G23" s="1807">
        <f>'Expenditures 15-22'!K53-SUM('Expenditures 15-22'!G53,'Expenditures 15-22'!I53)+'Expenditures 15-22'!D257+'Expenditures 15-22'!K330-SUM('Expenditures 15-22'!G330,'Expenditures 15-22'!I330)</f>
        <v>316118</v>
      </c>
      <c r="H23" s="817"/>
      <c r="I23" s="157"/>
    </row>
    <row r="24" spans="1:9" s="542" customFormat="1" ht="12" customHeight="1" x14ac:dyDescent="0.2">
      <c r="A24" s="824" t="s">
        <v>562</v>
      </c>
      <c r="B24" s="825"/>
      <c r="C24" s="823">
        <v>2400</v>
      </c>
      <c r="D24" s="1805"/>
      <c r="E24" s="1807">
        <f>'Expenditures 15-22'!K57-SUM('Expenditures 15-22'!G57,'Expenditures 15-22'!I57)+'Expenditures 15-22'!D261</f>
        <v>249185</v>
      </c>
      <c r="F24" s="1805"/>
      <c r="G24" s="1808">
        <f>'Expenditures 15-22'!K57-SUM('Expenditures 15-22'!G57,'Expenditures 15-22'!I57)+'Expenditures 15-22'!D261</f>
        <v>249185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60746</v>
      </c>
      <c r="E27" s="1807">
        <f>E8</f>
        <v>0</v>
      </c>
      <c r="F27" s="1807">
        <f>'Expenditures 15-22'!K60-SUM('Expenditures 15-22'!G60,'Expenditures 15-22'!I60)+'Expenditures 15-22'!D264-E8</f>
        <v>60746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375221</v>
      </c>
      <c r="F28" s="1809">
        <f>'Expenditures 15-22'!K61-SUM('Expenditures 15-22'!G61,'Expenditures 15-22'!I61)+'Expenditures 15-22'!K124-SUM('Expenditures 15-22'!G124,'Expenditures 15-22'!I124)+'Expenditures 15-22'!D266-E9</f>
        <v>375221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195470</v>
      </c>
      <c r="F29" s="1805"/>
      <c r="G29" s="1808">
        <f>'Expenditures 15-22'!K62-SUM('Expenditures 15-22'!G62,'Expenditures 15-22'!I62)+'Expenditures 15-22'!K125-SUM('Expenditures 15-22'!G125,'Expenditures 15-22'!I125)+'Expenditures 15-22'!K182-SUM('Expenditures 15-22'!G182,'Expenditures 15-22'!I182)+'Expenditures 15-22'!D267</f>
        <v>195470</v>
      </c>
      <c r="H29" s="815"/>
    </row>
    <row r="30" spans="1:9" ht="12" customHeight="1" x14ac:dyDescent="0.2">
      <c r="A30" s="824" t="s">
        <v>100</v>
      </c>
      <c r="B30" s="827"/>
      <c r="C30" s="823">
        <v>2560</v>
      </c>
      <c r="D30" s="1805"/>
      <c r="E30" s="1807">
        <f>'Expenditures 15-22'!K63-SUM('Expenditures 15-22'!G63,'Expenditures 15-22'!I63)+'Expenditures 15-22'!D268-E10</f>
        <v>84817</v>
      </c>
      <c r="F30" s="1805"/>
      <c r="G30" s="1807">
        <f>'Expenditures 15-22'!K63-SUM('Expenditures 15-22'!G63,'Expenditures 15-22'!I63)+'Expenditures 15-22'!D268-E10</f>
        <v>84817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36663</v>
      </c>
      <c r="F35" s="1805"/>
      <c r="G35" s="1807">
        <f>'Expenditures 15-22'!K69-SUM('Expenditures 15-22'!G69,'Expenditures 15-22'!I69)+'Expenditures 15-22'!D274</f>
        <v>36663</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9959</v>
      </c>
      <c r="F39" s="1805"/>
      <c r="G39" s="1807">
        <f>'Expenditures 15-22'!K75-SUM('Expenditures 15-22'!G75,'Expenditures 15-22'!I75)+'Expenditures 15-22'!K130-SUM('Expenditures 15-22'!G130,'Expenditures 15-22'!I130)+'Expenditures 15-22'!K185-SUM('Expenditures 15-22'!G185,'Expenditures 15-22'!I185)+'Expenditures 15-22'!D280</f>
        <v>9959</v>
      </c>
    </row>
    <row r="40" spans="1:7" ht="12" customHeight="1" x14ac:dyDescent="0.2">
      <c r="A40" s="820" t="s">
        <v>1801</v>
      </c>
      <c r="B40" s="821"/>
      <c r="C40" s="823"/>
      <c r="D40" s="1805"/>
      <c r="E40" s="1809">
        <f>-'Contracts Paid in CY 29'!F142</f>
        <v>-321613</v>
      </c>
      <c r="F40" s="1805"/>
      <c r="G40" s="1809">
        <f>-'Contracts Paid in CY 29'!F142</f>
        <v>-321613</v>
      </c>
    </row>
    <row r="41" spans="1:7" ht="12" customHeight="1" x14ac:dyDescent="0.2">
      <c r="A41" s="828" t="s">
        <v>155</v>
      </c>
      <c r="B41" s="829"/>
      <c r="C41" s="830"/>
      <c r="D41" s="1809">
        <f>SUM(D19:D39)</f>
        <v>60746</v>
      </c>
      <c r="E41" s="1809">
        <f>SUM(E19:E40)</f>
        <v>4544852</v>
      </c>
      <c r="F41" s="1809">
        <f>SUM(F19:F39)</f>
        <v>435967</v>
      </c>
      <c r="G41" s="1809">
        <f>SUM(G19:G40)</f>
        <v>4169631</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60746</v>
      </c>
      <c r="F43" s="1458" t="s">
        <v>470</v>
      </c>
      <c r="G43" s="1810">
        <f>F41</f>
        <v>435967</v>
      </c>
    </row>
    <row r="44" spans="1:7" ht="12" customHeight="1" x14ac:dyDescent="0.2">
      <c r="A44" s="817"/>
      <c r="B44" s="157"/>
      <c r="C44" s="831"/>
      <c r="D44" s="1458" t="s">
        <v>471</v>
      </c>
      <c r="E44" s="1810">
        <f>E41</f>
        <v>4544852</v>
      </c>
      <c r="F44" s="1458" t="s">
        <v>471</v>
      </c>
      <c r="G44" s="1810">
        <f>G41</f>
        <v>4169631</v>
      </c>
    </row>
    <row r="45" spans="1:7" ht="12" customHeight="1" x14ac:dyDescent="0.2">
      <c r="A45" s="817"/>
      <c r="B45" s="157"/>
      <c r="C45" s="157"/>
      <c r="D45" s="1459" t="s">
        <v>999</v>
      </c>
      <c r="E45" s="1811">
        <f>(E43/E44)</f>
        <v>1.3365891782614703E-2</v>
      </c>
      <c r="F45" s="1459" t="s">
        <v>999</v>
      </c>
      <c r="G45" s="1811">
        <f>(G43/G44)</f>
        <v>0.10455769347455446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Normal="100" workbookViewId="0">
      <selection activeCell="G18" sqref="G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1365</v>
      </c>
      <c r="B1" s="2402"/>
      <c r="C1" s="2402"/>
      <c r="D1" s="2402"/>
      <c r="E1" s="2402"/>
      <c r="F1" s="2402"/>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1532</v>
      </c>
      <c r="B5" s="2404"/>
      <c r="C5" s="2405"/>
      <c r="D5" s="2405"/>
      <c r="E5" s="2405"/>
      <c r="F5" s="2405"/>
      <c r="G5" s="1507"/>
      <c r="L5" s="1507"/>
      <c r="M5" s="1855"/>
      <c r="N5" s="1855"/>
      <c r="O5" s="1855"/>
    </row>
    <row r="6" spans="1:15" ht="12" customHeight="1" x14ac:dyDescent="0.25">
      <c r="A6" s="1480"/>
      <c r="B6" s="1481"/>
      <c r="C6" s="2406" t="str">
        <f>COVER!A17</f>
        <v xml:space="preserve">   Delavan CUSD 703</v>
      </c>
      <c r="D6" s="2406"/>
      <c r="E6" s="2406"/>
      <c r="F6" s="1482"/>
      <c r="G6" s="1507"/>
      <c r="L6" s="1507"/>
      <c r="M6" s="1855"/>
      <c r="N6" s="1855"/>
      <c r="O6" s="1855"/>
    </row>
    <row r="7" spans="1:15" ht="11.25" customHeight="1" thickBot="1" x14ac:dyDescent="0.3">
      <c r="A7" s="1480"/>
      <c r="B7" s="1481"/>
      <c r="C7" s="2407">
        <f>COVER!A13</f>
        <v>53090703026</v>
      </c>
      <c r="D7" s="2407"/>
      <c r="E7" s="2407"/>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t="s">
        <v>2058</v>
      </c>
      <c r="D16" s="1495" t="s">
        <v>2058</v>
      </c>
      <c r="E16" s="1498"/>
      <c r="F16" s="1497" t="s">
        <v>2072</v>
      </c>
      <c r="G16" s="1507"/>
      <c r="H16" s="1507">
        <f t="shared" si="0"/>
        <v>5</v>
      </c>
      <c r="I16" s="1507">
        <f t="shared" si="1"/>
        <v>5</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2058</v>
      </c>
      <c r="D26" s="1495" t="s">
        <v>2058</v>
      </c>
      <c r="E26" s="1498"/>
      <c r="F26" s="1497" t="s">
        <v>2073</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t="s">
        <v>2058</v>
      </c>
      <c r="D29" s="1495" t="s">
        <v>2058</v>
      </c>
      <c r="E29" s="1498"/>
      <c r="F29" s="1497" t="s">
        <v>2074</v>
      </c>
      <c r="G29" s="1507"/>
      <c r="H29" s="1507">
        <f t="shared" si="0"/>
        <v>5</v>
      </c>
      <c r="I29" s="1507">
        <f t="shared" si="1"/>
        <v>5</v>
      </c>
      <c r="J29" s="1507">
        <f t="shared" si="2"/>
        <v>0</v>
      </c>
      <c r="L29" s="1507"/>
      <c r="M29" s="1855"/>
      <c r="N29" s="1855"/>
      <c r="O29" s="1855"/>
    </row>
    <row r="30" spans="1:15" ht="12" customHeight="1" x14ac:dyDescent="0.2">
      <c r="A30" s="1493" t="s">
        <v>1524</v>
      </c>
      <c r="B30" s="1494"/>
      <c r="C30" s="1495" t="s">
        <v>2058</v>
      </c>
      <c r="D30" s="1495" t="s">
        <v>2058</v>
      </c>
      <c r="E30" s="1498"/>
      <c r="F30" s="1497" t="s">
        <v>2075</v>
      </c>
      <c r="G30" s="1507"/>
      <c r="H30" s="1507">
        <f t="shared" si="0"/>
        <v>5</v>
      </c>
      <c r="I30" s="1507">
        <f t="shared" si="1"/>
        <v>5</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1378</v>
      </c>
      <c r="B35" s="1501"/>
      <c r="C35" s="2408"/>
      <c r="D35" s="2408"/>
      <c r="E35" s="2408"/>
      <c r="F35" s="2409"/>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13"/>
      <c r="B38" s="2414"/>
      <c r="C38" s="2414"/>
      <c r="D38" s="2414"/>
      <c r="E38" s="2414"/>
      <c r="F38" s="2415"/>
    </row>
    <row r="39" spans="1:15" ht="4.5" hidden="1" customHeight="1" x14ac:dyDescent="0.2">
      <c r="A39" s="1502"/>
      <c r="B39" s="1502"/>
      <c r="C39" s="1502"/>
      <c r="D39" s="1502"/>
      <c r="E39" s="1502"/>
      <c r="F39" s="1502"/>
    </row>
    <row r="40" spans="1:15" s="1499" customFormat="1" ht="12" customHeight="1" x14ac:dyDescent="0.25">
      <c r="A40" s="1503" t="s">
        <v>1377</v>
      </c>
      <c r="B40" s="1504"/>
      <c r="C40" s="2416"/>
      <c r="D40" s="2416"/>
      <c r="E40" s="2416"/>
      <c r="F40" s="2417"/>
      <c r="H40" s="1508"/>
      <c r="I40" s="1508"/>
      <c r="J40" s="1508"/>
      <c r="K40" s="1508"/>
    </row>
    <row r="41" spans="1:15" s="1499" customFormat="1" ht="12" customHeight="1" x14ac:dyDescent="0.25">
      <c r="A41" s="2418"/>
      <c r="B41" s="2419"/>
      <c r="C41" s="2419"/>
      <c r="D41" s="2419"/>
      <c r="E41" s="2419"/>
      <c r="F41" s="2420"/>
      <c r="H41" s="1508"/>
      <c r="I41" s="1508"/>
      <c r="J41" s="1508"/>
      <c r="K41" s="1508"/>
    </row>
    <row r="42" spans="1:15" s="1499" customFormat="1" ht="12" customHeight="1" x14ac:dyDescent="0.25">
      <c r="A42" s="2418"/>
      <c r="B42" s="2419"/>
      <c r="C42" s="2419"/>
      <c r="D42" s="2419"/>
      <c r="E42" s="2419"/>
      <c r="F42" s="2420"/>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90" zoomScaleNormal="90" workbookViewId="0">
      <selection activeCell="K15" sqref="K15"/>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2005</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2" t="str">
        <f>COVER!A17</f>
        <v xml:space="preserve">   Delavan CUSD 703</v>
      </c>
      <c r="K6" s="2422"/>
      <c r="L6" s="2423"/>
      <c r="M6" s="838"/>
      <c r="N6" s="1998"/>
    </row>
    <row r="7" spans="1:14" x14ac:dyDescent="0.2">
      <c r="A7" s="2424" t="s">
        <v>864</v>
      </c>
      <c r="B7" s="2425"/>
      <c r="C7" s="2425"/>
      <c r="D7" s="2425"/>
      <c r="E7" s="2426"/>
      <c r="F7" s="839"/>
      <c r="G7" s="838"/>
      <c r="H7" s="838"/>
      <c r="I7" s="1924" t="s">
        <v>369</v>
      </c>
      <c r="J7" s="2427">
        <f>COVER!A13</f>
        <v>53090703026</v>
      </c>
      <c r="K7" s="2427"/>
      <c r="L7" s="2427"/>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2021</v>
      </c>
      <c r="F9" s="1857"/>
      <c r="G9" s="1857"/>
      <c r="H9" s="1857"/>
      <c r="I9" s="1929" t="s">
        <v>2022</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8" t="s">
        <v>478</v>
      </c>
      <c r="B11" s="2429"/>
      <c r="C11" s="2430"/>
      <c r="D11" s="1937" t="s">
        <v>866</v>
      </c>
      <c r="E11" s="1937" t="s">
        <v>64</v>
      </c>
      <c r="F11" s="1937" t="s">
        <v>6</v>
      </c>
      <c r="G11" s="1938" t="s">
        <v>2023</v>
      </c>
      <c r="H11" s="1939" t="s">
        <v>155</v>
      </c>
      <c r="I11" s="1937" t="s">
        <v>64</v>
      </c>
      <c r="J11" s="1937" t="s">
        <v>6</v>
      </c>
      <c r="K11" s="1938" t="s">
        <v>2004</v>
      </c>
      <c r="L11" s="1939" t="s">
        <v>155</v>
      </c>
      <c r="M11" s="838"/>
      <c r="N11" s="1998"/>
    </row>
    <row r="12" spans="1:14" x14ac:dyDescent="0.2">
      <c r="A12" s="2003">
        <v>1</v>
      </c>
      <c r="B12" s="1940" t="s">
        <v>813</v>
      </c>
      <c r="C12" s="842"/>
      <c r="D12" s="1941">
        <v>2320</v>
      </c>
      <c r="E12" s="1944">
        <f>'Expenditures 15-22'!K50</f>
        <v>177575</v>
      </c>
      <c r="F12" s="1942"/>
      <c r="G12" s="1968">
        <f>G68</f>
        <v>0</v>
      </c>
      <c r="H12" s="1944">
        <f t="shared" ref="H12:H18" si="0">SUM(E12:G12)</f>
        <v>177575</v>
      </c>
      <c r="I12" s="1943">
        <v>182819</v>
      </c>
      <c r="J12" s="1942"/>
      <c r="K12" s="1943">
        <v>7000</v>
      </c>
      <c r="L12" s="1944">
        <f t="shared" ref="L12:L18" si="1">SUM(I12:K12)</f>
        <v>189819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v>6587</v>
      </c>
      <c r="L13" s="1944">
        <f t="shared" si="1"/>
        <v>6587</v>
      </c>
      <c r="M13" s="838"/>
      <c r="N13" s="1998"/>
    </row>
    <row r="14" spans="1:14" x14ac:dyDescent="0.2">
      <c r="A14" s="2003">
        <v>3</v>
      </c>
      <c r="B14" s="1940" t="s">
        <v>43</v>
      </c>
      <c r="C14" s="842"/>
      <c r="D14" s="1945">
        <v>2490</v>
      </c>
      <c r="E14" s="1944">
        <f>'Expenditures 15-22'!K56</f>
        <v>67622</v>
      </c>
      <c r="F14" s="1942"/>
      <c r="G14" s="1968">
        <f>I68</f>
        <v>0</v>
      </c>
      <c r="H14" s="1944">
        <f t="shared" si="0"/>
        <v>67622</v>
      </c>
      <c r="I14" s="1943">
        <v>70995</v>
      </c>
      <c r="J14" s="1942"/>
      <c r="K14" s="1943">
        <v>659</v>
      </c>
      <c r="L14" s="1944">
        <f t="shared" si="1"/>
        <v>71654</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1" t="s">
        <v>7</v>
      </c>
      <c r="C18" s="2432"/>
      <c r="D18" s="2433"/>
      <c r="E18" s="1946"/>
      <c r="F18" s="1946"/>
      <c r="G18" s="1943"/>
      <c r="H18" s="1947">
        <f t="shared" si="0"/>
        <v>0</v>
      </c>
      <c r="I18" s="1943"/>
      <c r="J18" s="1943"/>
      <c r="K18" s="1943"/>
      <c r="L18" s="1944">
        <f t="shared" si="1"/>
        <v>0</v>
      </c>
      <c r="M18" s="838"/>
      <c r="N18" s="1998"/>
    </row>
    <row r="19" spans="1:14" ht="13.5" thickBot="1" x14ac:dyDescent="0.25">
      <c r="A19" s="2003">
        <v>8</v>
      </c>
      <c r="B19" s="1948" t="s">
        <v>1153</v>
      </c>
      <c r="C19" s="838"/>
      <c r="D19" s="1949"/>
      <c r="E19" s="1950">
        <f t="shared" ref="E19:L19" si="2">SUM(E12:E17)-E18</f>
        <v>245197</v>
      </c>
      <c r="F19" s="1950">
        <f t="shared" si="2"/>
        <v>0</v>
      </c>
      <c r="G19" s="1950">
        <f t="shared" ref="G19" si="3">SUM(G12:G17)-G18</f>
        <v>0</v>
      </c>
      <c r="H19" s="1950">
        <f t="shared" si="2"/>
        <v>245197</v>
      </c>
      <c r="I19" s="1950">
        <f t="shared" si="2"/>
        <v>253814</v>
      </c>
      <c r="J19" s="1950">
        <f t="shared" si="2"/>
        <v>0</v>
      </c>
      <c r="K19" s="1950">
        <f t="shared" si="2"/>
        <v>14246</v>
      </c>
      <c r="L19" s="1950">
        <f t="shared" si="2"/>
        <v>268060</v>
      </c>
      <c r="M19" s="838"/>
      <c r="N19" s="1998"/>
    </row>
    <row r="20" spans="1:14" ht="13.5" thickTop="1" x14ac:dyDescent="0.2">
      <c r="A20" s="2003">
        <v>9</v>
      </c>
      <c r="B20" s="2434" t="s">
        <v>2024</v>
      </c>
      <c r="C20" s="2434"/>
      <c r="D20" s="2435"/>
      <c r="E20" s="1951"/>
      <c r="F20" s="1951"/>
      <c r="G20" s="1951"/>
      <c r="H20" s="1951"/>
      <c r="I20" s="1951"/>
      <c r="J20" s="1951"/>
      <c r="K20" s="1951"/>
      <c r="L20" s="1952">
        <f>IF(AND(H19&gt;0,L19&gt;0),(((L19-H19)/H19)),"Enter Budget Data")</f>
        <v>9.3243392048026688E-2</v>
      </c>
      <c r="M20" s="838"/>
      <c r="N20" s="1998"/>
    </row>
    <row r="21" spans="1:14" x14ac:dyDescent="0.2">
      <c r="A21" s="2005" t="s">
        <v>194</v>
      </c>
      <c r="B21" s="2006" t="s">
        <v>2049</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2025</v>
      </c>
      <c r="B24" s="2010"/>
      <c r="C24" s="2011"/>
      <c r="D24" s="2011"/>
      <c r="E24" s="2011"/>
      <c r="F24" s="2011"/>
      <c r="G24" s="2011"/>
      <c r="H24" s="2011"/>
      <c r="I24" s="2011"/>
      <c r="J24" s="2011"/>
      <c r="K24" s="2011"/>
      <c r="L24" s="838"/>
      <c r="M24" s="838"/>
      <c r="N24" s="1998"/>
    </row>
    <row r="25" spans="1:14" x14ac:dyDescent="0.2">
      <c r="A25" s="2009" t="s">
        <v>2026</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6"/>
      <c r="D27" s="2436"/>
      <c r="E27" s="843"/>
      <c r="F27" s="2437"/>
      <c r="G27" s="2437"/>
      <c r="H27" s="2437"/>
      <c r="I27" s="838"/>
      <c r="J27" s="838"/>
      <c r="K27" s="838"/>
      <c r="L27" s="838"/>
      <c r="M27" s="838"/>
      <c r="N27" s="1998"/>
    </row>
    <row r="28" spans="1:14" x14ac:dyDescent="0.2">
      <c r="A28" s="1997"/>
      <c r="B28" s="2007"/>
      <c r="C28" s="1957" t="s">
        <v>1026</v>
      </c>
      <c r="D28" s="844"/>
      <c r="E28" s="1958"/>
      <c r="F28" s="2438" t="s">
        <v>1495</v>
      </c>
      <c r="G28" s="2438"/>
      <c r="H28" s="2438"/>
      <c r="I28" s="838"/>
      <c r="J28" s="838"/>
      <c r="K28" s="838"/>
      <c r="L28" s="838"/>
      <c r="M28" s="838"/>
      <c r="N28" s="1998"/>
    </row>
    <row r="29" spans="1:14" x14ac:dyDescent="0.2">
      <c r="A29" s="1997"/>
      <c r="B29" s="2007"/>
      <c r="C29" s="2439"/>
      <c r="D29" s="2439"/>
      <c r="E29" s="845"/>
      <c r="F29" s="2439"/>
      <c r="G29" s="2439"/>
      <c r="H29" s="2439"/>
      <c r="I29" s="838"/>
      <c r="J29" s="838"/>
      <c r="K29" s="838"/>
      <c r="L29" s="838"/>
      <c r="M29" s="838"/>
      <c r="N29" s="1998"/>
    </row>
    <row r="30" spans="1:14" x14ac:dyDescent="0.2">
      <c r="A30" s="1997"/>
      <c r="B30" s="2007"/>
      <c r="C30" s="1960" t="s">
        <v>1547</v>
      </c>
      <c r="D30" s="838"/>
      <c r="E30" s="1959"/>
      <c r="F30" s="2421" t="s">
        <v>1496</v>
      </c>
      <c r="G30" s="2421"/>
      <c r="H30" s="242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2" t="s">
        <v>2027</v>
      </c>
      <c r="D34" s="2443"/>
      <c r="E34" s="2443"/>
      <c r="F34" s="2443"/>
      <c r="G34" s="2443"/>
      <c r="H34" s="2443"/>
      <c r="I34" s="2443"/>
      <c r="J34" s="2443"/>
      <c r="K34" s="2016"/>
      <c r="L34" s="838"/>
      <c r="M34" s="838"/>
      <c r="N34" s="1998"/>
    </row>
    <row r="35" spans="1:14" x14ac:dyDescent="0.2">
      <c r="A35" s="1997"/>
      <c r="B35" s="838"/>
      <c r="C35" s="2443"/>
      <c r="D35" s="2443"/>
      <c r="E35" s="2443"/>
      <c r="F35" s="2443"/>
      <c r="G35" s="2443"/>
      <c r="H35" s="2443"/>
      <c r="I35" s="2443"/>
      <c r="J35" s="2443"/>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2" t="s">
        <v>2028</v>
      </c>
      <c r="D37" s="2443"/>
      <c r="E37" s="2443"/>
      <c r="F37" s="2443"/>
      <c r="G37" s="2443"/>
      <c r="H37" s="2443"/>
      <c r="I37" s="2443"/>
      <c r="J37" s="2443"/>
      <c r="K37" s="2016"/>
      <c r="L37" s="2018"/>
      <c r="M37" s="838"/>
      <c r="N37" s="1998"/>
    </row>
    <row r="38" spans="1:14" x14ac:dyDescent="0.2">
      <c r="A38" s="1997"/>
      <c r="B38" s="838"/>
      <c r="C38" s="2443"/>
      <c r="D38" s="2443"/>
      <c r="E38" s="2443"/>
      <c r="F38" s="2443"/>
      <c r="G38" s="2443"/>
      <c r="H38" s="2443"/>
      <c r="I38" s="2443"/>
      <c r="J38" s="2443"/>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t="s">
        <v>2058</v>
      </c>
      <c r="C40" s="2444" t="s">
        <v>2029</v>
      </c>
      <c r="D40" s="2445"/>
      <c r="E40" s="2445"/>
      <c r="F40" s="2445"/>
      <c r="G40" s="2445"/>
      <c r="H40" s="2445"/>
      <c r="I40" s="2445"/>
      <c r="J40" s="2445"/>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6" t="s">
        <v>2030</v>
      </c>
      <c r="B43" s="2447"/>
      <c r="C43" s="2447"/>
      <c r="D43" s="2447"/>
      <c r="E43" s="2447"/>
      <c r="F43" s="2447"/>
      <c r="G43" s="2447"/>
      <c r="H43" s="2447"/>
      <c r="I43" s="2447"/>
      <c r="J43" s="2447"/>
      <c r="K43" s="2447"/>
      <c r="L43" s="2447"/>
      <c r="M43" s="2447"/>
      <c r="N43" s="2448"/>
    </row>
    <row r="44" spans="1:14" x14ac:dyDescent="0.2">
      <c r="A44" s="1982"/>
      <c r="B44" s="1983"/>
      <c r="C44" s="1983"/>
      <c r="D44" s="1983"/>
      <c r="E44" s="1983"/>
      <c r="F44" s="1983"/>
      <c r="G44" s="1983"/>
      <c r="H44" s="1983"/>
      <c r="I44" s="1983"/>
      <c r="J44" s="1983"/>
      <c r="K44" s="1983"/>
      <c r="L44" s="1983"/>
      <c r="M44" s="1983"/>
      <c r="N44" s="1984"/>
    </row>
    <row r="45" spans="1:14" x14ac:dyDescent="0.2">
      <c r="A45" s="1982" t="s">
        <v>2031</v>
      </c>
      <c r="B45" s="1983"/>
      <c r="C45" s="1983"/>
      <c r="D45" s="1983"/>
      <c r="E45" s="1983"/>
      <c r="F45" s="1983"/>
      <c r="G45" s="1983"/>
      <c r="H45" s="1983"/>
      <c r="I45" s="1983"/>
      <c r="J45" s="1983"/>
      <c r="K45" s="1983"/>
      <c r="L45" s="1983"/>
      <c r="M45" s="1983"/>
      <c r="N45" s="1984"/>
    </row>
    <row r="46" spans="1:14" x14ac:dyDescent="0.2">
      <c r="A46" s="2449" t="s">
        <v>2032</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2048</v>
      </c>
      <c r="B49" s="2024"/>
      <c r="C49" s="2024"/>
      <c r="D49" s="2025"/>
      <c r="E49" s="2025"/>
      <c r="F49" s="2025"/>
      <c r="G49" s="2025"/>
      <c r="H49" s="2025"/>
      <c r="I49" s="2025"/>
      <c r="J49" s="2025"/>
      <c r="K49" s="2025"/>
      <c r="L49" s="2025"/>
      <c r="M49" s="2025"/>
      <c r="N49" s="2026"/>
    </row>
    <row r="50" spans="1:14" ht="15" x14ac:dyDescent="0.25">
      <c r="A50" s="2028" t="s">
        <v>2047</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2" t="str">
        <f>J6</f>
        <v xml:space="preserve">   Delavan CUSD 703</v>
      </c>
      <c r="M52" s="2422"/>
      <c r="N52" s="2452"/>
    </row>
    <row r="53" spans="1:14" x14ac:dyDescent="0.2">
      <c r="A53" s="1982"/>
      <c r="B53" s="1983"/>
      <c r="C53" s="1983"/>
      <c r="D53" s="1983"/>
      <c r="E53" s="1983"/>
      <c r="F53" s="1983"/>
      <c r="G53" s="1983"/>
      <c r="H53" s="1983"/>
      <c r="I53" s="1983"/>
      <c r="J53" s="1983"/>
      <c r="K53" s="1924" t="s">
        <v>369</v>
      </c>
      <c r="L53" s="2427">
        <f>J7</f>
        <v>53090703026</v>
      </c>
      <c r="M53" s="2427"/>
      <c r="N53" s="2453"/>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4"/>
      <c r="B55" s="2455"/>
      <c r="C55" s="2455"/>
      <c r="D55" s="1970"/>
      <c r="E55" s="1970"/>
      <c r="F55" s="1970"/>
      <c r="G55" s="2456" t="s">
        <v>2033</v>
      </c>
      <c r="H55" s="2456"/>
      <c r="I55" s="2456"/>
      <c r="J55" s="2456"/>
      <c r="K55" s="2456"/>
      <c r="L55" s="2456"/>
      <c r="M55" s="2456"/>
      <c r="N55" s="2457"/>
    </row>
    <row r="56" spans="1:14" ht="63.75" x14ac:dyDescent="0.2">
      <c r="A56" s="2458" t="s">
        <v>2034</v>
      </c>
      <c r="B56" s="2459"/>
      <c r="C56" s="2460"/>
      <c r="D56" s="1964" t="s">
        <v>2035</v>
      </c>
      <c r="E56" s="1964" t="s">
        <v>2036</v>
      </c>
      <c r="F56" s="1971"/>
      <c r="G56" s="1964" t="s">
        <v>2037</v>
      </c>
      <c r="H56" s="1964" t="s">
        <v>2038</v>
      </c>
      <c r="I56" s="1964" t="s">
        <v>2039</v>
      </c>
      <c r="J56" s="1964" t="s">
        <v>2040</v>
      </c>
      <c r="K56" s="1964" t="s">
        <v>2041</v>
      </c>
      <c r="L56" s="1964" t="s">
        <v>2042</v>
      </c>
      <c r="M56" s="1964" t="s">
        <v>2043</v>
      </c>
      <c r="N56" s="1965" t="s">
        <v>2050</v>
      </c>
    </row>
    <row r="57" spans="1:14" ht="24.75" customHeight="1" x14ac:dyDescent="0.2">
      <c r="A57" s="2461" t="s">
        <v>296</v>
      </c>
      <c r="B57" s="2462"/>
      <c r="C57" s="2462"/>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0" t="s">
        <v>2044</v>
      </c>
      <c r="B58" s="2441"/>
      <c r="C58" s="2441"/>
      <c r="D58" s="1967">
        <v>2362</v>
      </c>
      <c r="E58" s="1977">
        <f>'Expenditures 15-22'!K320</f>
        <v>34552</v>
      </c>
      <c r="F58" s="1972"/>
      <c r="G58" s="2031"/>
      <c r="H58" s="2032"/>
      <c r="I58" s="2032"/>
      <c r="J58" s="2032"/>
      <c r="K58" s="2032"/>
      <c r="L58" s="2032"/>
      <c r="M58" s="2032">
        <v>34552</v>
      </c>
      <c r="N58" s="1975">
        <f>IF((SUM(G58:M58))=E58,SUM(G58:M58),"Column N does not agree with Column E")</f>
        <v>34552</v>
      </c>
    </row>
    <row r="59" spans="1:14" ht="24.75" customHeight="1" x14ac:dyDescent="0.2">
      <c r="A59" s="2463" t="s">
        <v>297</v>
      </c>
      <c r="B59" s="2464"/>
      <c r="C59" s="2464"/>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3" t="s">
        <v>236</v>
      </c>
      <c r="B60" s="2464"/>
      <c r="C60" s="2464"/>
      <c r="D60" s="1967">
        <v>2364</v>
      </c>
      <c r="E60" s="1977">
        <f>'Expenditures 15-22'!K322</f>
        <v>38363</v>
      </c>
      <c r="F60" s="1972"/>
      <c r="G60" s="2031"/>
      <c r="H60" s="2032"/>
      <c r="I60" s="2032"/>
      <c r="J60" s="2032"/>
      <c r="K60" s="2032"/>
      <c r="L60" s="2032"/>
      <c r="M60" s="2032">
        <v>38363</v>
      </c>
      <c r="N60" s="1975">
        <f t="shared" ref="N60:N67" si="4">IF((SUM(G60:M60))=E60,SUM(G60:M60),"Column N does not agree with Column E")</f>
        <v>38363</v>
      </c>
    </row>
    <row r="61" spans="1:14" ht="24.75" customHeight="1" x14ac:dyDescent="0.2">
      <c r="A61" s="2463" t="s">
        <v>697</v>
      </c>
      <c r="B61" s="2464"/>
      <c r="C61" s="2464"/>
      <c r="D61" s="1967">
        <v>2365</v>
      </c>
      <c r="E61" s="1977">
        <f>'Expenditures 15-22'!K323</f>
        <v>19866</v>
      </c>
      <c r="F61" s="1972"/>
      <c r="G61" s="2031"/>
      <c r="H61" s="2032"/>
      <c r="I61" s="2032"/>
      <c r="J61" s="2032"/>
      <c r="K61" s="2032"/>
      <c r="L61" s="2032"/>
      <c r="M61" s="2032">
        <v>19866</v>
      </c>
      <c r="N61" s="1975">
        <f t="shared" si="4"/>
        <v>19866</v>
      </c>
    </row>
    <row r="62" spans="1:14" ht="24" customHeight="1" x14ac:dyDescent="0.2">
      <c r="A62" s="2463" t="s">
        <v>237</v>
      </c>
      <c r="B62" s="2464"/>
      <c r="C62" s="2464"/>
      <c r="D62" s="1967">
        <v>2366</v>
      </c>
      <c r="E62" s="1977">
        <f>'Expenditures 15-22'!K324</f>
        <v>0</v>
      </c>
      <c r="F62" s="1972"/>
      <c r="G62" s="2031"/>
      <c r="H62" s="2032"/>
      <c r="I62" s="2032"/>
      <c r="J62" s="2032"/>
      <c r="K62" s="2032"/>
      <c r="L62" s="2032"/>
      <c r="M62" s="2032"/>
      <c r="N62" s="1975">
        <f t="shared" si="4"/>
        <v>0</v>
      </c>
    </row>
    <row r="63" spans="1:14" ht="24" customHeight="1" x14ac:dyDescent="0.2">
      <c r="A63" s="2440" t="s">
        <v>1022</v>
      </c>
      <c r="B63" s="2441"/>
      <c r="C63" s="2441"/>
      <c r="D63" s="1967">
        <v>2367</v>
      </c>
      <c r="E63" s="1977">
        <f>'Expenditures 15-22'!K325</f>
        <v>5573</v>
      </c>
      <c r="F63" s="1972"/>
      <c r="G63" s="2031"/>
      <c r="H63" s="2032"/>
      <c r="I63" s="2032"/>
      <c r="J63" s="2032"/>
      <c r="K63" s="2032"/>
      <c r="L63" s="2032"/>
      <c r="M63" s="2032">
        <v>5573</v>
      </c>
      <c r="N63" s="1975">
        <f t="shared" si="4"/>
        <v>5573</v>
      </c>
    </row>
    <row r="64" spans="1:14" ht="24" customHeight="1" x14ac:dyDescent="0.2">
      <c r="A64" s="2463" t="s">
        <v>1023</v>
      </c>
      <c r="B64" s="2464"/>
      <c r="C64" s="2464"/>
      <c r="D64" s="1967">
        <v>2368</v>
      </c>
      <c r="E64" s="1977">
        <f>'Expenditures 15-22'!K326</f>
        <v>0</v>
      </c>
      <c r="F64" s="1972"/>
      <c r="G64" s="2031"/>
      <c r="H64" s="2032"/>
      <c r="I64" s="2032"/>
      <c r="J64" s="2032"/>
      <c r="K64" s="2032"/>
      <c r="L64" s="2032"/>
      <c r="M64" s="2032"/>
      <c r="N64" s="1975">
        <f t="shared" si="4"/>
        <v>0</v>
      </c>
    </row>
    <row r="65" spans="1:14" ht="24" customHeight="1" x14ac:dyDescent="0.2">
      <c r="A65" s="2463" t="s">
        <v>965</v>
      </c>
      <c r="B65" s="2464"/>
      <c r="C65" s="2464"/>
      <c r="D65" s="1967">
        <v>2369</v>
      </c>
      <c r="E65" s="1977">
        <f>'Expenditures 15-22'!K327</f>
        <v>18891</v>
      </c>
      <c r="F65" s="1972"/>
      <c r="G65" s="2031"/>
      <c r="H65" s="2032"/>
      <c r="I65" s="2032"/>
      <c r="J65" s="2032"/>
      <c r="K65" s="2032"/>
      <c r="L65" s="2032"/>
      <c r="M65" s="2032">
        <v>18891</v>
      </c>
      <c r="N65" s="1975">
        <f t="shared" si="4"/>
        <v>18891</v>
      </c>
    </row>
    <row r="66" spans="1:14" ht="24" customHeight="1" x14ac:dyDescent="0.2">
      <c r="A66" s="2463" t="s">
        <v>469</v>
      </c>
      <c r="B66" s="2464"/>
      <c r="C66" s="2464"/>
      <c r="D66" s="1967">
        <v>2371</v>
      </c>
      <c r="E66" s="1977">
        <f>'Expenditures 15-22'!K328</f>
        <v>0</v>
      </c>
      <c r="F66" s="1972"/>
      <c r="G66" s="2031"/>
      <c r="H66" s="2032"/>
      <c r="I66" s="2032"/>
      <c r="J66" s="2032"/>
      <c r="K66" s="2032"/>
      <c r="L66" s="2032"/>
      <c r="M66" s="2032"/>
      <c r="N66" s="1975">
        <f t="shared" si="4"/>
        <v>0</v>
      </c>
    </row>
    <row r="67" spans="1:14" ht="24.75" customHeight="1" x14ac:dyDescent="0.2">
      <c r="A67" s="2465" t="s">
        <v>2045</v>
      </c>
      <c r="B67" s="2466"/>
      <c r="C67" s="2466"/>
      <c r="D67" s="1969">
        <v>2372</v>
      </c>
      <c r="E67" s="1978">
        <f>'Expenditures 15-22'!K329</f>
        <v>0</v>
      </c>
      <c r="F67" s="1972"/>
      <c r="G67" s="2033"/>
      <c r="H67" s="2034"/>
      <c r="I67" s="2034"/>
      <c r="J67" s="2034"/>
      <c r="K67" s="2034"/>
      <c r="L67" s="2034"/>
      <c r="M67" s="2034"/>
      <c r="N67" s="1975">
        <f t="shared" si="4"/>
        <v>0</v>
      </c>
    </row>
    <row r="68" spans="1:14" x14ac:dyDescent="0.2">
      <c r="A68" s="2467" t="s">
        <v>1153</v>
      </c>
      <c r="B68" s="2468"/>
      <c r="C68" s="2468"/>
      <c r="D68" s="1970"/>
      <c r="E68" s="1974">
        <f>SUM(E57:E67)</f>
        <v>117245</v>
      </c>
      <c r="F68" s="1973"/>
      <c r="G68" s="1974">
        <f t="shared" ref="G68:N68" si="5">SUM(G57:G67)</f>
        <v>0</v>
      </c>
      <c r="H68" s="1974">
        <f t="shared" si="5"/>
        <v>0</v>
      </c>
      <c r="I68" s="1974">
        <f t="shared" si="5"/>
        <v>0</v>
      </c>
      <c r="J68" s="1974">
        <f t="shared" si="5"/>
        <v>0</v>
      </c>
      <c r="K68" s="1974">
        <f t="shared" si="5"/>
        <v>0</v>
      </c>
      <c r="L68" s="1974">
        <f t="shared" si="5"/>
        <v>0</v>
      </c>
      <c r="M68" s="1974">
        <f t="shared" si="5"/>
        <v>117245</v>
      </c>
      <c r="N68" s="1988">
        <f t="shared" si="5"/>
        <v>117245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2046</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I67"/>
  <sheetViews>
    <sheetView showGridLines="0" topLeftCell="A16" zoomScaleNormal="100" workbookViewId="0">
      <selection activeCell="D43" sqref="D43"/>
    </sheetView>
  </sheetViews>
  <sheetFormatPr defaultColWidth="9.140625" defaultRowHeight="12.75" x14ac:dyDescent="0.2"/>
  <cols>
    <col min="1" max="1" width="3" style="307" customWidth="1"/>
    <col min="2" max="2" width="10.42578125" style="307" customWidth="1"/>
    <col min="3" max="3" width="3.140625" style="307" customWidth="1"/>
    <col min="4" max="8" width="9.140625" style="307"/>
    <col min="9" max="9" width="10" style="307" bestFit="1" customWidth="1"/>
    <col min="10" max="16384" width="9.140625" style="307"/>
  </cols>
  <sheetData>
    <row r="2" spans="1:9" x14ac:dyDescent="0.2">
      <c r="A2" s="366" t="s">
        <v>256</v>
      </c>
    </row>
    <row r="3" spans="1:9" x14ac:dyDescent="0.2">
      <c r="A3" s="307" t="s">
        <v>257</v>
      </c>
    </row>
    <row r="5" spans="1:9" x14ac:dyDescent="0.2">
      <c r="A5" s="847"/>
      <c r="B5" s="307" t="s">
        <v>2086</v>
      </c>
      <c r="C5" s="307" t="s">
        <v>2087</v>
      </c>
    </row>
    <row r="6" spans="1:9" x14ac:dyDescent="0.2">
      <c r="A6" s="847"/>
      <c r="C6" s="307" t="s">
        <v>2093</v>
      </c>
      <c r="I6" s="2037">
        <v>16658</v>
      </c>
    </row>
    <row r="7" spans="1:9" x14ac:dyDescent="0.2">
      <c r="A7" s="847"/>
      <c r="I7" s="2037"/>
    </row>
    <row r="8" spans="1:9" x14ac:dyDescent="0.2">
      <c r="A8" s="847"/>
      <c r="C8" s="307" t="s">
        <v>2088</v>
      </c>
      <c r="I8" s="2037"/>
    </row>
    <row r="9" spans="1:9" x14ac:dyDescent="0.2">
      <c r="A9" s="847"/>
      <c r="C9" s="307" t="s">
        <v>2101</v>
      </c>
      <c r="I9" s="2037">
        <v>11777</v>
      </c>
    </row>
    <row r="10" spans="1:9" x14ac:dyDescent="0.2">
      <c r="A10" s="847"/>
      <c r="C10" s="307" t="s">
        <v>2093</v>
      </c>
      <c r="I10" s="2038">
        <v>8424</v>
      </c>
    </row>
    <row r="11" spans="1:9" x14ac:dyDescent="0.2">
      <c r="A11" s="847"/>
      <c r="I11" s="2037">
        <f>I9+I10</f>
        <v>20201</v>
      </c>
    </row>
    <row r="12" spans="1:9" x14ac:dyDescent="0.2">
      <c r="A12" s="847"/>
      <c r="I12" s="2037"/>
    </row>
    <row r="13" spans="1:9" x14ac:dyDescent="0.2">
      <c r="A13" s="847"/>
      <c r="C13" s="307" t="s">
        <v>2089</v>
      </c>
      <c r="I13" s="2037"/>
    </row>
    <row r="14" spans="1:9" x14ac:dyDescent="0.2">
      <c r="A14" s="847"/>
      <c r="C14" s="307" t="s">
        <v>2094</v>
      </c>
      <c r="I14" s="2037">
        <v>68</v>
      </c>
    </row>
    <row r="15" spans="1:9" x14ac:dyDescent="0.2">
      <c r="A15" s="847"/>
      <c r="I15" s="2037"/>
    </row>
    <row r="16" spans="1:9" x14ac:dyDescent="0.2">
      <c r="A16" s="847"/>
      <c r="C16" s="307" t="s">
        <v>2090</v>
      </c>
      <c r="I16" s="2037"/>
    </row>
    <row r="17" spans="1:9" x14ac:dyDescent="0.2">
      <c r="A17" s="847"/>
      <c r="C17" s="307" t="s">
        <v>2102</v>
      </c>
      <c r="I17" s="2037">
        <v>1300</v>
      </c>
    </row>
    <row r="18" spans="1:9" x14ac:dyDescent="0.2">
      <c r="A18" s="847"/>
      <c r="I18" s="2037"/>
    </row>
    <row r="19" spans="1:9" x14ac:dyDescent="0.2">
      <c r="A19" s="848"/>
      <c r="B19" s="307" t="s">
        <v>2091</v>
      </c>
      <c r="C19" s="307" t="s">
        <v>2092</v>
      </c>
      <c r="I19" s="2037"/>
    </row>
    <row r="20" spans="1:9" x14ac:dyDescent="0.2">
      <c r="A20" s="848"/>
      <c r="C20" s="307" t="s">
        <v>2095</v>
      </c>
      <c r="I20" s="2037">
        <v>4782</v>
      </c>
    </row>
    <row r="21" spans="1:9" x14ac:dyDescent="0.2">
      <c r="A21" s="848"/>
      <c r="C21" s="307" t="s">
        <v>2096</v>
      </c>
      <c r="I21" s="2038">
        <v>1999</v>
      </c>
    </row>
    <row r="22" spans="1:9" x14ac:dyDescent="0.2">
      <c r="A22" s="848"/>
      <c r="I22" s="2037">
        <f>I20+I21</f>
        <v>6781</v>
      </c>
    </row>
    <row r="23" spans="1:9" x14ac:dyDescent="0.2">
      <c r="A23" s="848"/>
      <c r="I23" s="2037"/>
    </row>
    <row r="24" spans="1:9" x14ac:dyDescent="0.2">
      <c r="A24" s="848"/>
      <c r="C24" s="307" t="s">
        <v>2097</v>
      </c>
      <c r="I24" s="2037"/>
    </row>
    <row r="25" spans="1:9" x14ac:dyDescent="0.2">
      <c r="A25" s="848"/>
      <c r="C25" s="307" t="s">
        <v>2098</v>
      </c>
      <c r="I25" s="2037">
        <v>31355</v>
      </c>
    </row>
    <row r="26" spans="1:9" x14ac:dyDescent="0.2">
      <c r="A26" s="848"/>
      <c r="I26" s="2037"/>
    </row>
    <row r="27" spans="1:9" x14ac:dyDescent="0.2">
      <c r="A27" s="848"/>
      <c r="B27" s="307" t="s">
        <v>2099</v>
      </c>
      <c r="C27" s="307" t="s">
        <v>2100</v>
      </c>
      <c r="I27" s="2037"/>
    </row>
    <row r="28" spans="1:9" x14ac:dyDescent="0.2">
      <c r="A28" s="848"/>
      <c r="C28" s="307" t="s">
        <v>2120</v>
      </c>
      <c r="I28" s="2037">
        <v>12043</v>
      </c>
    </row>
    <row r="29" spans="1:9" x14ac:dyDescent="0.2">
      <c r="A29" s="848"/>
      <c r="I29" s="2037"/>
    </row>
    <row r="30" spans="1:9" x14ac:dyDescent="0.2">
      <c r="A30" s="848"/>
      <c r="B30" s="307" t="s">
        <v>2103</v>
      </c>
      <c r="C30" s="307" t="s">
        <v>2104</v>
      </c>
      <c r="I30" s="2037"/>
    </row>
    <row r="31" spans="1:9" x14ac:dyDescent="0.2">
      <c r="A31" s="848"/>
      <c r="C31" s="307" t="s">
        <v>2105</v>
      </c>
      <c r="I31" s="2037">
        <v>59886</v>
      </c>
    </row>
    <row r="32" spans="1:9" x14ac:dyDescent="0.2">
      <c r="A32" s="848"/>
      <c r="C32" s="307" t="s">
        <v>2106</v>
      </c>
      <c r="I32" s="2038">
        <v>7736</v>
      </c>
    </row>
    <row r="33" spans="1:9" x14ac:dyDescent="0.2">
      <c r="A33" s="848"/>
      <c r="I33" s="2037">
        <f>I31+I32</f>
        <v>67622</v>
      </c>
    </row>
    <row r="34" spans="1:9" x14ac:dyDescent="0.2">
      <c r="A34" s="848"/>
      <c r="I34" s="2037"/>
    </row>
    <row r="35" spans="1:9" x14ac:dyDescent="0.2">
      <c r="A35" s="848"/>
      <c r="B35" s="307" t="s">
        <v>2107</v>
      </c>
      <c r="C35" s="307" t="s">
        <v>2108</v>
      </c>
      <c r="I35" s="2037"/>
    </row>
    <row r="36" spans="1:9" x14ac:dyDescent="0.2">
      <c r="A36" s="848"/>
      <c r="C36" s="307" t="s">
        <v>2109</v>
      </c>
      <c r="I36" s="2037">
        <v>500</v>
      </c>
    </row>
    <row r="37" spans="1:9" x14ac:dyDescent="0.2">
      <c r="A37" s="848"/>
      <c r="I37" s="2037"/>
    </row>
    <row r="38" spans="1:9" x14ac:dyDescent="0.2">
      <c r="A38" s="848"/>
      <c r="B38" s="307" t="s">
        <v>2110</v>
      </c>
      <c r="C38" s="307" t="s">
        <v>2111</v>
      </c>
      <c r="I38" s="2037"/>
    </row>
    <row r="39" spans="1:9" x14ac:dyDescent="0.2">
      <c r="A39" s="848"/>
      <c r="C39" s="307" t="s">
        <v>2112</v>
      </c>
      <c r="I39" s="2037">
        <v>868</v>
      </c>
    </row>
    <row r="40" spans="1:9" x14ac:dyDescent="0.2">
      <c r="A40" s="848"/>
      <c r="I40" s="2037"/>
    </row>
    <row r="41" spans="1:9" x14ac:dyDescent="0.2">
      <c r="A41" s="848"/>
      <c r="B41" s="307" t="s">
        <v>2113</v>
      </c>
      <c r="C41" s="307" t="s">
        <v>2114</v>
      </c>
      <c r="I41" s="2037">
        <v>-3778</v>
      </c>
    </row>
    <row r="42" spans="1:9" x14ac:dyDescent="0.2">
      <c r="A42" s="848"/>
      <c r="I42" s="2037"/>
    </row>
    <row r="43" spans="1:9" x14ac:dyDescent="0.2">
      <c r="A43" s="848"/>
      <c r="B43" s="307" t="s">
        <v>2115</v>
      </c>
      <c r="C43" s="307" t="s">
        <v>2116</v>
      </c>
      <c r="I43" s="2037">
        <v>136000</v>
      </c>
    </row>
    <row r="44" spans="1:9" x14ac:dyDescent="0.2">
      <c r="A44" s="848"/>
      <c r="I44" s="2037"/>
    </row>
    <row r="45" spans="1:9" x14ac:dyDescent="0.2">
      <c r="A45" s="848"/>
      <c r="C45" s="307" t="s">
        <v>2117</v>
      </c>
      <c r="I45" s="2037"/>
    </row>
    <row r="46" spans="1:9" x14ac:dyDescent="0.2">
      <c r="A46" s="848"/>
      <c r="C46" s="307" t="s">
        <v>2118</v>
      </c>
      <c r="I46" s="2037">
        <v>-305000</v>
      </c>
    </row>
    <row r="47" spans="1:9" x14ac:dyDescent="0.2">
      <c r="A47" s="848"/>
      <c r="C47" s="307" t="s">
        <v>2119</v>
      </c>
      <c r="I47" s="2038">
        <v>-6387</v>
      </c>
    </row>
    <row r="48" spans="1:9" x14ac:dyDescent="0.2">
      <c r="A48" s="848"/>
      <c r="I48" s="2037">
        <f>I46+I47</f>
        <v>-311387</v>
      </c>
    </row>
    <row r="49" spans="1:9" x14ac:dyDescent="0.2">
      <c r="A49" s="848"/>
      <c r="I49" s="2037"/>
    </row>
    <row r="50" spans="1:9" x14ac:dyDescent="0.2">
      <c r="A50" s="848"/>
      <c r="I50" s="2037"/>
    </row>
    <row r="51" spans="1:9" x14ac:dyDescent="0.2">
      <c r="A51" s="848"/>
      <c r="I51" s="2037"/>
    </row>
    <row r="52" spans="1:9" x14ac:dyDescent="0.2">
      <c r="A52" s="848"/>
      <c r="I52" s="2037"/>
    </row>
    <row r="53" spans="1:9" x14ac:dyDescent="0.2">
      <c r="A53" s="848"/>
      <c r="I53" s="2037"/>
    </row>
    <row r="54" spans="1:9" x14ac:dyDescent="0.2">
      <c r="A54" s="848"/>
      <c r="I54" s="2037"/>
    </row>
    <row r="55" spans="1:9" x14ac:dyDescent="0.2">
      <c r="A55" s="848"/>
      <c r="I55" s="2037"/>
    </row>
    <row r="56" spans="1:9" x14ac:dyDescent="0.2">
      <c r="A56" s="848"/>
      <c r="I56" s="2037"/>
    </row>
    <row r="57" spans="1:9" x14ac:dyDescent="0.2">
      <c r="A57" s="848"/>
      <c r="I57" s="2037"/>
    </row>
    <row r="58" spans="1:9" x14ac:dyDescent="0.2">
      <c r="A58" s="848"/>
      <c r="I58" s="2037"/>
    </row>
    <row r="59" spans="1:9" x14ac:dyDescent="0.2">
      <c r="A59" s="848"/>
      <c r="I59" s="2037"/>
    </row>
    <row r="60" spans="1:9" x14ac:dyDescent="0.2">
      <c r="A60" s="848"/>
    </row>
    <row r="61" spans="1:9" x14ac:dyDescent="0.2">
      <c r="A61" s="848"/>
    </row>
    <row r="62" spans="1:9" x14ac:dyDescent="0.2">
      <c r="A62" s="848"/>
    </row>
    <row r="63" spans="1:9" x14ac:dyDescent="0.2">
      <c r="A63" s="848"/>
    </row>
    <row r="64" spans="1:9" x14ac:dyDescent="0.2">
      <c r="A64" s="848"/>
    </row>
    <row r="65" spans="1:2" x14ac:dyDescent="0.2">
      <c r="A65" s="848"/>
    </row>
    <row r="66" spans="1:2" x14ac:dyDescent="0.2">
      <c r="A66" s="848"/>
      <c r="B66" s="253" t="str">
        <f>COVER!A17</f>
        <v xml:space="preserve">   Delavan CUSD 703</v>
      </c>
    </row>
    <row r="67" spans="1:2" x14ac:dyDescent="0.2">
      <c r="B67" s="849">
        <f>COVER!A13</f>
        <v>53090703026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7" sqref="A7:D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Normal="100" workbookViewId="0">
      <selection activeCell="C21" sqref="C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0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9" t="s">
        <v>1668</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952500</xdr:colOff>
                <xdr:row>6</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1047750</xdr:colOff>
                <xdr:row>1</xdr:row>
                <xdr:rowOff>0</xdr:rowOff>
              </from>
              <to>
                <xdr:col>1</xdr:col>
                <xdr:colOff>2000250</xdr:colOff>
                <xdr:row>6</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Normal="100" workbookViewId="0">
      <selection activeCell="I14" sqref="I1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1672</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1975</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1673</v>
      </c>
      <c r="B6" s="2487"/>
      <c r="C6" s="2487"/>
      <c r="D6" s="2487"/>
      <c r="E6" s="2487"/>
      <c r="F6" s="2488"/>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4380726</v>
      </c>
      <c r="C8" s="1813">
        <f>'Acct Summary 7-8'!D8</f>
        <v>475990</v>
      </c>
      <c r="D8" s="1813">
        <f>'Acct Summary 7-8'!F8</f>
        <v>206348</v>
      </c>
      <c r="E8" s="1813">
        <f>'Acct Summary 7-8'!I8</f>
        <v>10727</v>
      </c>
      <c r="F8" s="1813">
        <f>SUM(B8:E8)</f>
        <v>5073791</v>
      </c>
    </row>
    <row r="9" spans="1:8" s="858" customFormat="1" ht="14.25" customHeight="1" thickBot="1" x14ac:dyDescent="0.25">
      <c r="A9" s="857" t="s">
        <v>1355</v>
      </c>
      <c r="B9" s="1814">
        <f>'Acct Summary 7-8'!C17</f>
        <v>4286253</v>
      </c>
      <c r="C9" s="1814">
        <f>'Acct Summary 7-8'!D17</f>
        <v>443179</v>
      </c>
      <c r="D9" s="1814">
        <f>'Acct Summary 7-8'!F17</f>
        <v>189113</v>
      </c>
      <c r="E9" s="1813"/>
      <c r="F9" s="1813">
        <f>SUM(B9:E9)</f>
        <v>4918545</v>
      </c>
    </row>
    <row r="10" spans="1:8" s="858" customFormat="1" ht="14.25" thickTop="1" thickBot="1" x14ac:dyDescent="0.25">
      <c r="A10" s="859" t="s">
        <v>1356</v>
      </c>
      <c r="B10" s="1815">
        <f>(B8-B9)</f>
        <v>94473</v>
      </c>
      <c r="C10" s="1815">
        <f>(C8-C9)</f>
        <v>32811</v>
      </c>
      <c r="D10" s="1815">
        <f>(D8-D9)</f>
        <v>17235</v>
      </c>
      <c r="E10" s="1814">
        <f>(E8-E9)</f>
        <v>10727</v>
      </c>
      <c r="F10" s="1816">
        <f>SUM(F8-F9)</f>
        <v>155246</v>
      </c>
    </row>
    <row r="11" spans="1:8" s="858" customFormat="1" ht="14.25" thickTop="1" thickBot="1" x14ac:dyDescent="0.25">
      <c r="A11" s="860" t="s">
        <v>1906</v>
      </c>
      <c r="B11" s="1817">
        <f>'Acct Summary 7-8'!C81</f>
        <v>1368865</v>
      </c>
      <c r="C11" s="1817">
        <f>'Acct Summary 7-8'!D81</f>
        <v>732139</v>
      </c>
      <c r="D11" s="1817">
        <f>'Acct Summary 7-8'!F81</f>
        <v>517451</v>
      </c>
      <c r="E11" s="1817">
        <f>'Acct Summary 7-8'!I81</f>
        <v>538522</v>
      </c>
      <c r="F11" s="1818">
        <f>SUM(B11:E11)</f>
        <v>3156977</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1669</v>
      </c>
      <c r="B16" s="2473"/>
      <c r="C16" s="2473"/>
      <c r="D16" s="2473"/>
      <c r="E16" s="2473"/>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4" colorId="8" zoomScaleNormal="10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1490</v>
      </c>
      <c r="D7" s="2507"/>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0" t="s">
        <v>311</v>
      </c>
      <c r="D21" s="2511"/>
    </row>
    <row r="22" spans="1:10" ht="12.75" x14ac:dyDescent="0.2">
      <c r="A22" s="918"/>
      <c r="B22" s="919">
        <v>2</v>
      </c>
      <c r="C22" s="2508" t="s">
        <v>1510</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ERROR!</v>
      </c>
    </row>
    <row r="69" spans="1:4" x14ac:dyDescent="0.2">
      <c r="A69" s="879"/>
      <c r="B69" s="889"/>
      <c r="C69" s="881" t="s">
        <v>1885</v>
      </c>
      <c r="D69" s="903" t="str">
        <f>IF('Expenditures 15-22'!H170&lt;&gt;'Short-Term Long-Term Debt 24'!H49,"ERROR!","OK")</f>
        <v>ERROR!</v>
      </c>
    </row>
    <row r="70" spans="1:4" x14ac:dyDescent="0.2">
      <c r="A70" s="877"/>
      <c r="B70" s="899">
        <f>B66+1</f>
        <v>9</v>
      </c>
      <c r="C70" s="2504" t="s">
        <v>1677</v>
      </c>
      <c r="D70" s="2505"/>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53090703026</v>
      </c>
      <c r="E2" s="1542">
        <v>2020</v>
      </c>
      <c r="F2" s="1542">
        <v>1</v>
      </c>
      <c r="G2" s="1899">
        <v>101000300</v>
      </c>
    </row>
    <row r="3" spans="1:7" ht="15" x14ac:dyDescent="0.25">
      <c r="A3" t="s">
        <v>950</v>
      </c>
      <c r="B3" s="135" t="str">
        <f>COVER!A15</f>
        <v>Tazewell/Logan</v>
      </c>
      <c r="E3" s="1830" t="s">
        <v>1974</v>
      </c>
      <c r="F3" s="1830" t="s">
        <v>1973</v>
      </c>
      <c r="G3" s="1899">
        <v>101000400</v>
      </c>
    </row>
    <row r="4" spans="1:7" ht="15" x14ac:dyDescent="0.25">
      <c r="A4" t="s">
        <v>1000</v>
      </c>
      <c r="B4" s="135" t="str">
        <f>COVER!A17</f>
        <v xml:space="preserve">   Delavan CUSD 703</v>
      </c>
      <c r="E4" s="1828">
        <v>44119</v>
      </c>
      <c r="F4" s="1829">
        <v>44151</v>
      </c>
      <c r="G4" s="1899">
        <v>101000600</v>
      </c>
    </row>
    <row r="5" spans="1:7" ht="15" x14ac:dyDescent="0.25">
      <c r="A5" t="s">
        <v>699</v>
      </c>
      <c r="B5" s="135" t="str">
        <f>COVER!A38</f>
        <v>Dr. Andrew Brooks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066-004355</v>
      </c>
      <c r="G15" s="1899">
        <v>402100400</v>
      </c>
    </row>
    <row r="16" spans="1:7" ht="15" x14ac:dyDescent="0.25">
      <c r="A16" t="s">
        <v>419</v>
      </c>
      <c r="B16" s="135" t="str">
        <f>COVER!T13</f>
        <v>Phillips, Salmi &amp; Associates, LLC</v>
      </c>
      <c r="G16" s="1899">
        <v>402100600</v>
      </c>
    </row>
    <row r="17" spans="1:7" ht="15" x14ac:dyDescent="0.25">
      <c r="A17" t="s">
        <v>878</v>
      </c>
      <c r="B17" s="135" t="str">
        <f>COVER!T15</f>
        <v>Aaron Phillips</v>
      </c>
      <c r="G17" s="1899">
        <v>402100800</v>
      </c>
    </row>
    <row r="18" spans="1:7" ht="15" x14ac:dyDescent="0.25">
      <c r="A18" t="s">
        <v>1142</v>
      </c>
      <c r="B18" s="135" t="str">
        <f>COVER!T17</f>
        <v>112 S Main Street</v>
      </c>
      <c r="G18" s="1899">
        <v>102200300</v>
      </c>
    </row>
    <row r="19" spans="1:7" ht="15" x14ac:dyDescent="0.25">
      <c r="A19" t="s">
        <v>880</v>
      </c>
      <c r="B19" s="135" t="str">
        <f>COVER!T25</f>
        <v>aphillips@psa-cpa.com</v>
      </c>
      <c r="G19" s="1899">
        <v>102200400</v>
      </c>
    </row>
    <row r="20" spans="1:7" ht="15" x14ac:dyDescent="0.25">
      <c r="A20" t="s">
        <v>881</v>
      </c>
      <c r="B20" s="135" t="str">
        <f>COVER!T19</f>
        <v>Washington</v>
      </c>
      <c r="G20" s="1899">
        <v>102200600</v>
      </c>
    </row>
    <row r="21" spans="1:7" ht="15" x14ac:dyDescent="0.25">
      <c r="A21" t="s">
        <v>476</v>
      </c>
      <c r="B21" s="135" t="str">
        <f>COVER!X19</f>
        <v>IL</v>
      </c>
      <c r="G21" s="1899">
        <v>102200800</v>
      </c>
    </row>
    <row r="22" spans="1:7" ht="15" x14ac:dyDescent="0.25">
      <c r="A22" t="s">
        <v>882</v>
      </c>
      <c r="B22" s="135">
        <f>COVER!Z19</f>
        <v>61571</v>
      </c>
      <c r="G22" s="1899">
        <v>102300300</v>
      </c>
    </row>
    <row r="23" spans="1:7" ht="15" x14ac:dyDescent="0.25">
      <c r="A23" t="s">
        <v>1144</v>
      </c>
      <c r="B23" s="135" t="str">
        <f>COVER!T21</f>
        <v>309 444-4909</v>
      </c>
      <c r="G23" s="1899">
        <v>102300400</v>
      </c>
    </row>
    <row r="24" spans="1:7" ht="15" x14ac:dyDescent="0.25">
      <c r="A24" t="s">
        <v>1143</v>
      </c>
      <c r="B24" s="135">
        <f>COVER!Y21</f>
        <v>0</v>
      </c>
      <c r="G24" s="1899">
        <v>102300600</v>
      </c>
    </row>
    <row r="25" spans="1:7" ht="15" x14ac:dyDescent="0.25">
      <c r="A25" t="s">
        <v>756</v>
      </c>
      <c r="B25" s="135" t="str">
        <f>COVER!B34</f>
        <v>x</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36161</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1368865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1368865</v>
      </c>
      <c r="D92" s="2" t="str">
        <f t="shared" si="0"/>
        <v>Error?</v>
      </c>
      <c r="G92" s="1899">
        <v>102640600</v>
      </c>
    </row>
    <row r="93" spans="1:7" ht="15" x14ac:dyDescent="0.25">
      <c r="A93" s="5">
        <v>32</v>
      </c>
      <c r="B93" s="1832">
        <f>'Assets-Liab 5-6'!C41</f>
        <v>1368865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732139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682139</v>
      </c>
      <c r="D123" s="2" t="str">
        <f t="shared" si="0"/>
        <v>Error?</v>
      </c>
      <c r="G123" s="1899">
        <v>203000400</v>
      </c>
    </row>
    <row r="124" spans="1:7" ht="15" x14ac:dyDescent="0.25">
      <c r="A124" s="5">
        <v>63</v>
      </c>
      <c r="B124" s="1832">
        <f>'Assets-Liab 5-6'!D41</f>
        <v>732139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23160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23160</v>
      </c>
      <c r="D140" s="2" t="str">
        <f t="shared" si="1"/>
        <v>Error?</v>
      </c>
    </row>
    <row r="141" spans="1:7" x14ac:dyDescent="0.2">
      <c r="A141" s="5">
        <v>80</v>
      </c>
      <c r="B141" s="1832">
        <f>'Assets-Liab 5-6'!E41</f>
        <v>23160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517451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517451</v>
      </c>
      <c r="D170" s="2" t="str">
        <f t="shared" si="1"/>
        <v>Error?</v>
      </c>
    </row>
    <row r="171" spans="1:4" x14ac:dyDescent="0.2">
      <c r="A171" s="5">
        <v>110</v>
      </c>
      <c r="B171" s="1832">
        <f>'Assets-Liab 5-6'!F41</f>
        <v>517451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159089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85369</v>
      </c>
      <c r="D189" s="2" t="str">
        <f t="shared" si="1"/>
        <v>Error?</v>
      </c>
    </row>
    <row r="190" spans="1:4" x14ac:dyDescent="0.2">
      <c r="A190" s="5">
        <v>129</v>
      </c>
      <c r="B190" s="1832">
        <f>'Assets-Liab 5-6'!G41</f>
        <v>159089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105179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105179</v>
      </c>
      <c r="D212" s="2" t="str">
        <f t="shared" si="2"/>
        <v>Error?</v>
      </c>
    </row>
    <row r="213" spans="1:4" x14ac:dyDescent="0.2">
      <c r="A213" s="12">
        <v>152</v>
      </c>
      <c r="B213" s="1832">
        <f>'Assets-Liab 5-6'!H41</f>
        <v>105179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47526</v>
      </c>
      <c r="D273" s="2" t="str">
        <f t="shared" si="3"/>
        <v>Error?</v>
      </c>
    </row>
    <row r="274" spans="1:4" x14ac:dyDescent="0.2">
      <c r="A274" s="5">
        <v>213</v>
      </c>
      <c r="B274" s="1832">
        <f>'Assets-Liab 5-6'!M17</f>
        <v>10234351</v>
      </c>
      <c r="D274" s="2" t="str">
        <f t="shared" si="3"/>
        <v>Error?</v>
      </c>
    </row>
    <row r="275" spans="1:4" x14ac:dyDescent="0.2">
      <c r="A275" s="5">
        <v>214</v>
      </c>
      <c r="B275" s="1832">
        <f>'Assets-Liab 5-6'!M18</f>
        <v>1083978</v>
      </c>
      <c r="D275" s="2" t="str">
        <f t="shared" si="3"/>
        <v>Error?</v>
      </c>
    </row>
    <row r="276" spans="1:4" x14ac:dyDescent="0.2">
      <c r="A276" s="5">
        <v>215</v>
      </c>
      <c r="B276" s="1832">
        <f>'Assets-Liab 5-6'!M19</f>
        <v>664547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12082676</v>
      </c>
      <c r="C279" s="2" t="s">
        <v>569</v>
      </c>
      <c r="D279" s="2" t="str">
        <f t="shared" si="3"/>
        <v>Error?</v>
      </c>
    </row>
    <row r="280" spans="1:4" x14ac:dyDescent="0.2">
      <c r="A280" s="5">
        <v>219</v>
      </c>
      <c r="B280" s="1832">
        <f>'Assets-Liab 5-6'!M40</f>
        <v>12082676</v>
      </c>
      <c r="D280" s="2" t="str">
        <f t="shared" si="3"/>
        <v>Error?</v>
      </c>
    </row>
    <row r="281" spans="1:4" x14ac:dyDescent="0.2">
      <c r="A281" s="5">
        <v>220</v>
      </c>
      <c r="B281" s="1832">
        <f>'Assets-Liab 5-6'!M41</f>
        <v>12082676</v>
      </c>
      <c r="C281" s="2" t="s">
        <v>569</v>
      </c>
      <c r="D281" s="2" t="str">
        <f t="shared" si="3"/>
        <v>Error?</v>
      </c>
    </row>
    <row r="282" spans="1:4" x14ac:dyDescent="0.2">
      <c r="A282" s="5">
        <v>221</v>
      </c>
      <c r="B282" s="1832">
        <f>'Assets-Liab 5-6'!N21</f>
        <v>23160</v>
      </c>
      <c r="D282" s="2" t="str">
        <f t="shared" si="3"/>
        <v>Error?</v>
      </c>
    </row>
    <row r="283" spans="1:4" x14ac:dyDescent="0.2">
      <c r="A283" s="5">
        <v>222</v>
      </c>
      <c r="B283" s="1832">
        <f>'Assets-Liab 5-6'!N22</f>
        <v>6456453</v>
      </c>
      <c r="D283" s="2" t="str">
        <f t="shared" si="3"/>
        <v>Error?</v>
      </c>
    </row>
    <row r="284" spans="1:4" x14ac:dyDescent="0.2">
      <c r="A284" s="5">
        <v>223</v>
      </c>
      <c r="B284" s="1832">
        <f>'Assets-Liab 5-6'!N23</f>
        <v>6479613</v>
      </c>
      <c r="C284" s="2" t="s">
        <v>569</v>
      </c>
      <c r="D284" s="2" t="str">
        <f t="shared" si="3"/>
        <v>Error?</v>
      </c>
    </row>
    <row r="285" spans="1:4" x14ac:dyDescent="0.2">
      <c r="A285" s="5">
        <v>224</v>
      </c>
      <c r="B285" s="1832">
        <f>'Assets-Liab 5-6'!N36</f>
        <v>6479613</v>
      </c>
      <c r="D285" s="2" t="str">
        <f t="shared" si="3"/>
        <v>Error?</v>
      </c>
    </row>
    <row r="286" spans="1:4" x14ac:dyDescent="0.2">
      <c r="A286" s="10">
        <v>225</v>
      </c>
      <c r="B286" s="1832"/>
      <c r="D286" s="2" t="str">
        <f t="shared" si="3"/>
        <v>OK</v>
      </c>
    </row>
    <row r="287" spans="1:4" x14ac:dyDescent="0.2">
      <c r="A287" s="5">
        <v>226</v>
      </c>
      <c r="B287" s="1832">
        <f>'Assets-Liab 5-6'!N37</f>
        <v>6479613</v>
      </c>
      <c r="C287" s="2" t="s">
        <v>569</v>
      </c>
      <c r="D287" s="2" t="str">
        <f t="shared" si="3"/>
        <v>Error?</v>
      </c>
    </row>
    <row r="288" spans="1:4" x14ac:dyDescent="0.2">
      <c r="A288" s="5">
        <v>227</v>
      </c>
      <c r="B288" s="1832">
        <f>'Assets-Liab 5-6'!N41</f>
        <v>6479613</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1535061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186493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2310156</v>
      </c>
      <c r="C720" s="2" t="s">
        <v>569</v>
      </c>
      <c r="D720" s="2" t="str">
        <f t="shared" si="10"/>
        <v>Error?</v>
      </c>
    </row>
    <row r="721" spans="1:4" x14ac:dyDescent="0.2">
      <c r="A721" s="5">
        <v>660</v>
      </c>
      <c r="B721" s="1832">
        <f>'Expenditures 15-22'!C36</f>
        <v>48611</v>
      </c>
      <c r="D721" s="2" t="str">
        <f t="shared" si="10"/>
        <v>Error?</v>
      </c>
    </row>
    <row r="722" spans="1:4" x14ac:dyDescent="0.2">
      <c r="A722" s="5">
        <v>661</v>
      </c>
      <c r="B722" s="1832">
        <f>'Expenditures 15-22'!C37</f>
        <v>59184</v>
      </c>
      <c r="D722" s="2" t="str">
        <f t="shared" si="10"/>
        <v>Error?</v>
      </c>
    </row>
    <row r="723" spans="1:4" x14ac:dyDescent="0.2">
      <c r="A723" s="5">
        <v>662</v>
      </c>
      <c r="B723" s="1832">
        <f>'Expenditures 15-22'!C38</f>
        <v>24986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47313</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180094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49978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49978</v>
      </c>
      <c r="C731" s="2" t="s">
        <v>569</v>
      </c>
      <c r="D731" s="2" t="str">
        <f t="shared" si="10"/>
        <v>Error?</v>
      </c>
    </row>
    <row r="732" spans="1:4" x14ac:dyDescent="0.2">
      <c r="A732" s="5">
        <v>671</v>
      </c>
      <c r="B732" s="1832">
        <f>'Expenditures 15-22'!C49</f>
        <v>4849</v>
      </c>
      <c r="D732" s="2" t="str">
        <f t="shared" si="10"/>
        <v>Error?</v>
      </c>
    </row>
    <row r="733" spans="1:4" x14ac:dyDescent="0.2">
      <c r="A733" s="5">
        <v>672</v>
      </c>
      <c r="B733" s="1832">
        <f>'Expenditures 15-22'!C50</f>
        <v>118955</v>
      </c>
      <c r="D733" s="2" t="str">
        <f t="shared" si="10"/>
        <v>Error?</v>
      </c>
    </row>
    <row r="734" spans="1:4" x14ac:dyDescent="0.2">
      <c r="A734" s="5">
        <v>673</v>
      </c>
      <c r="B734" s="1832">
        <f>'Expenditures 15-22'!C53</f>
        <v>123804</v>
      </c>
      <c r="C734" s="2" t="s">
        <v>569</v>
      </c>
      <c r="D734" s="2" t="str">
        <f t="shared" si="10"/>
        <v>Error?</v>
      </c>
    </row>
    <row r="735" spans="1:4" x14ac:dyDescent="0.2">
      <c r="A735" s="5">
        <v>674</v>
      </c>
      <c r="B735" s="1832">
        <f>'Expenditures 15-22'!C55</f>
        <v>135199</v>
      </c>
      <c r="D735" s="2" t="str">
        <f t="shared" si="10"/>
        <v>Error?</v>
      </c>
    </row>
    <row r="736" spans="1:4" x14ac:dyDescent="0.2">
      <c r="A736" s="5">
        <v>675</v>
      </c>
      <c r="B736" s="1832">
        <f>'Expenditures 15-22'!C56</f>
        <v>59886</v>
      </c>
      <c r="D736" s="2" t="str">
        <f t="shared" si="10"/>
        <v>Error?</v>
      </c>
    </row>
    <row r="737" spans="1:4" x14ac:dyDescent="0.2">
      <c r="A737" s="5">
        <v>676</v>
      </c>
      <c r="B737" s="1832">
        <f>'Expenditures 15-22'!C57</f>
        <v>195085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47773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47773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596734</v>
      </c>
      <c r="C755" s="2" t="s">
        <v>569</v>
      </c>
      <c r="D755" s="2" t="str">
        <f t="shared" si="10"/>
        <v>Error?</v>
      </c>
    </row>
    <row r="756" spans="1:4" x14ac:dyDescent="0.2">
      <c r="A756" s="5">
        <v>695</v>
      </c>
      <c r="B756" s="1832">
        <f>'Expenditures 15-22'!C75</f>
        <v>8443</v>
      </c>
      <c r="D756" s="2" t="str">
        <f t="shared" si="10"/>
        <v>Error?</v>
      </c>
    </row>
    <row r="757" spans="1:4" x14ac:dyDescent="0.2">
      <c r="A757" s="5">
        <v>696</v>
      </c>
      <c r="B757" s="1832">
        <f>'Expenditures 15-22'!C114</f>
        <v>2915333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312869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37611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464233</v>
      </c>
      <c r="C778" s="2" t="s">
        <v>569</v>
      </c>
      <c r="D778" s="2" t="str">
        <f t="shared" si="11"/>
        <v>Error?</v>
      </c>
    </row>
    <row r="779" spans="1:4" x14ac:dyDescent="0.2">
      <c r="A779" s="5">
        <v>718</v>
      </c>
      <c r="B779" s="1832">
        <f>'Expenditures 15-22'!D36</f>
        <v>11491</v>
      </c>
      <c r="D779" s="2" t="str">
        <f t="shared" si="11"/>
        <v>Error?</v>
      </c>
    </row>
    <row r="780" spans="1:4" x14ac:dyDescent="0.2">
      <c r="A780" s="5">
        <v>719</v>
      </c>
      <c r="B780" s="1832">
        <f>'Expenditures 15-22'!D37</f>
        <v>13523</v>
      </c>
      <c r="D780" s="2" t="str">
        <f t="shared" si="11"/>
        <v>Error?</v>
      </c>
    </row>
    <row r="781" spans="1:4" x14ac:dyDescent="0.2">
      <c r="A781" s="5">
        <v>720</v>
      </c>
      <c r="B781" s="1832">
        <f>'Expenditures 15-22'!D38</f>
        <v>5155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9012</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39181</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11050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11050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35468</v>
      </c>
      <c r="D791" s="2" t="str">
        <f t="shared" si="11"/>
        <v>Error?</v>
      </c>
    </row>
    <row r="792" spans="1:4" x14ac:dyDescent="0.2">
      <c r="A792" s="5">
        <v>731</v>
      </c>
      <c r="B792" s="1832">
        <f>'Expenditures 15-22'!D53</f>
        <v>35468</v>
      </c>
      <c r="C792" s="2" t="s">
        <v>569</v>
      </c>
      <c r="D792" s="2" t="str">
        <f t="shared" si="11"/>
        <v>Error?</v>
      </c>
    </row>
    <row r="793" spans="1:4" x14ac:dyDescent="0.2">
      <c r="A793" s="5">
        <v>732</v>
      </c>
      <c r="B793" s="1832">
        <f>'Expenditures 15-22'!D55</f>
        <v>32860</v>
      </c>
      <c r="D793" s="2" t="str">
        <f t="shared" si="11"/>
        <v>Error?</v>
      </c>
    </row>
    <row r="794" spans="1:4" x14ac:dyDescent="0.2">
      <c r="A794" s="5">
        <v>733</v>
      </c>
      <c r="B794" s="1832">
        <f>'Expenditures 15-22'!D56</f>
        <v>7736</v>
      </c>
      <c r="D794" s="2" t="str">
        <f t="shared" si="11"/>
        <v>Error?</v>
      </c>
    </row>
    <row r="795" spans="1:4" x14ac:dyDescent="0.2">
      <c r="A795" s="5">
        <v>734</v>
      </c>
      <c r="B795" s="1832">
        <f>'Expenditures 15-22'!D57</f>
        <v>40596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5262</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5262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131557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595790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8323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15923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76937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23219</v>
      </c>
      <c r="D844" s="2" t="str">
        <f t="shared" si="12"/>
        <v>Error?</v>
      </c>
    </row>
    <row r="845" spans="1:4" x14ac:dyDescent="0.2">
      <c r="A845" s="5">
        <v>784</v>
      </c>
      <c r="B845" s="1832">
        <f>'Expenditures 15-22'!E45</f>
        <v>204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23423</v>
      </c>
      <c r="C847" s="2" t="s">
        <v>569</v>
      </c>
      <c r="D847" s="2" t="str">
        <f t="shared" si="12"/>
        <v>Error?</v>
      </c>
    </row>
    <row r="848" spans="1:4" x14ac:dyDescent="0.2">
      <c r="A848" s="5">
        <v>787</v>
      </c>
      <c r="B848" s="1832">
        <f>'Expenditures 15-22'!E49</f>
        <v>11828</v>
      </c>
      <c r="D848" s="2" t="str">
        <f t="shared" si="12"/>
        <v>Error?</v>
      </c>
    </row>
    <row r="849" spans="1:4" x14ac:dyDescent="0.2">
      <c r="A849" s="5">
        <v>788</v>
      </c>
      <c r="B849" s="1832">
        <f>'Expenditures 15-22'!E50</f>
        <v>12216</v>
      </c>
      <c r="D849" s="2" t="str">
        <f t="shared" si="12"/>
        <v>Error?</v>
      </c>
    </row>
    <row r="850" spans="1:4" x14ac:dyDescent="0.2">
      <c r="A850" s="5">
        <v>789</v>
      </c>
      <c r="B850" s="1832">
        <f>'Expenditures 15-22'!E53</f>
        <v>24044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84817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84817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36663</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36663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168947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328155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105651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2352</v>
      </c>
      <c r="D891" s="2" t="str">
        <f t="shared" si="12"/>
        <v>Error?</v>
      </c>
    </row>
    <row r="892" spans="1:4" x14ac:dyDescent="0.2">
      <c r="A892" s="5">
        <v>831</v>
      </c>
      <c r="B892" s="1832">
        <f>'Expenditures 15-22'!F14</f>
        <v>7321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174656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3466</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3511</v>
      </c>
      <c r="C901" s="2" t="s">
        <v>569</v>
      </c>
      <c r="D901" s="2" t="str">
        <f t="shared" si="13"/>
        <v>Error?</v>
      </c>
    </row>
    <row r="902" spans="1:4" x14ac:dyDescent="0.2">
      <c r="A902" s="5">
        <v>841</v>
      </c>
      <c r="B902" s="1832">
        <f>'Expenditures 15-22'!F44</f>
        <v>40863</v>
      </c>
      <c r="D902" s="2" t="str">
        <f t="shared" si="13"/>
        <v>Error?</v>
      </c>
    </row>
    <row r="903" spans="1:4" x14ac:dyDescent="0.2">
      <c r="A903" s="5">
        <v>842</v>
      </c>
      <c r="B903" s="1832">
        <f>'Expenditures 15-22'!F45</f>
        <v>2225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43088</v>
      </c>
      <c r="C905" s="2" t="s">
        <v>569</v>
      </c>
      <c r="D905" s="2" t="str">
        <f t="shared" si="13"/>
        <v>Error?</v>
      </c>
    </row>
    <row r="906" spans="1:4" x14ac:dyDescent="0.2">
      <c r="A906" s="5">
        <v>845</v>
      </c>
      <c r="B906" s="1832">
        <f>'Expenditures 15-22'!F49</f>
        <v>25</v>
      </c>
      <c r="D906" s="2" t="str">
        <f t="shared" si="13"/>
        <v>Error?</v>
      </c>
    </row>
    <row r="907" spans="1:4" x14ac:dyDescent="0.2">
      <c r="A907" s="5">
        <v>846</v>
      </c>
      <c r="B907" s="1832">
        <f>'Expenditures 15-22'!F50</f>
        <v>5813</v>
      </c>
      <c r="D907" s="2" t="str">
        <f t="shared" si="13"/>
        <v>Error?</v>
      </c>
    </row>
    <row r="908" spans="1:4" x14ac:dyDescent="0.2">
      <c r="A908" s="5">
        <v>847</v>
      </c>
      <c r="B908" s="1832">
        <f>'Expenditures 15-22'!F53</f>
        <v>5838</v>
      </c>
      <c r="C908" s="2" t="s">
        <v>569</v>
      </c>
      <c r="D908" s="2" t="str">
        <f t="shared" si="13"/>
        <v>Error?</v>
      </c>
    </row>
    <row r="909" spans="1:4" x14ac:dyDescent="0.2">
      <c r="A909" s="5">
        <v>848</v>
      </c>
      <c r="B909" s="1832">
        <f>'Expenditures 15-22'!F55</f>
        <v>994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994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53431</v>
      </c>
      <c r="C929" s="2" t="s">
        <v>569</v>
      </c>
      <c r="D929" s="2" t="str">
        <f t="shared" si="13"/>
        <v>Error?</v>
      </c>
    </row>
    <row r="930" spans="1:4" x14ac:dyDescent="0.2">
      <c r="A930" s="5">
        <v>869</v>
      </c>
      <c r="B930" s="1832">
        <f>'Expenditures 15-22'!F75</f>
        <v>869</v>
      </c>
      <c r="D930" s="2" t="str">
        <f t="shared" si="13"/>
        <v>OK</v>
      </c>
    </row>
    <row r="931" spans="1:4" x14ac:dyDescent="0.2">
      <c r="A931" s="5">
        <v>870</v>
      </c>
      <c r="B931" s="1832">
        <f>'Expenditures 15-22'!F114</f>
        <v>228956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3648</v>
      </c>
      <c r="D965" s="2" t="str">
        <f t="shared" si="14"/>
        <v>Error?</v>
      </c>
    </row>
    <row r="966" spans="1:4" x14ac:dyDescent="0.2">
      <c r="A966" s="5">
        <v>905</v>
      </c>
      <c r="B966" s="1832">
        <f>'Expenditures 15-22'!G53</f>
        <v>3648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3648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3648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4822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3116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138566</v>
      </c>
      <c r="C1010" s="2" t="s">
        <v>569</v>
      </c>
      <c r="D1010" s="2" t="str">
        <f t="shared" si="14"/>
        <v>Error?</v>
      </c>
    </row>
    <row r="1011" spans="1:4" x14ac:dyDescent="0.2">
      <c r="A1011" s="5">
        <v>950</v>
      </c>
      <c r="B1011" s="1832">
        <f>'Expenditures 15-22'!H36</f>
        <v>75</v>
      </c>
      <c r="D1011" s="2" t="str">
        <f t="shared" si="14"/>
        <v>Error?</v>
      </c>
    </row>
    <row r="1012" spans="1:4" x14ac:dyDescent="0.2">
      <c r="A1012" s="5">
        <v>951</v>
      </c>
      <c r="B1012" s="1832">
        <f>'Expenditures 15-22'!H37</f>
        <v>385</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460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1715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1715</v>
      </c>
      <c r="C1021" s="2" t="s">
        <v>569</v>
      </c>
      <c r="D1021" s="2" t="str">
        <f t="shared" si="14"/>
        <v>Error?</v>
      </c>
    </row>
    <row r="1022" spans="1:4" x14ac:dyDescent="0.2">
      <c r="A1022" s="5">
        <v>961</v>
      </c>
      <c r="B1022" s="1832">
        <f>'Expenditures 15-22'!H49</f>
        <v>3730</v>
      </c>
      <c r="D1022" s="2" t="str">
        <f t="shared" si="14"/>
        <v>Error?</v>
      </c>
    </row>
    <row r="1023" spans="1:4" x14ac:dyDescent="0.2">
      <c r="A1023" s="5">
        <v>962</v>
      </c>
      <c r="B1023" s="1832">
        <f>'Expenditures 15-22'!H50</f>
        <v>1475</v>
      </c>
      <c r="D1023" s="2" t="str">
        <f t="shared" ref="D1023:D1086" si="15">IF(ISBLANK(B1023),"OK",IF(A1023-B1023=0,"OK","Error?"))</f>
        <v>Error?</v>
      </c>
    </row>
    <row r="1024" spans="1:4" x14ac:dyDescent="0.2">
      <c r="A1024" s="5">
        <v>963</v>
      </c>
      <c r="B1024" s="1832">
        <f>'Expenditures 15-22'!H53</f>
        <v>5205</v>
      </c>
      <c r="C1024" s="2" t="s">
        <v>569</v>
      </c>
      <c r="D1024" s="2" t="str">
        <f t="shared" si="15"/>
        <v>Error?</v>
      </c>
    </row>
    <row r="1025" spans="1:4" x14ac:dyDescent="0.2">
      <c r="A1025" s="5">
        <v>964</v>
      </c>
      <c r="B1025" s="1832">
        <f>'Expenditures 15-22'!H55</f>
        <v>952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952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8332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67473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214371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1966726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2352</v>
      </c>
      <c r="C1105" s="2" t="s">
        <v>569</v>
      </c>
      <c r="D1105" s="2" t="str">
        <f t="shared" si="16"/>
        <v>Error?</v>
      </c>
    </row>
    <row r="1106" spans="1:4" x14ac:dyDescent="0.2">
      <c r="A1106" s="5">
        <v>1045</v>
      </c>
      <c r="B1106" s="1832">
        <f>'Expenditures 15-22'!K14</f>
        <v>250464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3164548</v>
      </c>
      <c r="C1108" s="2" t="s">
        <v>569</v>
      </c>
      <c r="D1108" s="2" t="str">
        <f t="shared" si="16"/>
        <v>Error?</v>
      </c>
    </row>
    <row r="1109" spans="1:4" x14ac:dyDescent="0.2">
      <c r="A1109" s="5">
        <v>1048</v>
      </c>
      <c r="B1109" s="1832">
        <f>'Expenditures 15-22'!K36</f>
        <v>60177</v>
      </c>
      <c r="C1109" s="2" t="s">
        <v>569</v>
      </c>
      <c r="D1109" s="2" t="str">
        <f t="shared" si="16"/>
        <v>Error?</v>
      </c>
    </row>
    <row r="1110" spans="1:4" x14ac:dyDescent="0.2">
      <c r="A1110" s="5">
        <v>1049</v>
      </c>
      <c r="B1110" s="1832">
        <f>'Expenditures 15-22'!K37</f>
        <v>73092</v>
      </c>
      <c r="C1110" s="2" t="s">
        <v>569</v>
      </c>
      <c r="D1110" s="2" t="str">
        <f t="shared" si="16"/>
        <v>Error?</v>
      </c>
    </row>
    <row r="1111" spans="1:4" x14ac:dyDescent="0.2">
      <c r="A1111" s="5">
        <v>1050</v>
      </c>
      <c r="B1111" s="1832">
        <f>'Expenditures 15-22'!K38</f>
        <v>33607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56370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223246</v>
      </c>
      <c r="C1115" s="2" t="s">
        <v>569</v>
      </c>
      <c r="D1115" s="2" t="str">
        <f t="shared" si="16"/>
        <v>Error?</v>
      </c>
    </row>
    <row r="1116" spans="1:4" x14ac:dyDescent="0.2">
      <c r="A1116" s="5">
        <v>1055</v>
      </c>
      <c r="B1116" s="1832">
        <f>'Expenditures 15-22'!K44</f>
        <v>64082</v>
      </c>
      <c r="C1116" s="2" t="s">
        <v>569</v>
      </c>
      <c r="D1116" s="2" t="str">
        <f t="shared" si="16"/>
        <v>Error?</v>
      </c>
    </row>
    <row r="1117" spans="1:4" x14ac:dyDescent="0.2">
      <c r="A1117" s="5">
        <v>1056</v>
      </c>
      <c r="B1117" s="1832">
        <f>'Expenditures 15-22'!K45</f>
        <v>65172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129254</v>
      </c>
      <c r="C1119" s="2" t="s">
        <v>569</v>
      </c>
      <c r="D1119" s="2" t="str">
        <f t="shared" si="16"/>
        <v>Error?</v>
      </c>
    </row>
    <row r="1120" spans="1:4" x14ac:dyDescent="0.2">
      <c r="A1120" s="5">
        <v>1059</v>
      </c>
      <c r="B1120" s="1832">
        <f>'Expenditures 15-22'!K49</f>
        <v>20432</v>
      </c>
      <c r="C1120" s="2" t="s">
        <v>569</v>
      </c>
      <c r="D1120" s="2" t="str">
        <f t="shared" si="16"/>
        <v>Error?</v>
      </c>
    </row>
    <row r="1121" spans="1:4" x14ac:dyDescent="0.2">
      <c r="A1121" s="5">
        <v>1060</v>
      </c>
      <c r="B1121" s="1832">
        <f>'Expenditures 15-22'!K50</f>
        <v>177575</v>
      </c>
      <c r="C1121" s="2" t="s">
        <v>569</v>
      </c>
      <c r="D1121" s="2" t="str">
        <f t="shared" si="16"/>
        <v>Error?</v>
      </c>
    </row>
    <row r="1122" spans="1:4" x14ac:dyDescent="0.2">
      <c r="A1122" s="5">
        <v>1061</v>
      </c>
      <c r="B1122" s="1832">
        <f>'Expenditures 15-22'!K53</f>
        <v>198007</v>
      </c>
      <c r="C1122" s="2" t="s">
        <v>569</v>
      </c>
      <c r="D1122" s="2" t="str">
        <f t="shared" si="16"/>
        <v>Error?</v>
      </c>
    </row>
    <row r="1123" spans="1:4" x14ac:dyDescent="0.2">
      <c r="A1123" s="5">
        <v>1062</v>
      </c>
      <c r="B1123" s="1832">
        <f>'Expenditures 15-22'!K55</f>
        <v>170005</v>
      </c>
      <c r="C1123" s="2" t="s">
        <v>569</v>
      </c>
      <c r="D1123" s="2" t="str">
        <f t="shared" si="16"/>
        <v>Error?</v>
      </c>
    </row>
    <row r="1124" spans="1:4" x14ac:dyDescent="0.2">
      <c r="A1124" s="5">
        <v>1063</v>
      </c>
      <c r="B1124" s="1832">
        <f>'Expenditures 15-22'!K56</f>
        <v>67622</v>
      </c>
      <c r="C1124" s="2" t="s">
        <v>569</v>
      </c>
      <c r="D1124" s="2" t="str">
        <f t="shared" si="16"/>
        <v>Error?</v>
      </c>
    </row>
    <row r="1125" spans="1:4" x14ac:dyDescent="0.2">
      <c r="A1125" s="5">
        <v>1064</v>
      </c>
      <c r="B1125" s="1832">
        <f>'Expenditures 15-22'!K57</f>
        <v>237627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53035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84817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137852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36663</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36663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962649</v>
      </c>
      <c r="C1143" s="2" t="s">
        <v>569</v>
      </c>
      <c r="D1143" s="2" t="str">
        <f t="shared" si="16"/>
        <v>Error?</v>
      </c>
    </row>
    <row r="1144" spans="1:4" x14ac:dyDescent="0.2">
      <c r="A1144" s="5">
        <v>1083</v>
      </c>
      <c r="B1144" s="1832">
        <f>'Expenditures 15-22'!K75</f>
        <v>9312</v>
      </c>
      <c r="C1144" s="2" t="s">
        <v>569</v>
      </c>
      <c r="D1144" s="2" t="str">
        <f t="shared" si="16"/>
        <v>Error?</v>
      </c>
    </row>
    <row r="1145" spans="1:4" x14ac:dyDescent="0.2">
      <c r="A1145" s="5">
        <v>1084</v>
      </c>
      <c r="B1145" s="1832">
        <f>'Expenditures 15-22'!K102</f>
        <v>149744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4286253</v>
      </c>
      <c r="C1152" s="2" t="s">
        <v>569</v>
      </c>
      <c r="D1152" s="2" t="str">
        <f t="shared" si="17"/>
        <v>Error?</v>
      </c>
    </row>
    <row r="1153" spans="1:4" x14ac:dyDescent="0.2">
      <c r="A1153" s="5">
        <v>1092</v>
      </c>
      <c r="B1153" s="1832">
        <f>'Expenditures 15-22'!K115</f>
        <v>94473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132623</v>
      </c>
      <c r="D1221" s="2" t="str">
        <f t="shared" si="18"/>
        <v>Error?</v>
      </c>
    </row>
    <row r="1222" spans="1:4" x14ac:dyDescent="0.2">
      <c r="A1222" s="10">
        <v>1161</v>
      </c>
      <c r="B1222" s="1832"/>
      <c r="D1222" s="2" t="str">
        <f t="shared" si="18"/>
        <v>OK</v>
      </c>
    </row>
    <row r="1223" spans="1:4" x14ac:dyDescent="0.2">
      <c r="A1223" s="5">
        <v>1162</v>
      </c>
      <c r="B1223" s="1832">
        <f>'Expenditures 15-22'!C127</f>
        <v>132623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132623</v>
      </c>
      <c r="C1225" s="2" t="s">
        <v>569</v>
      </c>
      <c r="D1225" s="2" t="str">
        <f t="shared" si="18"/>
        <v>Error?</v>
      </c>
    </row>
    <row r="1226" spans="1:4" x14ac:dyDescent="0.2">
      <c r="A1226" s="5">
        <v>1165</v>
      </c>
      <c r="B1226" s="1832">
        <f>'Expenditures 15-22'!C151</f>
        <v>132623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9451</v>
      </c>
      <c r="D1229" s="2" t="str">
        <f t="shared" si="18"/>
        <v>Error?</v>
      </c>
    </row>
    <row r="1230" spans="1:4" x14ac:dyDescent="0.2">
      <c r="A1230" s="10">
        <v>1169</v>
      </c>
      <c r="B1230" s="1832"/>
      <c r="D1230" s="2" t="str">
        <f t="shared" si="18"/>
        <v>OK</v>
      </c>
    </row>
    <row r="1231" spans="1:4" x14ac:dyDescent="0.2">
      <c r="A1231" s="5">
        <v>1170</v>
      </c>
      <c r="B1231" s="1832">
        <f>'Expenditures 15-22'!D127</f>
        <v>9451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9451</v>
      </c>
      <c r="C1233" s="2" t="s">
        <v>569</v>
      </c>
      <c r="D1233" s="2" t="str">
        <f t="shared" si="18"/>
        <v>Error?</v>
      </c>
    </row>
    <row r="1234" spans="1:4" x14ac:dyDescent="0.2">
      <c r="A1234" s="5">
        <v>1173</v>
      </c>
      <c r="B1234" s="1832">
        <f>'Expenditures 15-22'!D151</f>
        <v>9451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91592</v>
      </c>
      <c r="D1237" s="2" t="str">
        <f t="shared" si="18"/>
        <v>Error?</v>
      </c>
    </row>
    <row r="1238" spans="1:4" x14ac:dyDescent="0.2">
      <c r="A1238" s="10">
        <v>1177</v>
      </c>
      <c r="B1238" s="1832"/>
      <c r="D1238" s="2" t="str">
        <f t="shared" si="18"/>
        <v>OK</v>
      </c>
    </row>
    <row r="1239" spans="1:4" x14ac:dyDescent="0.2">
      <c r="A1239" s="5">
        <v>1178</v>
      </c>
      <c r="B1239" s="1832">
        <f>'Expenditures 15-22'!E127</f>
        <v>91592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91592</v>
      </c>
      <c r="C1241" s="2" t="s">
        <v>569</v>
      </c>
      <c r="D1241" s="2" t="str">
        <f t="shared" si="18"/>
        <v>Error?</v>
      </c>
    </row>
    <row r="1242" spans="1:4" x14ac:dyDescent="0.2">
      <c r="A1242" s="5">
        <v>1181</v>
      </c>
      <c r="B1242" s="1832">
        <f>'Expenditures 15-22'!E151</f>
        <v>91592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120513</v>
      </c>
      <c r="D1245" s="2" t="str">
        <f t="shared" si="18"/>
        <v>Error?</v>
      </c>
    </row>
    <row r="1246" spans="1:4" x14ac:dyDescent="0.2">
      <c r="A1246" s="10">
        <v>1185</v>
      </c>
      <c r="B1246" s="1832"/>
      <c r="D1246" s="2" t="str">
        <f t="shared" si="18"/>
        <v>OK</v>
      </c>
    </row>
    <row r="1247" spans="1:4" x14ac:dyDescent="0.2">
      <c r="A1247" s="5">
        <v>1186</v>
      </c>
      <c r="B1247" s="1832">
        <f>'Expenditures 15-22'!F127</f>
        <v>120513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120513</v>
      </c>
      <c r="C1249" s="2" t="s">
        <v>569</v>
      </c>
      <c r="D1249" s="2" t="str">
        <f t="shared" si="18"/>
        <v>Error?</v>
      </c>
    </row>
    <row r="1250" spans="1:4" x14ac:dyDescent="0.2">
      <c r="A1250" s="5">
        <v>1189</v>
      </c>
      <c r="B1250" s="1832">
        <f>'Expenditures 15-22'!F151</f>
        <v>120513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89000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89000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89000</v>
      </c>
      <c r="C1258" s="2" t="s">
        <v>569</v>
      </c>
      <c r="D1258" s="2" t="str">
        <f t="shared" si="18"/>
        <v>Error?</v>
      </c>
    </row>
    <row r="1259" spans="1:4" x14ac:dyDescent="0.2">
      <c r="A1259" s="5">
        <v>1198</v>
      </c>
      <c r="B1259" s="1832">
        <f>'Expenditures 15-22'!G151</f>
        <v>89000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443179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443179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443179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443179</v>
      </c>
      <c r="C1288" s="2" t="s">
        <v>569</v>
      </c>
      <c r="D1288" s="2" t="str">
        <f t="shared" si="19"/>
        <v>Error?</v>
      </c>
    </row>
    <row r="1289" spans="1:4" x14ac:dyDescent="0.2">
      <c r="A1289" s="5">
        <v>1228</v>
      </c>
      <c r="B1289" s="1832">
        <f>'Expenditures 15-22'!K152</f>
        <v>32811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260016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305000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565516</v>
      </c>
      <c r="C1317" s="2" t="s">
        <v>569</v>
      </c>
      <c r="D1317" s="2" t="str">
        <f t="shared" si="19"/>
        <v>Error?</v>
      </c>
    </row>
    <row r="1318" spans="1:4" x14ac:dyDescent="0.2">
      <c r="A1318" s="5">
        <v>1257</v>
      </c>
      <c r="B1318" s="1832">
        <f>'Expenditures 15-22'!H174</f>
        <v>565516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260016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305000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565516</v>
      </c>
      <c r="C1331" s="2" t="s">
        <v>569</v>
      </c>
      <c r="D1331" s="2" t="str">
        <f t="shared" si="19"/>
        <v>Error?</v>
      </c>
    </row>
    <row r="1332" spans="1:4" x14ac:dyDescent="0.2">
      <c r="A1332" s="5">
        <v>1271</v>
      </c>
      <c r="B1332" s="1832">
        <f>'Expenditures 15-22'!K174</f>
        <v>565516</v>
      </c>
      <c r="C1332" s="2" t="s">
        <v>569</v>
      </c>
      <c r="D1332" s="2" t="str">
        <f t="shared" si="19"/>
        <v>Error?</v>
      </c>
    </row>
    <row r="1333" spans="1:4" x14ac:dyDescent="0.2">
      <c r="A1333" s="5">
        <v>1272</v>
      </c>
      <c r="B1333" s="1832">
        <f>'Expenditures 15-22'!K175</f>
        <v>4083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85327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85327</v>
      </c>
      <c r="C1339" s="2" t="s">
        <v>569</v>
      </c>
      <c r="D1339" s="2" t="str">
        <f t="shared" si="19"/>
        <v>Error?</v>
      </c>
    </row>
    <row r="1340" spans="1:4" x14ac:dyDescent="0.2">
      <c r="A1340" s="5">
        <v>1279</v>
      </c>
      <c r="B1340" s="1832">
        <f>'Expenditures 15-22'!C210</f>
        <v>85327</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76333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76333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76333</v>
      </c>
      <c r="C1353" s="2" t="s">
        <v>569</v>
      </c>
      <c r="D1353" s="2" t="str">
        <f t="shared" si="20"/>
        <v>Error?</v>
      </c>
    </row>
    <row r="1354" spans="1:4" x14ac:dyDescent="0.2">
      <c r="A1354" s="5">
        <v>1293</v>
      </c>
      <c r="B1354" s="1832">
        <f>'Expenditures 15-22'!F182</f>
        <v>27379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27379</v>
      </c>
      <c r="C1358" s="2" t="s">
        <v>569</v>
      </c>
      <c r="D1358" s="2" t="str">
        <f t="shared" si="20"/>
        <v>Error?</v>
      </c>
    </row>
    <row r="1359" spans="1:4" x14ac:dyDescent="0.2">
      <c r="A1359" s="5">
        <v>1298</v>
      </c>
      <c r="B1359" s="1832">
        <f>'Expenditures 15-22'!F210</f>
        <v>27379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74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74</v>
      </c>
      <c r="C1376" s="2" t="s">
        <v>569</v>
      </c>
      <c r="D1376" s="2" t="str">
        <f t="shared" si="20"/>
        <v>Error?</v>
      </c>
    </row>
    <row r="1377" spans="1:4" x14ac:dyDescent="0.2">
      <c r="A1377" s="5">
        <v>1316</v>
      </c>
      <c r="B1377" s="1832">
        <f>'Expenditures 15-22'!K182</f>
        <v>189113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189113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189113</v>
      </c>
      <c r="C1388" s="2" t="s">
        <v>569</v>
      </c>
      <c r="D1388" s="2" t="str">
        <f t="shared" si="20"/>
        <v>Error?</v>
      </c>
    </row>
    <row r="1389" spans="1:4" x14ac:dyDescent="0.2">
      <c r="A1389" s="5">
        <v>1328</v>
      </c>
      <c r="B1389" s="1832">
        <f>'Expenditures 15-22'!K211</f>
        <v>17235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5280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68290</v>
      </c>
      <c r="C1410" s="2" t="s">
        <v>569</v>
      </c>
      <c r="D1410" s="2" t="str">
        <f t="shared" si="21"/>
        <v>Error?</v>
      </c>
    </row>
    <row r="1411" spans="1:4" x14ac:dyDescent="0.2">
      <c r="A1411" s="5">
        <v>1350</v>
      </c>
      <c r="B1411" s="1832">
        <f>'Expenditures 15-22'!D232</f>
        <v>703</v>
      </c>
      <c r="D1411" s="2" t="str">
        <f t="shared" si="21"/>
        <v>Error?</v>
      </c>
    </row>
    <row r="1412" spans="1:4" x14ac:dyDescent="0.2">
      <c r="A1412" s="5">
        <v>1351</v>
      </c>
      <c r="B1412" s="1832">
        <f>'Expenditures 15-22'!D233</f>
        <v>2161</v>
      </c>
      <c r="D1412" s="2" t="str">
        <f t="shared" si="21"/>
        <v>Error?</v>
      </c>
    </row>
    <row r="1413" spans="1:4" x14ac:dyDescent="0.2">
      <c r="A1413" s="5">
        <v>1352</v>
      </c>
      <c r="B1413" s="1832">
        <f>'Expenditures 15-22'!D234</f>
        <v>3503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666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7033</v>
      </c>
      <c r="C1417" s="2" t="s">
        <v>569</v>
      </c>
      <c r="D1417" s="2" t="str">
        <f t="shared" si="21"/>
        <v>Error?</v>
      </c>
    </row>
    <row r="1418" spans="1:4" x14ac:dyDescent="0.2">
      <c r="A1418" s="5">
        <v>1357</v>
      </c>
      <c r="B1418" s="1832">
        <f>'Expenditures 15-22'!D240</f>
        <v>6661</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6661</v>
      </c>
      <c r="C1421" s="2" t="s">
        <v>569</v>
      </c>
      <c r="D1421" s="2" t="str">
        <f t="shared" si="21"/>
        <v>Error?</v>
      </c>
    </row>
    <row r="1422" spans="1:4" x14ac:dyDescent="0.2">
      <c r="A1422" s="5">
        <v>1361</v>
      </c>
      <c r="B1422" s="1832">
        <f>'Expenditures 15-22'!D245</f>
        <v>666</v>
      </c>
      <c r="D1422" s="2" t="str">
        <f t="shared" si="21"/>
        <v>Error?</v>
      </c>
    </row>
    <row r="1423" spans="1:4" x14ac:dyDescent="0.2">
      <c r="A1423" s="5">
        <v>1362</v>
      </c>
      <c r="B1423" s="1832">
        <f>'Expenditures 15-22'!D246</f>
        <v>3848</v>
      </c>
      <c r="D1423" s="2" t="str">
        <f t="shared" si="21"/>
        <v>Error?</v>
      </c>
    </row>
    <row r="1424" spans="1:4" x14ac:dyDescent="0.2">
      <c r="A1424" s="5">
        <v>1363</v>
      </c>
      <c r="B1424" s="1832">
        <f>'Expenditures 15-22'!D257</f>
        <v>4514</v>
      </c>
      <c r="C1424" s="2" t="s">
        <v>569</v>
      </c>
      <c r="D1424" s="2" t="str">
        <f t="shared" si="21"/>
        <v>Error?</v>
      </c>
    </row>
    <row r="1425" spans="1:4" x14ac:dyDescent="0.2">
      <c r="A1425" s="5">
        <v>1364</v>
      </c>
      <c r="B1425" s="1832">
        <f>'Expenditures 15-22'!D259</f>
        <v>10690</v>
      </c>
      <c r="D1425" s="2" t="str">
        <f t="shared" si="21"/>
        <v>Error?</v>
      </c>
    </row>
    <row r="1426" spans="1:4" x14ac:dyDescent="0.2">
      <c r="A1426" s="5">
        <v>1365</v>
      </c>
      <c r="B1426" s="1832">
        <f>'Expenditures 15-22'!D260</f>
        <v>868</v>
      </c>
      <c r="D1426" s="2" t="str">
        <f t="shared" si="21"/>
        <v>Error?</v>
      </c>
    </row>
    <row r="1427" spans="1:4" x14ac:dyDescent="0.2">
      <c r="A1427" s="5">
        <v>1366</v>
      </c>
      <c r="B1427" s="1832">
        <f>'Expenditures 15-22'!D261</f>
        <v>11558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7711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21042</v>
      </c>
      <c r="D1431" s="2" t="str">
        <f t="shared" si="21"/>
        <v>Error?</v>
      </c>
    </row>
    <row r="1432" spans="1:4" x14ac:dyDescent="0.2">
      <c r="A1432" s="5">
        <v>1371</v>
      </c>
      <c r="B1432" s="1832">
        <f>'Expenditures 15-22'!D267</f>
        <v>6357</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35110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64876</v>
      </c>
      <c r="C1446" s="2" t="s">
        <v>569</v>
      </c>
      <c r="D1446" s="2" t="str">
        <f t="shared" si="21"/>
        <v>Error?</v>
      </c>
    </row>
    <row r="1447" spans="1:4" x14ac:dyDescent="0.2">
      <c r="A1447" s="5">
        <v>1386</v>
      </c>
      <c r="B1447" s="1832">
        <f>'Expenditures 15-22'!D280</f>
        <v>647</v>
      </c>
      <c r="D1447" s="2" t="str">
        <f t="shared" si="21"/>
        <v>Error?</v>
      </c>
    </row>
    <row r="1448" spans="1:4" x14ac:dyDescent="0.2">
      <c r="A1448" s="5">
        <v>1387</v>
      </c>
      <c r="B1448" s="1832">
        <f>'Expenditures 15-22'!D295</f>
        <v>133813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5280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68290</v>
      </c>
      <c r="C1474" s="2" t="s">
        <v>569</v>
      </c>
      <c r="D1474" s="2" t="str">
        <f t="shared" si="22"/>
        <v>Error?</v>
      </c>
    </row>
    <row r="1475" spans="1:4" x14ac:dyDescent="0.2">
      <c r="A1475" s="5">
        <v>1414</v>
      </c>
      <c r="B1475" s="1832">
        <f>'Expenditures 15-22'!K232</f>
        <v>703</v>
      </c>
      <c r="C1475" s="2" t="s">
        <v>569</v>
      </c>
      <c r="D1475" s="2" t="str">
        <f t="shared" si="22"/>
        <v>Error?</v>
      </c>
    </row>
    <row r="1476" spans="1:4" x14ac:dyDescent="0.2">
      <c r="A1476" s="5">
        <v>1415</v>
      </c>
      <c r="B1476" s="1832">
        <f>'Expenditures 15-22'!K233</f>
        <v>2161</v>
      </c>
      <c r="C1476" s="2" t="s">
        <v>569</v>
      </c>
      <c r="D1476" s="2" t="str">
        <f t="shared" si="22"/>
        <v>Error?</v>
      </c>
    </row>
    <row r="1477" spans="1:4" x14ac:dyDescent="0.2">
      <c r="A1477" s="5">
        <v>1416</v>
      </c>
      <c r="B1477" s="1832">
        <f>'Expenditures 15-22'!K234</f>
        <v>3503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666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7033</v>
      </c>
      <c r="C1481" s="2" t="s">
        <v>569</v>
      </c>
      <c r="D1481" s="2" t="str">
        <f t="shared" si="22"/>
        <v>Error?</v>
      </c>
    </row>
    <row r="1482" spans="1:4" x14ac:dyDescent="0.2">
      <c r="A1482" s="5">
        <v>1421</v>
      </c>
      <c r="B1482" s="1832">
        <f>'Expenditures 15-22'!K240</f>
        <v>6661</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6661</v>
      </c>
      <c r="C1485" s="2" t="s">
        <v>569</v>
      </c>
      <c r="D1485" s="2" t="str">
        <f t="shared" si="22"/>
        <v>Error?</v>
      </c>
    </row>
    <row r="1486" spans="1:4" x14ac:dyDescent="0.2">
      <c r="A1486" s="5">
        <v>1425</v>
      </c>
      <c r="B1486" s="1832">
        <f>'Expenditures 15-22'!K245</f>
        <v>666</v>
      </c>
      <c r="C1486" s="2" t="s">
        <v>569</v>
      </c>
      <c r="D1486" s="2" t="str">
        <f t="shared" si="22"/>
        <v>Error?</v>
      </c>
    </row>
    <row r="1487" spans="1:4" x14ac:dyDescent="0.2">
      <c r="A1487" s="5">
        <v>1426</v>
      </c>
      <c r="B1487" s="1832">
        <f>'Expenditures 15-22'!K246</f>
        <v>3848</v>
      </c>
      <c r="C1487" s="2" t="s">
        <v>569</v>
      </c>
      <c r="D1487" s="2" t="str">
        <f t="shared" si="22"/>
        <v>Error?</v>
      </c>
    </row>
    <row r="1488" spans="1:4" x14ac:dyDescent="0.2">
      <c r="A1488" s="5">
        <v>1427</v>
      </c>
      <c r="B1488" s="1832">
        <f>'Expenditures 15-22'!K257</f>
        <v>4514</v>
      </c>
      <c r="C1488" s="2" t="s">
        <v>569</v>
      </c>
      <c r="D1488" s="2" t="str">
        <f t="shared" si="22"/>
        <v>Error?</v>
      </c>
    </row>
    <row r="1489" spans="1:4" x14ac:dyDescent="0.2">
      <c r="A1489" s="5">
        <v>1428</v>
      </c>
      <c r="B1489" s="1832">
        <f>'Expenditures 15-22'!K259</f>
        <v>10690</v>
      </c>
      <c r="C1489" s="2" t="s">
        <v>569</v>
      </c>
      <c r="D1489" s="2" t="str">
        <f t="shared" si="22"/>
        <v>Error?</v>
      </c>
    </row>
    <row r="1490" spans="1:4" x14ac:dyDescent="0.2">
      <c r="A1490" s="5">
        <v>1429</v>
      </c>
      <c r="B1490" s="1832">
        <f>'Expenditures 15-22'!K260</f>
        <v>868</v>
      </c>
      <c r="C1490" s="2" t="s">
        <v>569</v>
      </c>
      <c r="D1490" s="2" t="str">
        <f t="shared" si="22"/>
        <v>Error?</v>
      </c>
    </row>
    <row r="1491" spans="1:4" x14ac:dyDescent="0.2">
      <c r="A1491" s="5">
        <v>1430</v>
      </c>
      <c r="B1491" s="1832">
        <f>'Expenditures 15-22'!K261</f>
        <v>11558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7711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21042</v>
      </c>
      <c r="C1495" s="2" t="s">
        <v>569</v>
      </c>
      <c r="D1495" s="2" t="str">
        <f t="shared" si="22"/>
        <v>Error?</v>
      </c>
    </row>
    <row r="1496" spans="1:4" x14ac:dyDescent="0.2">
      <c r="A1496" s="5">
        <v>1435</v>
      </c>
      <c r="B1496" s="1832">
        <f>'Expenditures 15-22'!K267</f>
        <v>6357</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35110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64876</v>
      </c>
      <c r="C1510" s="2" t="s">
        <v>569</v>
      </c>
      <c r="D1510" s="2" t="str">
        <f t="shared" si="22"/>
        <v>Error?</v>
      </c>
    </row>
    <row r="1511" spans="1:4" x14ac:dyDescent="0.2">
      <c r="A1511" s="5">
        <v>1450</v>
      </c>
      <c r="B1511" s="1832">
        <f>'Expenditures 15-22'!K280</f>
        <v>647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133813</v>
      </c>
      <c r="C1517" s="2" t="s">
        <v>569</v>
      </c>
      <c r="D1517" s="2" t="str">
        <f t="shared" si="22"/>
        <v>Error?</v>
      </c>
    </row>
    <row r="1518" spans="1:4" x14ac:dyDescent="0.2">
      <c r="A1518" s="5">
        <v>1457</v>
      </c>
      <c r="B1518" s="1832">
        <f>'Expenditures 15-22'!K296</f>
        <v>6641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37880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37880</v>
      </c>
      <c r="C1547" s="2" t="s">
        <v>569</v>
      </c>
      <c r="D1547" s="2" t="str">
        <f t="shared" si="23"/>
        <v>Error?</v>
      </c>
    </row>
    <row r="1548" spans="1:4" x14ac:dyDescent="0.2">
      <c r="A1548" s="5">
        <v>1487</v>
      </c>
      <c r="B1548" s="1832">
        <f>'Expenditures 15-22'!G312</f>
        <v>37880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37880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37880</v>
      </c>
      <c r="C1559" s="2" t="s">
        <v>569</v>
      </c>
      <c r="D1559" s="2" t="str">
        <f t="shared" si="23"/>
        <v>Error?</v>
      </c>
    </row>
    <row r="1560" spans="1:4" x14ac:dyDescent="0.2">
      <c r="A1560" s="5">
        <v>1499</v>
      </c>
      <c r="B1560" s="1832">
        <f>'Expenditures 15-22'!K312</f>
        <v>37880</v>
      </c>
      <c r="C1560" s="2" t="s">
        <v>569</v>
      </c>
      <c r="D1560" s="2" t="str">
        <f t="shared" si="23"/>
        <v>Error?</v>
      </c>
    </row>
    <row r="1561" spans="1:4" x14ac:dyDescent="0.2">
      <c r="A1561" s="5">
        <v>1500</v>
      </c>
      <c r="B1561" s="1832">
        <f>'Expenditures 15-22'!K313</f>
        <v>-33287</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1274392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1368865</v>
      </c>
      <c r="C1630" s="2" t="s">
        <v>569</v>
      </c>
      <c r="D1630" s="2" t="str">
        <f t="shared" si="24"/>
        <v>Error?</v>
      </c>
    </row>
    <row r="1631" spans="1:4" x14ac:dyDescent="0.2">
      <c r="A1631" s="5">
        <v>1570</v>
      </c>
      <c r="B1631" s="1832">
        <f>'Acct Summary 7-8'!D79</f>
        <v>699328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732139</v>
      </c>
      <c r="C1644" s="2" t="s">
        <v>569</v>
      </c>
      <c r="D1644" s="2" t="str">
        <f t="shared" si="24"/>
        <v>Error?</v>
      </c>
    </row>
    <row r="1645" spans="1:4" x14ac:dyDescent="0.2">
      <c r="A1645" s="5">
        <v>1584</v>
      </c>
      <c r="B1645" s="1832">
        <f>'Acct Summary 7-8'!E79</f>
        <v>19077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23160</v>
      </c>
      <c r="C1658" s="2" t="s">
        <v>569</v>
      </c>
      <c r="D1658" s="2" t="str">
        <f t="shared" si="24"/>
        <v>Error?</v>
      </c>
    </row>
    <row r="1659" spans="1:4" x14ac:dyDescent="0.2">
      <c r="A1659" s="5">
        <v>1598</v>
      </c>
      <c r="B1659" s="1832">
        <f>'Acct Summary 7-8'!F79</f>
        <v>500216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517451</v>
      </c>
      <c r="C1672" s="2" t="s">
        <v>569</v>
      </c>
      <c r="D1672" s="2" t="str">
        <f t="shared" si="25"/>
        <v>Error?</v>
      </c>
    </row>
    <row r="1673" spans="1:4" x14ac:dyDescent="0.2">
      <c r="A1673" s="5">
        <v>1612</v>
      </c>
      <c r="B1673" s="1832">
        <f>'Acct Summary 7-8'!G79</f>
        <v>152448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159089</v>
      </c>
      <c r="C1686" s="2" t="s">
        <v>569</v>
      </c>
      <c r="D1686" s="2" t="str">
        <f t="shared" si="25"/>
        <v>Error?</v>
      </c>
    </row>
    <row r="1687" spans="1:4" x14ac:dyDescent="0.2">
      <c r="A1687" s="5">
        <v>1626</v>
      </c>
      <c r="B1687" s="1832">
        <f>'Acct Summary 7-8'!H79</f>
        <v>138466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105179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2235684</v>
      </c>
      <c r="C1744" s="2" t="s">
        <v>569</v>
      </c>
      <c r="D1744" s="2" t="str">
        <f t="shared" si="26"/>
        <v>Error?</v>
      </c>
    </row>
    <row r="1745" spans="1:5" x14ac:dyDescent="0.2">
      <c r="A1745" s="5">
        <v>1684</v>
      </c>
      <c r="B1745" s="1832">
        <f>'Tax Sched 23'!B5</f>
        <v>333398</v>
      </c>
      <c r="C1745" s="2" t="s">
        <v>569</v>
      </c>
      <c r="D1745" s="2" t="str">
        <f t="shared" si="26"/>
        <v>Error?</v>
      </c>
    </row>
    <row r="1746" spans="1:5" x14ac:dyDescent="0.2">
      <c r="A1746" s="5">
        <v>1685</v>
      </c>
      <c r="B1746" s="1832">
        <f>'Tax Sched 23'!B6</f>
        <v>568452</v>
      </c>
      <c r="C1746" s="2" t="s">
        <v>569</v>
      </c>
      <c r="D1746" s="2" t="str">
        <f t="shared" si="26"/>
        <v>Error?</v>
      </c>
    </row>
    <row r="1747" spans="1:5" x14ac:dyDescent="0.2">
      <c r="A1747" s="5">
        <v>1686</v>
      </c>
      <c r="B1747" s="1832">
        <f>'Tax Sched 23'!B7</f>
        <v>98063</v>
      </c>
      <c r="C1747" s="2" t="s">
        <v>569</v>
      </c>
      <c r="D1747" s="2" t="str">
        <f t="shared" si="26"/>
        <v>Error?</v>
      </c>
    </row>
    <row r="1748" spans="1:5" x14ac:dyDescent="0.2">
      <c r="A1748" s="5">
        <v>1687</v>
      </c>
      <c r="B1748" s="1832">
        <f>'Tax Sched 23'!B8</f>
        <v>29422</v>
      </c>
      <c r="C1748" s="2" t="s">
        <v>569</v>
      </c>
      <c r="D1748" s="2" t="str">
        <f t="shared" si="26"/>
        <v>Error?</v>
      </c>
    </row>
    <row r="1749" spans="1:5" x14ac:dyDescent="0.2">
      <c r="A1749" s="5">
        <v>1688</v>
      </c>
      <c r="B1749" s="1832">
        <f>'Tax Sched 23'!B10</f>
        <v>4907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81394</v>
      </c>
      <c r="C1752" s="2" t="s">
        <v>569</v>
      </c>
      <c r="D1752" s="2" t="str">
        <f t="shared" si="26"/>
        <v>Error?</v>
      </c>
    </row>
    <row r="1753" spans="1:5" x14ac:dyDescent="0.2">
      <c r="A1753" s="5">
        <v>1692</v>
      </c>
      <c r="B1753" s="1832">
        <f>'Tax Sched 23'!B12</f>
        <v>56392</v>
      </c>
      <c r="C1753" s="2" t="s">
        <v>569</v>
      </c>
      <c r="D1753" s="2" t="str">
        <f t="shared" si="26"/>
        <v>Error?</v>
      </c>
    </row>
    <row r="1754" spans="1:5" x14ac:dyDescent="0.2">
      <c r="A1754" s="5">
        <v>1693</v>
      </c>
      <c r="B1754" s="1832">
        <f>'Tax Sched 23'!B14</f>
        <v>51484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3488618</v>
      </c>
      <c r="C1759" s="2" t="s">
        <v>569</v>
      </c>
      <c r="D1759" s="2" t="str">
        <f t="shared" si="26"/>
        <v>Error?</v>
      </c>
    </row>
    <row r="1760" spans="1:5" x14ac:dyDescent="0.2">
      <c r="A1760" s="5">
        <v>1699</v>
      </c>
      <c r="B1760" s="1832">
        <f>'Tax Sched 23'!D4</f>
        <v>2235684</v>
      </c>
      <c r="C1760" s="2" t="s">
        <v>569</v>
      </c>
      <c r="D1760" s="2" t="str">
        <f t="shared" si="26"/>
        <v>Error?</v>
      </c>
    </row>
    <row r="1761" spans="1:7" x14ac:dyDescent="0.2">
      <c r="A1761" s="5">
        <v>1700</v>
      </c>
      <c r="B1761" s="1832">
        <f>'Tax Sched 23'!D5</f>
        <v>333398</v>
      </c>
      <c r="C1761" s="2" t="s">
        <v>569</v>
      </c>
      <c r="D1761" s="2" t="str">
        <f t="shared" si="26"/>
        <v>Error?</v>
      </c>
    </row>
    <row r="1762" spans="1:7" s="8" customFormat="1" x14ac:dyDescent="0.2">
      <c r="A1762" s="5">
        <v>1701</v>
      </c>
      <c r="B1762" s="1832">
        <f>'Tax Sched 23'!D6</f>
        <v>568452</v>
      </c>
      <c r="C1762" s="2" t="s">
        <v>569</v>
      </c>
      <c r="D1762" s="2" t="str">
        <f t="shared" si="26"/>
        <v>Error?</v>
      </c>
      <c r="E1762" s="9"/>
      <c r="G1762"/>
    </row>
    <row r="1763" spans="1:7" x14ac:dyDescent="0.2">
      <c r="A1763" s="5">
        <v>1702</v>
      </c>
      <c r="B1763" s="1832">
        <f>'Tax Sched 23'!D7</f>
        <v>98063</v>
      </c>
      <c r="C1763" s="2" t="s">
        <v>569</v>
      </c>
      <c r="D1763" s="2" t="str">
        <f t="shared" si="26"/>
        <v>Error?</v>
      </c>
    </row>
    <row r="1764" spans="1:7" x14ac:dyDescent="0.2">
      <c r="A1764" s="5">
        <v>1703</v>
      </c>
      <c r="B1764" s="1832">
        <f>'Tax Sched 23'!D8</f>
        <v>29422</v>
      </c>
      <c r="C1764" s="2" t="s">
        <v>569</v>
      </c>
      <c r="D1764" s="2" t="str">
        <f t="shared" si="26"/>
        <v>Error?</v>
      </c>
    </row>
    <row r="1765" spans="1:7" x14ac:dyDescent="0.2">
      <c r="A1765" s="5">
        <v>1704</v>
      </c>
      <c r="B1765" s="1832">
        <f>'Tax Sched 23'!D10</f>
        <v>4907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81394</v>
      </c>
      <c r="C1768" s="2" t="s">
        <v>569</v>
      </c>
      <c r="D1768" s="2" t="str">
        <f t="shared" si="26"/>
        <v>Error?</v>
      </c>
    </row>
    <row r="1769" spans="1:7" x14ac:dyDescent="0.2">
      <c r="A1769" s="5">
        <v>1708</v>
      </c>
      <c r="B1769" s="1832">
        <f>'Tax Sched 23'!D12</f>
        <v>56392</v>
      </c>
      <c r="C1769" s="2" t="s">
        <v>569</v>
      </c>
      <c r="D1769" s="2" t="str">
        <f t="shared" si="26"/>
        <v>Error?</v>
      </c>
    </row>
    <row r="1770" spans="1:7" x14ac:dyDescent="0.2">
      <c r="A1770" s="5">
        <v>1709</v>
      </c>
      <c r="B1770" s="1832">
        <f>'Tax Sched 23'!D14</f>
        <v>51484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3488618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2394386</v>
      </c>
      <c r="C1792" s="2" t="s">
        <v>569</v>
      </c>
      <c r="D1792" s="2" t="str">
        <f t="shared" si="27"/>
        <v>Error?</v>
      </c>
    </row>
    <row r="1793" spans="1:4" x14ac:dyDescent="0.2">
      <c r="A1793" s="5">
        <v>1732</v>
      </c>
      <c r="B1793" s="1832">
        <f>'Tax Sched 23'!F5</f>
        <v>342203</v>
      </c>
      <c r="C1793" s="2" t="s">
        <v>569</v>
      </c>
      <c r="D1793" s="2" t="str">
        <f t="shared" si="27"/>
        <v>Error?</v>
      </c>
    </row>
    <row r="1794" spans="1:4" x14ac:dyDescent="0.2">
      <c r="A1794" s="5">
        <v>1733</v>
      </c>
      <c r="B1794" s="1832">
        <f>'Tax Sched 23'!F6</f>
        <v>569027</v>
      </c>
      <c r="C1794" s="2" t="s">
        <v>569</v>
      </c>
      <c r="D1794" s="2" t="str">
        <f t="shared" si="27"/>
        <v>Error?</v>
      </c>
    </row>
    <row r="1795" spans="1:4" x14ac:dyDescent="0.2">
      <c r="A1795" s="5">
        <v>1734</v>
      </c>
      <c r="B1795" s="1832">
        <f>'Tax Sched 23'!F7</f>
        <v>103664</v>
      </c>
      <c r="C1795" s="2" t="s">
        <v>569</v>
      </c>
      <c r="D1795" s="2" t="str">
        <f t="shared" si="27"/>
        <v>Error?</v>
      </c>
    </row>
    <row r="1796" spans="1:4" x14ac:dyDescent="0.2">
      <c r="A1796" s="5">
        <v>1735</v>
      </c>
      <c r="B1796" s="1832">
        <f>'Tax Sched 23'!F8</f>
        <v>29434</v>
      </c>
      <c r="C1796" s="2" t="s">
        <v>569</v>
      </c>
      <c r="D1796" s="2" t="str">
        <f t="shared" si="27"/>
        <v>Error?</v>
      </c>
    </row>
    <row r="1797" spans="1:4" x14ac:dyDescent="0.2">
      <c r="A1797" s="5">
        <v>1736</v>
      </c>
      <c r="B1797" s="1832">
        <f>'Tax Sched 23'!F10</f>
        <v>4996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84805</v>
      </c>
      <c r="C1800" s="2" t="s">
        <v>569</v>
      </c>
      <c r="D1800" s="2" t="str">
        <f t="shared" si="27"/>
        <v>Error?</v>
      </c>
    </row>
    <row r="1801" spans="1:4" x14ac:dyDescent="0.2">
      <c r="A1801" s="5">
        <v>1740</v>
      </c>
      <c r="B1801" s="1832">
        <f>'Tax Sched 23'!F12</f>
        <v>61661</v>
      </c>
      <c r="C1801" s="2" t="s">
        <v>569</v>
      </c>
      <c r="D1801" s="2" t="str">
        <f t="shared" si="27"/>
        <v>Error?</v>
      </c>
    </row>
    <row r="1802" spans="1:4" x14ac:dyDescent="0.2">
      <c r="A1802" s="5">
        <v>1741</v>
      </c>
      <c r="B1802" s="1832">
        <f>'Tax Sched 23'!F14</f>
        <v>73270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3689102</v>
      </c>
      <c r="C1807" s="2" t="s">
        <v>569</v>
      </c>
      <c r="D1807" s="2" t="str">
        <f t="shared" si="27"/>
        <v>Error?</v>
      </c>
    </row>
    <row r="1808" spans="1:4" x14ac:dyDescent="0.2">
      <c r="A1808" s="5">
        <v>1747</v>
      </c>
      <c r="B1808" s="1832">
        <f>'Tax Sched 23'!E4</f>
        <v>2394386</v>
      </c>
      <c r="D1808" s="2" t="str">
        <f t="shared" si="27"/>
        <v>Error?</v>
      </c>
    </row>
    <row r="1809" spans="1:4" x14ac:dyDescent="0.2">
      <c r="A1809" s="5">
        <v>1748</v>
      </c>
      <c r="B1809" s="1832">
        <f>'Tax Sched 23'!E5</f>
        <v>342203</v>
      </c>
      <c r="D1809" s="2" t="str">
        <f t="shared" si="27"/>
        <v>Error?</v>
      </c>
    </row>
    <row r="1810" spans="1:4" x14ac:dyDescent="0.2">
      <c r="A1810" s="5">
        <v>1749</v>
      </c>
      <c r="B1810" s="1832">
        <f>'Tax Sched 23'!E6</f>
        <v>569027</v>
      </c>
      <c r="D1810" s="2" t="str">
        <f t="shared" si="27"/>
        <v>Error?</v>
      </c>
    </row>
    <row r="1811" spans="1:4" x14ac:dyDescent="0.2">
      <c r="A1811" s="5">
        <v>1750</v>
      </c>
      <c r="B1811" s="1832">
        <f>'Tax Sched 23'!E7</f>
        <v>103664</v>
      </c>
      <c r="D1811" s="2" t="str">
        <f t="shared" si="27"/>
        <v>Error?</v>
      </c>
    </row>
    <row r="1812" spans="1:4" x14ac:dyDescent="0.2">
      <c r="A1812" s="5">
        <v>1751</v>
      </c>
      <c r="B1812" s="1832">
        <f>'Tax Sched 23'!E8</f>
        <v>29434</v>
      </c>
      <c r="D1812" s="2" t="str">
        <f t="shared" si="27"/>
        <v>Error?</v>
      </c>
    </row>
    <row r="1813" spans="1:4" x14ac:dyDescent="0.2">
      <c r="A1813" s="5">
        <v>1752</v>
      </c>
      <c r="B1813" s="1832">
        <f>'Tax Sched 23'!E10</f>
        <v>4996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84805</v>
      </c>
      <c r="D1816" s="2" t="str">
        <f t="shared" si="27"/>
        <v>Error?</v>
      </c>
    </row>
    <row r="1817" spans="1:4" x14ac:dyDescent="0.2">
      <c r="A1817" s="5">
        <v>1756</v>
      </c>
      <c r="B1817" s="1832">
        <f>'Tax Sched 23'!E12</f>
        <v>61661</v>
      </c>
      <c r="D1817" s="2" t="str">
        <f t="shared" si="27"/>
        <v>Error?</v>
      </c>
    </row>
    <row r="1818" spans="1:4" x14ac:dyDescent="0.2">
      <c r="A1818" s="5">
        <v>1757</v>
      </c>
      <c r="B1818" s="1832">
        <f>'Tax Sched 23'!E14</f>
        <v>73270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3689102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6655000</v>
      </c>
      <c r="C1939" s="2" t="s">
        <v>569</v>
      </c>
      <c r="D1939" s="2" t="str">
        <f t="shared" si="29"/>
        <v>Error?</v>
      </c>
    </row>
    <row r="1940" spans="1:5" x14ac:dyDescent="0.2">
      <c r="A1940" s="5">
        <v>1879</v>
      </c>
      <c r="B1940" s="1832">
        <f>'Short-Term Long-Term Debt 24'!F49</f>
        <v>136000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51484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51484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51484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47526</v>
      </c>
      <c r="D2008" s="2" t="str">
        <f t="shared" si="30"/>
        <v>Error?</v>
      </c>
    </row>
    <row r="2009" spans="1:4" x14ac:dyDescent="0.2">
      <c r="A2009" s="5">
        <v>1948</v>
      </c>
      <c r="B2009" s="1832">
        <f>'Cap Outlay Deprec 26'!C8</f>
        <v>10196471</v>
      </c>
      <c r="D2009" s="2" t="str">
        <f t="shared" si="30"/>
        <v>Error?</v>
      </c>
    </row>
    <row r="2010" spans="1:4" x14ac:dyDescent="0.2">
      <c r="A2010" s="5">
        <v>1949</v>
      </c>
      <c r="B2010" s="1832">
        <f>'Cap Outlay Deprec 26'!C10</f>
        <v>994978</v>
      </c>
      <c r="D2010" s="2" t="str">
        <f t="shared" si="30"/>
        <v>Error?</v>
      </c>
    </row>
    <row r="2011" spans="1:4" x14ac:dyDescent="0.2">
      <c r="A2011" s="5">
        <v>1950</v>
      </c>
      <c r="B2011" s="1832">
        <f>'Cap Outlay Deprec 26'!C12</f>
        <v>547681</v>
      </c>
      <c r="D2011" s="2" t="str">
        <f t="shared" si="30"/>
        <v>Error?</v>
      </c>
    </row>
    <row r="2012" spans="1:4" x14ac:dyDescent="0.2">
      <c r="A2012" s="5">
        <v>1951</v>
      </c>
      <c r="B2012" s="1832">
        <f>'Cap Outlay Deprec 26'!C13</f>
        <v>28610</v>
      </c>
      <c r="D2012" s="2" t="str">
        <f t="shared" si="30"/>
        <v>Error?</v>
      </c>
    </row>
    <row r="2013" spans="1:4" x14ac:dyDescent="0.2">
      <c r="A2013" s="5">
        <v>1952</v>
      </c>
      <c r="B2013" s="1832">
        <f>'Cap Outlay Deprec 26'!C16</f>
        <v>11815266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37880</v>
      </c>
      <c r="D2015" s="2" t="str">
        <f t="shared" si="30"/>
        <v>Error?</v>
      </c>
    </row>
    <row r="2016" spans="1:4" x14ac:dyDescent="0.2">
      <c r="A2016" s="5">
        <v>1955</v>
      </c>
      <c r="B2016" s="1832">
        <f>'Cap Outlay Deprec 26'!D10</f>
        <v>89000</v>
      </c>
      <c r="D2016" s="2" t="str">
        <f t="shared" si="30"/>
        <v>Error?</v>
      </c>
    </row>
    <row r="2017" spans="1:4" x14ac:dyDescent="0.2">
      <c r="A2017" s="5">
        <v>1956</v>
      </c>
      <c r="B2017" s="1832">
        <f>'Cap Outlay Deprec 26'!D12</f>
        <v>139648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318802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51392</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51392</v>
      </c>
      <c r="C2025" s="2" t="s">
        <v>569</v>
      </c>
      <c r="D2025" s="2" t="str">
        <f t="shared" si="30"/>
        <v>Error?</v>
      </c>
    </row>
    <row r="2026" spans="1:4" x14ac:dyDescent="0.2">
      <c r="A2026" s="5">
        <v>1965</v>
      </c>
      <c r="B2026" s="1832">
        <f>'Cap Outlay Deprec 26'!F5</f>
        <v>47526</v>
      </c>
      <c r="C2026" s="2" t="s">
        <v>569</v>
      </c>
      <c r="D2026" s="2" t="str">
        <f t="shared" si="30"/>
        <v>Error?</v>
      </c>
    </row>
    <row r="2027" spans="1:4" x14ac:dyDescent="0.2">
      <c r="A2027" s="5">
        <v>1966</v>
      </c>
      <c r="B2027" s="1832">
        <f>'Cap Outlay Deprec 26'!F8</f>
        <v>10234351</v>
      </c>
      <c r="C2027" s="2" t="s">
        <v>569</v>
      </c>
      <c r="D2027" s="2" t="str">
        <f t="shared" si="30"/>
        <v>Error?</v>
      </c>
    </row>
    <row r="2028" spans="1:4" x14ac:dyDescent="0.2">
      <c r="A2028" s="5">
        <v>1967</v>
      </c>
      <c r="B2028" s="1832">
        <f>'Cap Outlay Deprec 26'!F10</f>
        <v>1083978</v>
      </c>
      <c r="C2028" s="2" t="s">
        <v>569</v>
      </c>
      <c r="D2028" s="2" t="str">
        <f t="shared" si="30"/>
        <v>Error?</v>
      </c>
    </row>
    <row r="2029" spans="1:4" x14ac:dyDescent="0.2">
      <c r="A2029" s="5">
        <v>1968</v>
      </c>
      <c r="B2029" s="1832">
        <f>'Cap Outlay Deprec 26'!F12</f>
        <v>635937</v>
      </c>
      <c r="C2029" s="2" t="s">
        <v>569</v>
      </c>
      <c r="D2029" s="2" t="str">
        <f t="shared" si="30"/>
        <v>Error?</v>
      </c>
    </row>
    <row r="2030" spans="1:4" x14ac:dyDescent="0.2">
      <c r="A2030" s="5">
        <v>1969</v>
      </c>
      <c r="B2030" s="1832">
        <f>'Cap Outlay Deprec 26'!F13</f>
        <v>28610</v>
      </c>
      <c r="C2030" s="2" t="s">
        <v>569</v>
      </c>
      <c r="D2030" s="2" t="str">
        <f t="shared" si="30"/>
        <v>Error?</v>
      </c>
    </row>
    <row r="2031" spans="1:4" x14ac:dyDescent="0.2">
      <c r="A2031" s="5">
        <v>1970</v>
      </c>
      <c r="B2031" s="1832">
        <f>'Cap Outlay Deprec 26'!F16</f>
        <v>12082676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2602953</v>
      </c>
      <c r="D2033" s="2" t="str">
        <f t="shared" si="30"/>
        <v>Error?</v>
      </c>
    </row>
    <row r="2034" spans="1:4" x14ac:dyDescent="0.2">
      <c r="A2034" s="5">
        <v>1973</v>
      </c>
      <c r="B2034" s="1832">
        <f>'Cap Outlay Deprec 26'!H10</f>
        <v>434174</v>
      </c>
      <c r="D2034" s="2" t="str">
        <f t="shared" si="30"/>
        <v>Error?</v>
      </c>
    </row>
    <row r="2035" spans="1:4" x14ac:dyDescent="0.2">
      <c r="A2035" s="5">
        <v>1974</v>
      </c>
      <c r="B2035" s="1832">
        <f>'Cap Outlay Deprec 26'!H12</f>
        <v>252347</v>
      </c>
      <c r="D2035" s="2" t="str">
        <f t="shared" si="30"/>
        <v>Error?</v>
      </c>
    </row>
    <row r="2036" spans="1:4" x14ac:dyDescent="0.2">
      <c r="A2036" s="5">
        <v>1975</v>
      </c>
      <c r="B2036" s="1832">
        <f>'Cap Outlay Deprec 26'!H13</f>
        <v>20331</v>
      </c>
      <c r="D2036" s="2" t="str">
        <f t="shared" si="30"/>
        <v>Error?</v>
      </c>
    </row>
    <row r="2037" spans="1:4" x14ac:dyDescent="0.2">
      <c r="A2037" s="5">
        <v>1976</v>
      </c>
      <c r="B2037" s="1832">
        <f>'Cap Outlay Deprec 26'!H16</f>
        <v>3309805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173169</v>
      </c>
      <c r="D2039" s="2" t="str">
        <f t="shared" si="30"/>
        <v>Error?</v>
      </c>
    </row>
    <row r="2040" spans="1:4" x14ac:dyDescent="0.2">
      <c r="A2040" s="5">
        <v>1979</v>
      </c>
      <c r="B2040" s="1832">
        <f>'Cap Outlay Deprec 26'!I10</f>
        <v>45111</v>
      </c>
      <c r="D2040" s="2" t="str">
        <f t="shared" si="30"/>
        <v>Error?</v>
      </c>
    </row>
    <row r="2041" spans="1:4" x14ac:dyDescent="0.2">
      <c r="A2041" s="5">
        <v>1980</v>
      </c>
      <c r="B2041" s="1832">
        <f>'Cap Outlay Deprec 26'!I12</f>
        <v>49631</v>
      </c>
      <c r="D2041" s="2" t="str">
        <f t="shared" si="30"/>
        <v>Error?</v>
      </c>
    </row>
    <row r="2042" spans="1:4" x14ac:dyDescent="0.2">
      <c r="A2042" s="5">
        <v>1981</v>
      </c>
      <c r="B2042" s="1832">
        <f>'Cap Outlay Deprec 26'!I13</f>
        <v>4356</v>
      </c>
      <c r="D2042" s="2" t="str">
        <f t="shared" si="30"/>
        <v>Error?</v>
      </c>
    </row>
    <row r="2043" spans="1:4" x14ac:dyDescent="0.2">
      <c r="A2043" s="5">
        <v>1982</v>
      </c>
      <c r="B2043" s="1832">
        <f>'Cap Outlay Deprec 26'!I16</f>
        <v>272267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51392</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51392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2776122</v>
      </c>
      <c r="C2051" s="2" t="s">
        <v>569</v>
      </c>
      <c r="D2051" s="2" t="str">
        <f t="shared" si="31"/>
        <v>Error?</v>
      </c>
    </row>
    <row r="2052" spans="1:4" x14ac:dyDescent="0.2">
      <c r="A2052" s="5">
        <v>1991</v>
      </c>
      <c r="B2052" s="1832">
        <f>'Cap Outlay Deprec 26'!K10</f>
        <v>479285</v>
      </c>
      <c r="C2052" s="2" t="s">
        <v>569</v>
      </c>
      <c r="D2052" s="2" t="str">
        <f t="shared" si="31"/>
        <v>Error?</v>
      </c>
    </row>
    <row r="2053" spans="1:4" x14ac:dyDescent="0.2">
      <c r="A2053" s="5">
        <v>1992</v>
      </c>
      <c r="B2053" s="1832">
        <f>'Cap Outlay Deprec 26'!K12</f>
        <v>250586</v>
      </c>
      <c r="C2053" s="2" t="s">
        <v>569</v>
      </c>
      <c r="D2053" s="2" t="str">
        <f t="shared" si="31"/>
        <v>Error?</v>
      </c>
    </row>
    <row r="2054" spans="1:4" x14ac:dyDescent="0.2">
      <c r="A2054" s="5">
        <v>1993</v>
      </c>
      <c r="B2054" s="1832">
        <f>'Cap Outlay Deprec 26'!K13</f>
        <v>24687</v>
      </c>
      <c r="C2054" s="2" t="s">
        <v>569</v>
      </c>
      <c r="D2054" s="2" t="str">
        <f t="shared" si="31"/>
        <v>Error?</v>
      </c>
    </row>
    <row r="2055" spans="1:4" x14ac:dyDescent="0.2">
      <c r="A2055" s="5">
        <v>1994</v>
      </c>
      <c r="B2055" s="1832">
        <f>'Cap Outlay Deprec 26'!K16</f>
        <v>3530680</v>
      </c>
      <c r="C2055" s="2" t="s">
        <v>569</v>
      </c>
      <c r="D2055" s="2" t="str">
        <f t="shared" si="31"/>
        <v>Error?</v>
      </c>
    </row>
    <row r="2056" spans="1:4" x14ac:dyDescent="0.2">
      <c r="A2056" s="5">
        <v>1995</v>
      </c>
      <c r="B2056" s="1832">
        <f>'Cap Outlay Deprec 26'!L5</f>
        <v>47526</v>
      </c>
      <c r="C2056" s="2" t="s">
        <v>569</v>
      </c>
      <c r="D2056" s="2" t="str">
        <f t="shared" si="31"/>
        <v>Error?</v>
      </c>
    </row>
    <row r="2057" spans="1:4" x14ac:dyDescent="0.2">
      <c r="A2057" s="5">
        <v>1996</v>
      </c>
      <c r="B2057" s="1832">
        <f>'Cap Outlay Deprec 26'!L8</f>
        <v>7458229</v>
      </c>
      <c r="C2057" s="2" t="s">
        <v>569</v>
      </c>
      <c r="D2057" s="2" t="str">
        <f t="shared" si="31"/>
        <v>Error?</v>
      </c>
    </row>
    <row r="2058" spans="1:4" x14ac:dyDescent="0.2">
      <c r="A2058" s="5">
        <v>1997</v>
      </c>
      <c r="B2058" s="1832">
        <f>'Cap Outlay Deprec 26'!L10</f>
        <v>604693</v>
      </c>
      <c r="C2058" s="2" t="s">
        <v>569</v>
      </c>
      <c r="D2058" s="2" t="str">
        <f t="shared" si="31"/>
        <v>Error?</v>
      </c>
    </row>
    <row r="2059" spans="1:4" x14ac:dyDescent="0.2">
      <c r="A2059" s="5">
        <v>1998</v>
      </c>
      <c r="B2059" s="1832">
        <f>'Cap Outlay Deprec 26'!L12</f>
        <v>385351</v>
      </c>
      <c r="C2059" s="2" t="s">
        <v>569</v>
      </c>
      <c r="D2059" s="2" t="str">
        <f t="shared" si="31"/>
        <v>Error?</v>
      </c>
    </row>
    <row r="2060" spans="1:4" x14ac:dyDescent="0.2">
      <c r="A2060" s="5">
        <v>1999</v>
      </c>
      <c r="B2060" s="1832">
        <f>'Cap Outlay Deprec 26'!L13</f>
        <v>3923</v>
      </c>
      <c r="C2060" s="2" t="s">
        <v>569</v>
      </c>
      <c r="D2060" s="2" t="str">
        <f t="shared" si="31"/>
        <v>Error?</v>
      </c>
    </row>
    <row r="2061" spans="1:4" x14ac:dyDescent="0.2">
      <c r="A2061" s="5">
        <v>2000</v>
      </c>
      <c r="B2061" s="1832">
        <f>'Cap Outlay Deprec 26'!L16</f>
        <v>8551996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82271</v>
      </c>
      <c r="C2088" s="2" t="s">
        <v>569</v>
      </c>
      <c r="D2088" s="2" t="str">
        <f t="shared" si="31"/>
        <v>Error?</v>
      </c>
    </row>
    <row r="2089" spans="1:4" x14ac:dyDescent="0.2">
      <c r="A2089" s="5">
        <v>2028</v>
      </c>
      <c r="B2089" s="1832">
        <f>'Expenditures 15-22'!K92</f>
        <v>67473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73720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2668015</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1346649</v>
      </c>
      <c r="C2553" s="2" t="s">
        <v>569</v>
      </c>
      <c r="D2553" s="2" t="str">
        <f t="shared" si="38"/>
        <v>Error?</v>
      </c>
    </row>
    <row r="2554" spans="1:4" x14ac:dyDescent="0.2">
      <c r="A2554" s="5">
        <v>2493</v>
      </c>
      <c r="B2554" s="1832">
        <f>'Acct Summary 7-8'!C7</f>
        <v>366062</v>
      </c>
      <c r="C2554" s="2" t="s">
        <v>569</v>
      </c>
      <c r="D2554" s="2" t="str">
        <f t="shared" si="38"/>
        <v>Error?</v>
      </c>
    </row>
    <row r="2555" spans="1:4" x14ac:dyDescent="0.2">
      <c r="A2555" s="5">
        <v>2494</v>
      </c>
      <c r="B2555" s="1832">
        <f>'Acct Summary 7-8'!C8</f>
        <v>4380726</v>
      </c>
      <c r="C2555" s="2" t="s">
        <v>569</v>
      </c>
      <c r="D2555" s="2" t="str">
        <f t="shared" si="38"/>
        <v>Error?</v>
      </c>
    </row>
    <row r="2556" spans="1:4" x14ac:dyDescent="0.2">
      <c r="A2556" s="5">
        <v>2495</v>
      </c>
      <c r="B2556" s="1832">
        <f>'Acct Summary 7-8'!C12</f>
        <v>3164548</v>
      </c>
      <c r="C2556" s="2" t="s">
        <v>569</v>
      </c>
      <c r="D2556" s="2" t="str">
        <f t="shared" si="38"/>
        <v>Error?</v>
      </c>
    </row>
    <row r="2557" spans="1:4" x14ac:dyDescent="0.2">
      <c r="A2557" s="5">
        <v>2496</v>
      </c>
      <c r="B2557" s="1832">
        <f>'Acct Summary 7-8'!C13</f>
        <v>962649</v>
      </c>
      <c r="C2557" s="2" t="s">
        <v>569</v>
      </c>
      <c r="D2557" s="2" t="str">
        <f t="shared" si="38"/>
        <v>Error?</v>
      </c>
    </row>
    <row r="2558" spans="1:4" x14ac:dyDescent="0.2">
      <c r="A2558" s="5">
        <v>2497</v>
      </c>
      <c r="B2558" s="1832">
        <f>'Acct Summary 7-8'!C14</f>
        <v>9312</v>
      </c>
      <c r="C2558" s="2" t="s">
        <v>569</v>
      </c>
      <c r="D2558" s="2" t="str">
        <f t="shared" si="38"/>
        <v>Error?</v>
      </c>
    </row>
    <row r="2559" spans="1:4" x14ac:dyDescent="0.2">
      <c r="A2559" s="5">
        <v>2498</v>
      </c>
      <c r="B2559" s="1832">
        <f>'Acct Summary 7-8'!C15</f>
        <v>149744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4286253</v>
      </c>
      <c r="C2561" s="2" t="s">
        <v>569</v>
      </c>
      <c r="D2561" s="2" t="str">
        <f t="shared" si="39"/>
        <v>Error?</v>
      </c>
    </row>
    <row r="2562" spans="1:4" x14ac:dyDescent="0.2">
      <c r="A2562" s="5">
        <v>2501</v>
      </c>
      <c r="B2562" s="1832">
        <f>'Acct Summary 7-8'!C20</f>
        <v>94473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425990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475990</v>
      </c>
      <c r="C2568" s="2" t="s">
        <v>569</v>
      </c>
      <c r="D2568" s="2" t="str">
        <f t="shared" si="39"/>
        <v>Error?</v>
      </c>
    </row>
    <row r="2569" spans="1:4" x14ac:dyDescent="0.2">
      <c r="A2569" s="5">
        <v>2508</v>
      </c>
      <c r="B2569" s="1832">
        <f>'Acct Summary 7-8'!D13</f>
        <v>443179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443179</v>
      </c>
      <c r="C2573" s="2" t="s">
        <v>569</v>
      </c>
      <c r="D2573" s="2" t="str">
        <f t="shared" si="39"/>
        <v>Error?</v>
      </c>
    </row>
    <row r="2574" spans="1:4" x14ac:dyDescent="0.2">
      <c r="A2574" s="5">
        <v>2513</v>
      </c>
      <c r="B2574" s="1832">
        <f>'Acct Summary 7-8'!D20</f>
        <v>32811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103331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103017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206348</v>
      </c>
      <c r="C2595" s="2" t="s">
        <v>569</v>
      </c>
      <c r="D2595" s="2" t="str">
        <f t="shared" si="39"/>
        <v>Error?</v>
      </c>
    </row>
    <row r="2596" spans="1:4" x14ac:dyDescent="0.2">
      <c r="A2596" s="5">
        <v>2535</v>
      </c>
      <c r="B2596" s="1832">
        <f>'Acct Summary 7-8'!F13</f>
        <v>189113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189113</v>
      </c>
      <c r="C2600" s="2" t="s">
        <v>569</v>
      </c>
      <c r="D2600" s="2" t="str">
        <f t="shared" si="39"/>
        <v>Error?</v>
      </c>
    </row>
    <row r="2601" spans="1:4" x14ac:dyDescent="0.2">
      <c r="A2601" s="5">
        <v>2540</v>
      </c>
      <c r="B2601" s="1832">
        <f>'Acct Summary 7-8'!F20</f>
        <v>17235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140454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140454</v>
      </c>
      <c r="C2606" s="2" t="s">
        <v>569</v>
      </c>
      <c r="D2606" s="2" t="str">
        <f t="shared" si="39"/>
        <v>Error?</v>
      </c>
    </row>
    <row r="2607" spans="1:4" x14ac:dyDescent="0.2">
      <c r="A2607" s="5">
        <v>2546</v>
      </c>
      <c r="B2607" s="1832">
        <f>'Acct Summary 7-8'!G12</f>
        <v>68290</v>
      </c>
      <c r="C2607" s="2" t="s">
        <v>569</v>
      </c>
      <c r="D2607" s="2" t="str">
        <f t="shared" si="39"/>
        <v>Error?</v>
      </c>
    </row>
    <row r="2608" spans="1:4" x14ac:dyDescent="0.2">
      <c r="A2608" s="5">
        <v>2547</v>
      </c>
      <c r="B2608" s="1832">
        <f>'Acct Summary 7-8'!G13</f>
        <v>64876</v>
      </c>
      <c r="C2608" s="2" t="s">
        <v>569</v>
      </c>
      <c r="D2608" s="2" t="str">
        <f t="shared" si="39"/>
        <v>Error?</v>
      </c>
    </row>
    <row r="2609" spans="1:4" x14ac:dyDescent="0.2">
      <c r="A2609" s="5">
        <v>2548</v>
      </c>
      <c r="B2609" s="1832">
        <f>'Acct Summary 7-8'!G14</f>
        <v>647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133813</v>
      </c>
      <c r="C2612" s="2" t="s">
        <v>569</v>
      </c>
      <c r="D2612" s="2" t="str">
        <f t="shared" si="39"/>
        <v>Error?</v>
      </c>
    </row>
    <row r="2613" spans="1:4" x14ac:dyDescent="0.2">
      <c r="A2613" s="5">
        <v>2552</v>
      </c>
      <c r="B2613" s="1832">
        <f>'Acct Summary 7-8'!G20</f>
        <v>6641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569599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569599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565516</v>
      </c>
      <c r="C2634" s="2" t="s">
        <v>569</v>
      </c>
      <c r="D2634" s="2" t="str">
        <f t="shared" si="40"/>
        <v>Error?</v>
      </c>
    </row>
    <row r="2635" spans="1:4" x14ac:dyDescent="0.2">
      <c r="A2635" s="5">
        <v>2574</v>
      </c>
      <c r="B2635" s="1832">
        <f>'Acct Summary 7-8'!E17</f>
        <v>565516</v>
      </c>
      <c r="C2635" s="2" t="s">
        <v>569</v>
      </c>
      <c r="D2635" s="2" t="str">
        <f t="shared" si="40"/>
        <v>Error?</v>
      </c>
    </row>
    <row r="2636" spans="1:4" x14ac:dyDescent="0.2">
      <c r="A2636" s="5">
        <v>2575</v>
      </c>
      <c r="B2636" s="1832">
        <f>'Acct Summary 7-8'!E20</f>
        <v>4083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4593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4593</v>
      </c>
      <c r="C2658" s="2" t="s">
        <v>569</v>
      </c>
      <c r="D2658" s="2" t="str">
        <f t="shared" si="40"/>
        <v>Error?</v>
      </c>
    </row>
    <row r="2659" spans="1:4" x14ac:dyDescent="0.2">
      <c r="A2659" s="5">
        <v>2598</v>
      </c>
      <c r="B2659" s="1832">
        <f>'Acct Summary 7-8'!H13</f>
        <v>37880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37880</v>
      </c>
      <c r="C2661" s="2" t="s">
        <v>569</v>
      </c>
      <c r="D2661" s="2" t="str">
        <f t="shared" si="40"/>
        <v>Error?</v>
      </c>
    </row>
    <row r="2662" spans="1:4" x14ac:dyDescent="0.2">
      <c r="A2662" s="5">
        <v>2601</v>
      </c>
      <c r="B2662" s="1832">
        <f>'Acct Summary 7-8'!H20</f>
        <v>-33287</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82271</v>
      </c>
      <c r="C2789" s="2" t="s">
        <v>569</v>
      </c>
      <c r="D2789" s="2" t="str">
        <f t="shared" si="42"/>
        <v>Error?</v>
      </c>
    </row>
    <row r="2790" spans="1:4" x14ac:dyDescent="0.2">
      <c r="A2790" s="5">
        <v>2729</v>
      </c>
      <c r="B2790" s="1832">
        <f>'Expenditures 15-22'!E102</f>
        <v>82271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52274</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538522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25000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158708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538522</v>
      </c>
      <c r="D2912" s="2" t="str">
        <f t="shared" si="44"/>
        <v>Error?</v>
      </c>
    </row>
    <row r="2913" spans="1:4" x14ac:dyDescent="0.2">
      <c r="A2913" s="5">
        <v>2852</v>
      </c>
      <c r="B2913" s="1832">
        <f>'Assets-Liab 5-6'!I41</f>
        <v>538522</v>
      </c>
      <c r="C2913" s="2" t="s">
        <v>569</v>
      </c>
      <c r="D2913" s="2" t="str">
        <f t="shared" si="44"/>
        <v>Error?</v>
      </c>
    </row>
    <row r="2914" spans="1:4" x14ac:dyDescent="0.2">
      <c r="A2914" s="5">
        <v>2853</v>
      </c>
      <c r="B2914" s="1832">
        <f>'Assets-Liab 5-6'!L33</f>
        <v>158708</v>
      </c>
      <c r="D2914" s="2" t="str">
        <f t="shared" si="44"/>
        <v>Error?</v>
      </c>
    </row>
    <row r="2915" spans="1:4" x14ac:dyDescent="0.2">
      <c r="A2915" s="10">
        <v>2854</v>
      </c>
      <c r="B2915" s="1832"/>
      <c r="D2915" s="2" t="str">
        <f t="shared" si="44"/>
        <v>OK</v>
      </c>
    </row>
    <row r="2916" spans="1:4" x14ac:dyDescent="0.2">
      <c r="A2916" s="5">
        <v>2855</v>
      </c>
      <c r="B2916" s="1832">
        <f>'Assets-Liab 5-6'!L34</f>
        <v>158708</v>
      </c>
      <c r="C2916" s="2" t="s">
        <v>569</v>
      </c>
      <c r="D2916" s="2" t="str">
        <f t="shared" si="44"/>
        <v>Error?</v>
      </c>
    </row>
    <row r="2917" spans="1:4" x14ac:dyDescent="0.2">
      <c r="A2917" s="5">
        <v>2856</v>
      </c>
      <c r="B2917" s="1832">
        <f>'Assets-Liab 5-6'!L41</f>
        <v>158708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82271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82271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47845</v>
      </c>
      <c r="D3057" s="2" t="str">
        <f t="shared" si="46"/>
        <v>Error?</v>
      </c>
    </row>
    <row r="3058" spans="1:4" x14ac:dyDescent="0.2">
      <c r="A3058" s="5">
        <v>2997</v>
      </c>
      <c r="B3058" s="1832">
        <f>'Expenditures 15-22'!F10</f>
        <v>40675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88520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10727</v>
      </c>
      <c r="C3225" s="2" t="s">
        <v>569</v>
      </c>
      <c r="D3225" s="2" t="str">
        <f t="shared" si="49"/>
        <v>Error?</v>
      </c>
    </row>
    <row r="3226" spans="1:4" x14ac:dyDescent="0.2">
      <c r="A3226" s="5">
        <v>3165</v>
      </c>
      <c r="B3226" s="1832">
        <f>'Acct Summary 7-8'!I8</f>
        <v>10727</v>
      </c>
      <c r="C3226" s="2" t="s">
        <v>569</v>
      </c>
      <c r="D3226" s="2" t="str">
        <f t="shared" si="49"/>
        <v>Error?</v>
      </c>
    </row>
    <row r="3227" spans="1:4" x14ac:dyDescent="0.2">
      <c r="A3227" s="5">
        <v>3166</v>
      </c>
      <c r="B3227" s="1832">
        <f>'Acct Summary 7-8'!I20</f>
        <v>10727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94473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32811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17235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6641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4083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-33287</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10727</v>
      </c>
      <c r="C3320" s="2" t="s">
        <v>569</v>
      </c>
      <c r="D3320" s="2" t="str">
        <f t="shared" si="50"/>
        <v>Error?</v>
      </c>
    </row>
    <row r="3321" spans="1:4" x14ac:dyDescent="0.2">
      <c r="A3321" s="5">
        <v>3260</v>
      </c>
      <c r="B3321" s="1832">
        <f>'Acct Summary 7-8'!I79</f>
        <v>527795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538522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458621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81968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3240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5237</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549066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22020</v>
      </c>
      <c r="D3387" s="2" t="str">
        <f t="shared" si="51"/>
        <v>Error?</v>
      </c>
    </row>
    <row r="3388" spans="1:4" x14ac:dyDescent="0.2">
      <c r="A3388" s="5">
        <v>3327</v>
      </c>
      <c r="B3388" s="1832">
        <f>'Expenditures 15-22'!D217</f>
        <v>37372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22020</v>
      </c>
      <c r="C3390" s="2" t="s">
        <v>569</v>
      </c>
      <c r="D3390" s="2" t="str">
        <f t="shared" si="51"/>
        <v>Error?</v>
      </c>
    </row>
    <row r="3391" spans="1:4" x14ac:dyDescent="0.2">
      <c r="A3391" s="5">
        <v>3330</v>
      </c>
      <c r="B3391" s="1832">
        <f>'Expenditures 15-22'!K217</f>
        <v>37372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1368865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732139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23160</v>
      </c>
      <c r="D3417" s="2" t="str">
        <f t="shared" si="52"/>
        <v>Error?</v>
      </c>
    </row>
    <row r="3418" spans="1:4" x14ac:dyDescent="0.2">
      <c r="A3418" s="10">
        <v>3357</v>
      </c>
      <c r="B3418" s="1832"/>
      <c r="D3418" s="2" t="str">
        <f t="shared" si="52"/>
        <v>OK</v>
      </c>
    </row>
    <row r="3419" spans="1:4" x14ac:dyDescent="0.2">
      <c r="A3419" s="5">
        <v>3358</v>
      </c>
      <c r="B3419" s="1832">
        <f>'Assets-Liab 5-6'!F4</f>
        <v>517451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159089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105179</v>
      </c>
      <c r="D3425" s="2" t="str">
        <f t="shared" si="52"/>
        <v>Error?</v>
      </c>
    </row>
    <row r="3426" spans="1:4" x14ac:dyDescent="0.2">
      <c r="A3426" s="10">
        <v>3365</v>
      </c>
      <c r="B3426" s="1832"/>
      <c r="D3426" s="2" t="str">
        <f t="shared" si="52"/>
        <v>OK</v>
      </c>
    </row>
    <row r="3427" spans="1:4" x14ac:dyDescent="0.2">
      <c r="A3427" s="5">
        <v>3366</v>
      </c>
      <c r="B3427" s="1832">
        <f>'Assets-Liab 5-6'!I4</f>
        <v>538522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133708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29422</v>
      </c>
      <c r="C3446" s="2" t="s">
        <v>569</v>
      </c>
      <c r="D3446" s="2" t="str">
        <f t="shared" si="52"/>
        <v>Error?</v>
      </c>
    </row>
    <row r="3447" spans="1:4" x14ac:dyDescent="0.2">
      <c r="A3447" s="5">
        <v>3386</v>
      </c>
      <c r="B3447" s="1832">
        <f>'Tax Sched 23'!D16</f>
        <v>29422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29434</v>
      </c>
      <c r="C3449" s="2" t="s">
        <v>569</v>
      </c>
      <c r="D3449" s="2" t="str">
        <f t="shared" si="52"/>
        <v>Error?</v>
      </c>
    </row>
    <row r="3450" spans="1:4" x14ac:dyDescent="0.2">
      <c r="A3450" s="5">
        <v>3389</v>
      </c>
      <c r="B3450" s="1832">
        <f>'Tax Sched 23'!E16</f>
        <v>29434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52274</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52274</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52274</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1808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1808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1808</v>
      </c>
      <c r="D3567" s="2" t="str">
        <f t="shared" si="54"/>
        <v>Error?</v>
      </c>
    </row>
    <row r="3568" spans="1:4" x14ac:dyDescent="0.2">
      <c r="A3568" s="5">
        <v>3507</v>
      </c>
      <c r="B3568" s="1832">
        <f>'Assets-Liab 5-6'!K41</f>
        <v>1808</v>
      </c>
      <c r="C3568" s="2" t="s">
        <v>569</v>
      </c>
      <c r="D3568" s="2" t="str">
        <f t="shared" si="54"/>
        <v>Error?</v>
      </c>
    </row>
    <row r="3569" spans="1:4" x14ac:dyDescent="0.2">
      <c r="A3569" s="5">
        <v>3508</v>
      </c>
      <c r="B3569" s="1832">
        <f>'Acct Summary 7-8'!K4</f>
        <v>56516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56516</v>
      </c>
      <c r="C3571" s="2" t="s">
        <v>569</v>
      </c>
      <c r="D3571" s="2" t="str">
        <f t="shared" si="54"/>
        <v>Error?</v>
      </c>
    </row>
    <row r="3572" spans="1:4" x14ac:dyDescent="0.2">
      <c r="A3572" s="5">
        <v>3511</v>
      </c>
      <c r="B3572" s="1832">
        <f>'Acct Summary 7-8'!K13</f>
        <v>80404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80404</v>
      </c>
      <c r="C3575" s="2" t="s">
        <v>569</v>
      </c>
      <c r="D3575" s="2" t="str">
        <f t="shared" si="54"/>
        <v>Error?</v>
      </c>
    </row>
    <row r="3576" spans="1:4" x14ac:dyDescent="0.2">
      <c r="A3576" s="5">
        <v>3515</v>
      </c>
      <c r="B3576" s="1832">
        <f>'Acct Summary 7-8'!K20</f>
        <v>-23888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-23888</v>
      </c>
      <c r="C3588" s="2" t="s">
        <v>569</v>
      </c>
      <c r="D3588" s="2" t="str">
        <f t="shared" si="55"/>
        <v>Error?</v>
      </c>
    </row>
    <row r="3589" spans="1:4" x14ac:dyDescent="0.2">
      <c r="A3589" s="5">
        <v>3528</v>
      </c>
      <c r="B3589" s="1832">
        <f>'Acct Summary 7-8'!K79</f>
        <v>25696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1808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894</v>
      </c>
      <c r="D3631" s="2" t="str">
        <f t="shared" si="55"/>
        <v>Error?</v>
      </c>
    </row>
    <row r="3632" spans="1:4" x14ac:dyDescent="0.2">
      <c r="A3632" s="5">
        <v>3571</v>
      </c>
      <c r="B3632" s="1832">
        <f>'Expenditures 15-22'!E349</f>
        <v>27236</v>
      </c>
      <c r="D3632" s="2" t="str">
        <f t="shared" si="55"/>
        <v>Error?</v>
      </c>
    </row>
    <row r="3633" spans="1:4" x14ac:dyDescent="0.2">
      <c r="A3633" s="5">
        <v>3572</v>
      </c>
      <c r="B3633" s="1832">
        <f>'Expenditures 15-22'!E350</f>
        <v>28130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28130</v>
      </c>
      <c r="C3635" s="2" t="s">
        <v>569</v>
      </c>
      <c r="D3635" s="2" t="str">
        <f t="shared" si="55"/>
        <v>Error?</v>
      </c>
    </row>
    <row r="3636" spans="1:4" x14ac:dyDescent="0.2">
      <c r="A3636" s="5">
        <v>3575</v>
      </c>
      <c r="B3636" s="1832">
        <f>'Expenditures 15-22'!E367</f>
        <v>28130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52274</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52274</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52274</v>
      </c>
      <c r="C3649" s="2" t="s">
        <v>569</v>
      </c>
      <c r="D3649" s="2" t="str">
        <f t="shared" si="56"/>
        <v>Error?</v>
      </c>
    </row>
    <row r="3650" spans="1:4" x14ac:dyDescent="0.2">
      <c r="A3650" s="5">
        <v>3589</v>
      </c>
      <c r="B3650" s="1832">
        <f>'Expenditures 15-22'!G367</f>
        <v>52274</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53168</v>
      </c>
      <c r="C3668" s="2" t="s">
        <v>569</v>
      </c>
      <c r="D3668" s="2" t="str">
        <f t="shared" si="56"/>
        <v>Error?</v>
      </c>
    </row>
    <row r="3669" spans="1:4" x14ac:dyDescent="0.2">
      <c r="A3669" s="5">
        <v>3608</v>
      </c>
      <c r="B3669" s="1832">
        <f>'Expenditures 15-22'!K349</f>
        <v>27236</v>
      </c>
      <c r="C3669" s="2" t="s">
        <v>569</v>
      </c>
      <c r="D3669" s="2" t="str">
        <f t="shared" si="56"/>
        <v>Error?</v>
      </c>
    </row>
    <row r="3670" spans="1:4" x14ac:dyDescent="0.2">
      <c r="A3670" s="5">
        <v>3609</v>
      </c>
      <c r="B3670" s="1832">
        <f>'Expenditures 15-22'!K350</f>
        <v>80404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80404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80404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-23888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-3778</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-3778</v>
      </c>
      <c r="D4111" s="2" t="str">
        <f t="shared" si="63"/>
        <v>Error?</v>
      </c>
    </row>
    <row r="4112" spans="1:4" x14ac:dyDescent="0.2">
      <c r="A4112" s="10">
        <v>4051</v>
      </c>
      <c r="B4112" s="1832"/>
      <c r="D4112" s="2" t="str">
        <f t="shared" si="63"/>
        <v>OK</v>
      </c>
    </row>
    <row r="4113" spans="1:4" x14ac:dyDescent="0.2">
      <c r="A4113" s="5">
        <v>4052</v>
      </c>
      <c r="B4113" s="1832">
        <f>'Acct Summary 7-8'!C9</f>
        <v>2282553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6663279</v>
      </c>
      <c r="C4122" s="2" t="s">
        <v>569</v>
      </c>
      <c r="D4122" s="2" t="str">
        <f t="shared" si="63"/>
        <v>Error?</v>
      </c>
    </row>
    <row r="4123" spans="1:4" x14ac:dyDescent="0.2">
      <c r="A4123" s="5">
        <v>4062</v>
      </c>
      <c r="B4123" s="1832">
        <f>'Acct Summary 7-8'!D10</f>
        <v>475990</v>
      </c>
      <c r="C4123" s="2" t="s">
        <v>569</v>
      </c>
      <c r="D4123" s="2" t="str">
        <f t="shared" si="63"/>
        <v>Error?</v>
      </c>
    </row>
    <row r="4124" spans="1:4" x14ac:dyDescent="0.2">
      <c r="A4124" s="5">
        <v>4063</v>
      </c>
      <c r="B4124" s="1832">
        <f>'Acct Summary 7-8'!E10</f>
        <v>569599</v>
      </c>
      <c r="C4124" s="2" t="s">
        <v>569</v>
      </c>
      <c r="D4124" s="2" t="str">
        <f t="shared" si="63"/>
        <v>Error?</v>
      </c>
    </row>
    <row r="4125" spans="1:4" x14ac:dyDescent="0.2">
      <c r="A4125" s="5">
        <v>4064</v>
      </c>
      <c r="B4125" s="1832">
        <f>'Acct Summary 7-8'!F10</f>
        <v>206348</v>
      </c>
      <c r="C4125" s="2" t="s">
        <v>569</v>
      </c>
      <c r="D4125" s="2" t="str">
        <f t="shared" si="63"/>
        <v>Error?</v>
      </c>
    </row>
    <row r="4126" spans="1:4" x14ac:dyDescent="0.2">
      <c r="A4126" s="5">
        <v>4065</v>
      </c>
      <c r="B4126" s="1832">
        <f>'Acct Summary 7-8'!G10</f>
        <v>140454</v>
      </c>
      <c r="C4126" s="2" t="s">
        <v>569</v>
      </c>
      <c r="D4126" s="2" t="str">
        <f t="shared" si="63"/>
        <v>Error?</v>
      </c>
    </row>
    <row r="4127" spans="1:4" x14ac:dyDescent="0.2">
      <c r="A4127" s="5">
        <v>4066</v>
      </c>
      <c r="B4127" s="1832">
        <f>'Acct Summary 7-8'!H10</f>
        <v>4593</v>
      </c>
      <c r="C4127" s="2" t="s">
        <v>569</v>
      </c>
      <c r="D4127" s="2" t="str">
        <f t="shared" si="63"/>
        <v>Error?</v>
      </c>
    </row>
    <row r="4128" spans="1:4" x14ac:dyDescent="0.2">
      <c r="A4128" s="5">
        <v>4067</v>
      </c>
      <c r="B4128" s="1832">
        <f>'Acct Summary 7-8'!I10</f>
        <v>10727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56516</v>
      </c>
      <c r="C4130" s="2" t="s">
        <v>569</v>
      </c>
      <c r="D4130" s="2" t="str">
        <f t="shared" si="63"/>
        <v>Error?</v>
      </c>
    </row>
    <row r="4131" spans="1:4" x14ac:dyDescent="0.2">
      <c r="A4131" s="5">
        <v>4070</v>
      </c>
      <c r="B4131" s="1832">
        <f>'Acct Summary 7-8'!C18</f>
        <v>2282553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6568806</v>
      </c>
      <c r="C4136" s="2" t="s">
        <v>569</v>
      </c>
      <c r="D4136" s="2" t="str">
        <f t="shared" si="63"/>
        <v>Error?</v>
      </c>
    </row>
    <row r="4137" spans="1:4" x14ac:dyDescent="0.2">
      <c r="A4137" s="5">
        <v>4076</v>
      </c>
      <c r="B4137" s="1832">
        <f>'Acct Summary 7-8'!D19</f>
        <v>443179</v>
      </c>
      <c r="C4137" s="2" t="s">
        <v>569</v>
      </c>
      <c r="D4137" s="2" t="str">
        <f t="shared" si="63"/>
        <v>Error?</v>
      </c>
    </row>
    <row r="4138" spans="1:4" x14ac:dyDescent="0.2">
      <c r="A4138" s="5">
        <v>4077</v>
      </c>
      <c r="B4138" s="1832">
        <f>'Acct Summary 7-8'!E19</f>
        <v>565516</v>
      </c>
      <c r="C4138" s="2" t="s">
        <v>569</v>
      </c>
      <c r="D4138" s="2" t="str">
        <f t="shared" si="63"/>
        <v>Error?</v>
      </c>
    </row>
    <row r="4139" spans="1:4" x14ac:dyDescent="0.2">
      <c r="A4139" s="5">
        <v>4078</v>
      </c>
      <c r="B4139" s="1832">
        <f>'Acct Summary 7-8'!F19</f>
        <v>189113</v>
      </c>
      <c r="C4139" s="2" t="s">
        <v>569</v>
      </c>
      <c r="D4139" s="2" t="str">
        <f t="shared" si="63"/>
        <v>Error?</v>
      </c>
    </row>
    <row r="4140" spans="1:4" x14ac:dyDescent="0.2">
      <c r="A4140" s="5">
        <v>4079</v>
      </c>
      <c r="B4140" s="1832">
        <f>'Acct Summary 7-8'!G19</f>
        <v>133813</v>
      </c>
      <c r="C4140" s="2" t="s">
        <v>569</v>
      </c>
      <c r="D4140" s="2" t="str">
        <f t="shared" si="63"/>
        <v>Error?</v>
      </c>
    </row>
    <row r="4141" spans="1:4" x14ac:dyDescent="0.2">
      <c r="A4141" s="5">
        <v>4080</v>
      </c>
      <c r="B4141" s="1832">
        <f>'Acct Summary 7-8'!H19</f>
        <v>37880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80404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6479613</v>
      </c>
      <c r="C4171" s="2" t="s">
        <v>569</v>
      </c>
      <c r="D4171" s="2" t="str">
        <f t="shared" si="64"/>
        <v>Error?</v>
      </c>
    </row>
    <row r="4172" spans="1:4" x14ac:dyDescent="0.2">
      <c r="A4172" s="5">
        <v>4111</v>
      </c>
      <c r="B4172" s="1832">
        <f>'Short-Term Long-Term Debt 24'!J49</f>
        <v>6456453</v>
      </c>
      <c r="C4172" s="2" t="s">
        <v>569</v>
      </c>
      <c r="D4172" s="2" t="str">
        <f t="shared" si="64"/>
        <v>Error?</v>
      </c>
    </row>
    <row r="4173" spans="1:4" x14ac:dyDescent="0.2">
      <c r="A4173" s="5">
        <v>4112</v>
      </c>
      <c r="B4173" s="1832">
        <f>'Short-Term Long-Term Debt 24'!H49</f>
        <v>311387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3867.23</v>
      </c>
      <c r="C4265" s="2" t="s">
        <v>569</v>
      </c>
      <c r="D4265" s="2" t="str">
        <f t="shared" si="65"/>
        <v>Error?</v>
      </c>
      <c r="E4265" s="125"/>
    </row>
    <row r="4266" spans="1:5" x14ac:dyDescent="0.2">
      <c r="A4266" s="12">
        <v>4205</v>
      </c>
      <c r="B4266" s="1832">
        <f>('FP Info 3'!F10)*100000</f>
        <v>552.69999999999993</v>
      </c>
      <c r="C4266" s="2" t="s">
        <v>569</v>
      </c>
      <c r="D4266" s="2" t="str">
        <f t="shared" si="65"/>
        <v>Error?</v>
      </c>
      <c r="E4266" s="125"/>
    </row>
    <row r="4267" spans="1:5" x14ac:dyDescent="0.2">
      <c r="A4267" s="12">
        <v>4206</v>
      </c>
      <c r="B4267" s="1832">
        <f>('FP Info 3'!H10)*100000</f>
        <v>167.43</v>
      </c>
      <c r="C4267" s="2" t="s">
        <v>569</v>
      </c>
      <c r="D4267" s="2" t="str">
        <f t="shared" si="65"/>
        <v>Error?</v>
      </c>
      <c r="E4267" s="125"/>
    </row>
    <row r="4268" spans="1:5" x14ac:dyDescent="0.2">
      <c r="A4268" s="12">
        <v>4207</v>
      </c>
      <c r="B4268" s="1832">
        <f>('FP Info 3'!J10)*100000</f>
        <v>4587</v>
      </c>
      <c r="C4268" s="2" t="s">
        <v>569</v>
      </c>
      <c r="D4268" s="2" t="str">
        <f t="shared" si="65"/>
        <v>Error?</v>
      </c>
    </row>
    <row r="4269" spans="1:5" x14ac:dyDescent="0.2">
      <c r="A4269" s="12">
        <v>4208</v>
      </c>
      <c r="B4269" s="1832">
        <f>'FP Info 3'!J16</f>
        <v>3156977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18174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9378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12789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8.07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6781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31355</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12043</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61914743</v>
      </c>
      <c r="D4995" s="2" t="str">
        <f t="shared" si="77"/>
        <v>Error?</v>
      </c>
    </row>
    <row r="4996" spans="1:4" x14ac:dyDescent="0.2">
      <c r="A4996" s="12">
        <v>4935</v>
      </c>
      <c r="B4996" s="1832">
        <f>'FP Info 3'!H31</f>
        <v>8544234.534</v>
      </c>
      <c r="D4996" s="2" t="str">
        <f t="shared" si="77"/>
        <v>Error?</v>
      </c>
    </row>
    <row r="4997" spans="1:4" x14ac:dyDescent="0.2">
      <c r="A4997" s="12">
        <v>4936</v>
      </c>
      <c r="B4997" s="1832">
        <f>'FP Info 3'!H37</f>
        <v>6479613</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2235684</v>
      </c>
      <c r="D5061" s="2" t="str">
        <f t="shared" si="78"/>
        <v>Error?</v>
      </c>
    </row>
    <row r="5062" spans="1:4" x14ac:dyDescent="0.2">
      <c r="A5062" s="10">
        <v>5001</v>
      </c>
      <c r="B5062" s="1832"/>
      <c r="D5062" s="2" t="str">
        <f t="shared" si="78"/>
        <v>OK</v>
      </c>
    </row>
    <row r="5063" spans="1:4" x14ac:dyDescent="0.2">
      <c r="A5063" s="5">
        <v>5002</v>
      </c>
      <c r="B5063" s="1832">
        <f>'Revenues 9-14'!C7</f>
        <v>51484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2287168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138273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138273</v>
      </c>
      <c r="C5071" s="2" t="s">
        <v>569</v>
      </c>
      <c r="D5071" s="2" t="str">
        <f t="shared" si="78"/>
        <v>Error?</v>
      </c>
    </row>
    <row r="5072" spans="1:4" x14ac:dyDescent="0.2">
      <c r="A5072" s="5">
        <v>5011</v>
      </c>
      <c r="B5072" s="1832">
        <f>'Revenues 9-14'!C20</f>
        <v>1500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1500</v>
      </c>
      <c r="C5087" s="2" t="s">
        <v>569</v>
      </c>
      <c r="D5087" s="2" t="str">
        <f t="shared" si="78"/>
        <v>Error?</v>
      </c>
    </row>
    <row r="5088" spans="1:4" x14ac:dyDescent="0.2">
      <c r="A5088" s="5">
        <v>5027</v>
      </c>
      <c r="B5088" s="1832">
        <f>'Revenues 9-14'!C65</f>
        <v>13394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13394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27839</v>
      </c>
      <c r="C5096" s="2" t="s">
        <v>569</v>
      </c>
      <c r="D5096" s="2" t="str">
        <f t="shared" si="78"/>
        <v>Error?</v>
      </c>
    </row>
    <row r="5097" spans="1:4" x14ac:dyDescent="0.2">
      <c r="A5097" s="5">
        <v>5036</v>
      </c>
      <c r="B5097" s="1832">
        <f>'Revenues 9-14'!C77</f>
        <v>11901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1937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13838</v>
      </c>
      <c r="C5102" s="2" t="s">
        <v>569</v>
      </c>
      <c r="D5102" s="2" t="str">
        <f t="shared" si="78"/>
        <v>Error?</v>
      </c>
    </row>
    <row r="5103" spans="1:4" x14ac:dyDescent="0.2">
      <c r="A5103" s="5">
        <v>5042</v>
      </c>
      <c r="B5103" s="1832">
        <f>'Revenues 9-14'!C84</f>
        <v>34595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34595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40370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16658</v>
      </c>
      <c r="D5119" s="2" t="str">
        <f t="shared" ref="D5119:D5182" si="79">IF(ISBLANK(B5119),"OK",IF(A5119-B5119=0,"OK","Error?"))</f>
        <v>Error?</v>
      </c>
    </row>
    <row r="5120" spans="1:4" x14ac:dyDescent="0.2">
      <c r="A5120" s="5">
        <v>5059</v>
      </c>
      <c r="B5120" s="1832">
        <f>'Revenues 9-14'!C108</f>
        <v>151408</v>
      </c>
      <c r="C5120" s="2" t="s">
        <v>569</v>
      </c>
      <c r="D5120" s="2" t="str">
        <f t="shared" si="79"/>
        <v>Error?</v>
      </c>
    </row>
    <row r="5121" spans="1:4" x14ac:dyDescent="0.2">
      <c r="A5121" s="5">
        <v>5060</v>
      </c>
      <c r="B5121" s="1832">
        <f>'Revenues 9-14'!C109</f>
        <v>2668015</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1159159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1159159</v>
      </c>
      <c r="C5132" s="2" t="s">
        <v>569</v>
      </c>
      <c r="D5132" s="2" t="str">
        <f t="shared" si="79"/>
        <v>Error?</v>
      </c>
    </row>
    <row r="5133" spans="1:4" x14ac:dyDescent="0.2">
      <c r="A5133" s="5">
        <v>5072</v>
      </c>
      <c r="B5133" s="1832">
        <f>'Revenues 9-14'!C125</f>
        <v>35791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17250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53041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7281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17827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909</v>
      </c>
      <c r="D5167" s="2" t="str">
        <f t="shared" si="79"/>
        <v>Error?</v>
      </c>
    </row>
    <row r="5168" spans="1:4" x14ac:dyDescent="0.2">
      <c r="A5168" s="5">
        <v>5107</v>
      </c>
      <c r="B5168" s="1832">
        <f>'Revenues 9-14'!C148</f>
        <v>4997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103935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187490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1346649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31355</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51995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10727</v>
      </c>
      <c r="D5241" s="2" t="str">
        <f t="shared" si="80"/>
        <v>Error?</v>
      </c>
    </row>
    <row r="5242" spans="1:4" x14ac:dyDescent="0.2">
      <c r="A5242" s="5">
        <v>5181</v>
      </c>
      <c r="B5242" s="1832">
        <f>'Revenues 9-14'!C194</f>
        <v>25638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88360</v>
      </c>
      <c r="C5246" s="2" t="s">
        <v>569</v>
      </c>
      <c r="D5246" s="2" t="str">
        <f t="shared" si="80"/>
        <v>Error?</v>
      </c>
    </row>
    <row r="5247" spans="1:4" x14ac:dyDescent="0.2">
      <c r="A5247" s="5">
        <v>5186</v>
      </c>
      <c r="B5247" s="1832">
        <f>'Revenues 9-14'!C200</f>
        <v>81914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81914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102049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102049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334707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366062</v>
      </c>
      <c r="C5326" s="2" t="s">
        <v>569</v>
      </c>
      <c r="D5326" s="2" t="str">
        <f t="shared" si="82"/>
        <v>Error?</v>
      </c>
    </row>
    <row r="5327" spans="1:5" x14ac:dyDescent="0.2">
      <c r="A5327" s="5">
        <v>5266</v>
      </c>
      <c r="B5327" s="1832">
        <f>'Revenues 9-14'!C268</f>
        <v>4380726</v>
      </c>
      <c r="C5327" s="2" t="s">
        <v>569</v>
      </c>
      <c r="D5327" s="2" t="str">
        <f t="shared" si="82"/>
        <v>Error?</v>
      </c>
    </row>
    <row r="5328" spans="1:5" x14ac:dyDescent="0.2">
      <c r="A5328" s="5">
        <v>5267</v>
      </c>
      <c r="B5328" s="1832">
        <f>'Revenues 9-14'!D5</f>
        <v>333398</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333398</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64000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64000</v>
      </c>
      <c r="C5339" s="2" t="s">
        <v>569</v>
      </c>
      <c r="D5339" s="2" t="str">
        <f t="shared" si="82"/>
        <v>Error?</v>
      </c>
    </row>
    <row r="5340" spans="1:4" x14ac:dyDescent="0.2">
      <c r="A5340" s="5">
        <v>5279</v>
      </c>
      <c r="B5340" s="1832">
        <f>'Revenues 9-14'!D65</f>
        <v>8132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8132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259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20201</v>
      </c>
      <c r="D5354" s="2" t="str">
        <f t="shared" si="82"/>
        <v>Error?</v>
      </c>
    </row>
    <row r="5355" spans="1:4" x14ac:dyDescent="0.2">
      <c r="A5355" s="5">
        <v>5294</v>
      </c>
      <c r="B5355" s="1832">
        <f>'Revenues 9-14'!D108</f>
        <v>20460</v>
      </c>
      <c r="C5355" s="2" t="s">
        <v>569</v>
      </c>
      <c r="D5355" s="2" t="str">
        <f t="shared" si="82"/>
        <v>Error?</v>
      </c>
    </row>
    <row r="5356" spans="1:4" x14ac:dyDescent="0.2">
      <c r="A5356" s="5">
        <v>5295</v>
      </c>
      <c r="B5356" s="1832">
        <f>'Revenues 9-14'!D109</f>
        <v>425990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475990</v>
      </c>
      <c r="C5508" s="2" t="s">
        <v>569</v>
      </c>
      <c r="D5508" s="2" t="str">
        <f t="shared" si="85"/>
        <v>Error?</v>
      </c>
    </row>
    <row r="5509" spans="1:4" x14ac:dyDescent="0.2">
      <c r="A5509" s="5">
        <v>5448</v>
      </c>
      <c r="B5509" s="1832">
        <f>'Revenues 9-14'!E5</f>
        <v>568452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568452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1147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1147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569599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569599</v>
      </c>
      <c r="C5552" s="2" t="s">
        <v>569</v>
      </c>
      <c r="D5552" s="2" t="str">
        <f t="shared" si="85"/>
        <v>Error?</v>
      </c>
    </row>
    <row r="5553" spans="1:4" x14ac:dyDescent="0.2">
      <c r="A5553" s="5">
        <v>5492</v>
      </c>
      <c r="B5553" s="1832">
        <f>'Revenues 9-14'!F5</f>
        <v>98063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98063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5200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5200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68</v>
      </c>
      <c r="D5586" s="2" t="str">
        <f t="shared" si="86"/>
        <v>Error?</v>
      </c>
    </row>
    <row r="5587" spans="1:4" x14ac:dyDescent="0.2">
      <c r="A5587" s="5">
        <v>5526</v>
      </c>
      <c r="B5587" s="1832">
        <f>'Revenues 9-14'!F108</f>
        <v>68</v>
      </c>
      <c r="C5587" s="2" t="s">
        <v>569</v>
      </c>
      <c r="D5587" s="2" t="str">
        <f t="shared" si="86"/>
        <v>Error?</v>
      </c>
    </row>
    <row r="5588" spans="1:4" x14ac:dyDescent="0.2">
      <c r="A5588" s="5">
        <v>5527</v>
      </c>
      <c r="B5588" s="1832">
        <f>'Revenues 9-14'!F109</f>
        <v>103331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20447</v>
      </c>
      <c r="D5615" s="2" t="str">
        <f t="shared" si="86"/>
        <v>Error?</v>
      </c>
    </row>
    <row r="5616" spans="1:4" x14ac:dyDescent="0.2">
      <c r="A5616" s="10">
        <v>5555</v>
      </c>
      <c r="B5616" s="1832"/>
      <c r="D5616" s="2" t="str">
        <f t="shared" si="86"/>
        <v>OK</v>
      </c>
    </row>
    <row r="5617" spans="1:5" x14ac:dyDescent="0.2">
      <c r="A5617" s="5">
        <v>5556</v>
      </c>
      <c r="B5617" s="1832">
        <f>'Revenues 9-14'!F153</f>
        <v>82570</v>
      </c>
      <c r="D5617" s="2" t="str">
        <f t="shared" si="86"/>
        <v>Error?</v>
      </c>
    </row>
    <row r="5618" spans="1:5" x14ac:dyDescent="0.2">
      <c r="A5618" s="5">
        <v>5557</v>
      </c>
      <c r="B5618" s="1832">
        <f>'Revenues 9-14'!F155</f>
        <v>103017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103017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103017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206348</v>
      </c>
      <c r="C5720" s="2" t="s">
        <v>569</v>
      </c>
      <c r="D5720" s="2" t="str">
        <f t="shared" si="88"/>
        <v>Error?</v>
      </c>
    </row>
    <row r="5721" spans="1:4" x14ac:dyDescent="0.2">
      <c r="A5721" s="5">
        <v>5660</v>
      </c>
      <c r="B5721" s="1832">
        <f>'Revenues 9-14'!G5</f>
        <v>29422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29422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58844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80000</v>
      </c>
      <c r="C5730" s="2" t="s">
        <v>569</v>
      </c>
      <c r="D5730" s="2" t="str">
        <f t="shared" si="88"/>
        <v>Error?</v>
      </c>
    </row>
    <row r="5731" spans="1:4" x14ac:dyDescent="0.2">
      <c r="A5731" s="5">
        <v>5670</v>
      </c>
      <c r="B5731" s="1832">
        <f>'Revenues 9-14'!G65</f>
        <v>1610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1610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140454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1141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1141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1300</v>
      </c>
      <c r="D5885" s="2" t="str">
        <f t="shared" si="90"/>
        <v>Error?</v>
      </c>
    </row>
    <row r="5886" spans="1:4" x14ac:dyDescent="0.2">
      <c r="A5886" s="5">
        <v>5825</v>
      </c>
      <c r="B5886" s="1832">
        <f>'Revenues 9-14'!H108</f>
        <v>3452</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4593</v>
      </c>
      <c r="C5915" s="2" t="s">
        <v>569</v>
      </c>
      <c r="D5915" s="2" t="str">
        <f t="shared" si="91"/>
        <v>Error?</v>
      </c>
    </row>
    <row r="5916" spans="1:4" x14ac:dyDescent="0.2">
      <c r="A5916" s="5">
        <v>5855</v>
      </c>
      <c r="B5916" s="1832">
        <f>'Revenues 9-14'!I5</f>
        <v>4907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4907</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5820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5820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10727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56392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56392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124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124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56516</v>
      </c>
      <c r="C6023" s="2" t="s">
        <v>569</v>
      </c>
      <c r="D6023" s="2" t="str">
        <f t="shared" si="93"/>
        <v>Error?</v>
      </c>
    </row>
    <row r="6024" spans="1:5" x14ac:dyDescent="0.2">
      <c r="A6024" s="5">
        <v>5963</v>
      </c>
      <c r="B6024" s="1832">
        <f>'Revenues 9-14'!G109</f>
        <v>140454</v>
      </c>
      <c r="C6024" s="2" t="s">
        <v>569</v>
      </c>
      <c r="D6024" s="2" t="str">
        <f t="shared" si="93"/>
        <v>Error?</v>
      </c>
    </row>
    <row r="6025" spans="1:5" x14ac:dyDescent="0.2">
      <c r="A6025" s="5">
        <v>5964</v>
      </c>
      <c r="B6025" s="1832">
        <f>'Revenues 9-14'!H109</f>
        <v>4593</v>
      </c>
      <c r="C6025" s="2" t="s">
        <v>569</v>
      </c>
      <c r="D6025" s="2" t="str">
        <f t="shared" si="93"/>
        <v>Error?</v>
      </c>
    </row>
    <row r="6026" spans="1:5" x14ac:dyDescent="0.2">
      <c r="A6026" s="5">
        <v>5965</v>
      </c>
      <c r="B6026" s="1832">
        <f>'Revenues 9-14'!I109</f>
        <v>10727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56516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27839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9283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445.5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45549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45549</v>
      </c>
      <c r="D6215" s="2" t="str">
        <f t="shared" si="96"/>
        <v>Error?</v>
      </c>
      <c r="E6215" s="2" t="s">
        <v>189</v>
      </c>
    </row>
    <row r="6216" spans="1:5" x14ac:dyDescent="0.2">
      <c r="A6216">
        <v>6155</v>
      </c>
      <c r="B6216" s="1832">
        <f>'Assets-Liab 5-6'!J41</f>
        <v>45549</v>
      </c>
      <c r="D6216" s="2" t="str">
        <f t="shared" si="96"/>
        <v>Error?</v>
      </c>
      <c r="E6216" s="2" t="s">
        <v>189</v>
      </c>
    </row>
    <row r="6217" spans="1:5" x14ac:dyDescent="0.2">
      <c r="A6217">
        <v>6156</v>
      </c>
      <c r="B6217" s="1832">
        <f>'Assets-Liab 5-6'!J4</f>
        <v>45549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124941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124941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124941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117245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117245</v>
      </c>
      <c r="D6229" s="2" t="str">
        <f t="shared" si="96"/>
        <v>Error?</v>
      </c>
      <c r="E6229" s="2" t="s">
        <v>189</v>
      </c>
    </row>
    <row r="6230" spans="1:5" x14ac:dyDescent="0.2">
      <c r="A6230">
        <v>6169</v>
      </c>
      <c r="B6230" s="1832">
        <f>'Acct Summary 7-8'!J20</f>
        <v>7696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7696</v>
      </c>
      <c r="D6263" s="2" t="str">
        <f t="shared" si="96"/>
        <v>Error?</v>
      </c>
      <c r="E6263" s="2" t="s">
        <v>189</v>
      </c>
    </row>
    <row r="6264" spans="1:5" x14ac:dyDescent="0.2">
      <c r="A6264">
        <v>6203</v>
      </c>
      <c r="B6264" s="1832">
        <f>'Acct Summary 7-8'!J79</f>
        <v>37853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45549</v>
      </c>
      <c r="D6266" s="2" t="str">
        <f t="shared" si="96"/>
        <v>Error?</v>
      </c>
      <c r="E6266" s="2" t="s">
        <v>189</v>
      </c>
    </row>
    <row r="6267" spans="1:5" x14ac:dyDescent="0.2">
      <c r="A6267">
        <v>6206</v>
      </c>
      <c r="B6267" s="1832">
        <f>'Acct Summary 7-8'!C82</f>
        <v>94473</v>
      </c>
      <c r="D6267" s="2" t="str">
        <f t="shared" si="96"/>
        <v>Error?</v>
      </c>
      <c r="E6267" s="2" t="s">
        <v>189</v>
      </c>
    </row>
    <row r="6268" spans="1:5" x14ac:dyDescent="0.2">
      <c r="A6268">
        <v>6207</v>
      </c>
      <c r="B6268" s="1832">
        <f>'Acct Summary 7-8'!D82</f>
        <v>32811</v>
      </c>
      <c r="D6268" s="2" t="str">
        <f t="shared" si="96"/>
        <v>Error?</v>
      </c>
      <c r="E6268" s="2" t="s">
        <v>189</v>
      </c>
    </row>
    <row r="6269" spans="1:5" x14ac:dyDescent="0.2">
      <c r="A6269">
        <v>6208</v>
      </c>
      <c r="B6269" s="1832">
        <f>'Acct Summary 7-8'!E82</f>
        <v>4083</v>
      </c>
      <c r="D6269" s="2" t="str">
        <f t="shared" si="96"/>
        <v>Error?</v>
      </c>
      <c r="E6269" s="2" t="s">
        <v>189</v>
      </c>
    </row>
    <row r="6270" spans="1:5" x14ac:dyDescent="0.2">
      <c r="A6270">
        <v>6209</v>
      </c>
      <c r="B6270" s="1832">
        <f>'Acct Summary 7-8'!F82</f>
        <v>17235</v>
      </c>
      <c r="D6270" s="2" t="str">
        <f t="shared" si="96"/>
        <v>Error?</v>
      </c>
      <c r="E6270" s="2" t="s">
        <v>189</v>
      </c>
    </row>
    <row r="6271" spans="1:5" x14ac:dyDescent="0.2">
      <c r="A6271">
        <v>6210</v>
      </c>
      <c r="B6271" s="1832">
        <f>'Acct Summary 7-8'!G82</f>
        <v>6641</v>
      </c>
      <c r="D6271" s="2" t="str">
        <f t="shared" ref="D6271:D6334" si="97">IF(ISBLANK(B6271),"OK",IF(A6271-B6271=0,"OK","Error?"))</f>
        <v>Error?</v>
      </c>
      <c r="E6271" s="2" t="s">
        <v>189</v>
      </c>
    </row>
    <row r="6272" spans="1:5" x14ac:dyDescent="0.2">
      <c r="A6272">
        <v>6211</v>
      </c>
      <c r="B6272" s="1832">
        <f>'Acct Summary 7-8'!H82</f>
        <v>-33287</v>
      </c>
      <c r="D6272" s="2" t="str">
        <f t="shared" si="97"/>
        <v>Error?</v>
      </c>
      <c r="E6272" s="2" t="s">
        <v>189</v>
      </c>
    </row>
    <row r="6273" spans="1:5" x14ac:dyDescent="0.2">
      <c r="A6273">
        <v>6212</v>
      </c>
      <c r="B6273" s="1832">
        <f>'Acct Summary 7-8'!I82</f>
        <v>10727</v>
      </c>
      <c r="D6273" s="2" t="str">
        <f t="shared" si="97"/>
        <v>Error?</v>
      </c>
      <c r="E6273" s="2" t="s">
        <v>189</v>
      </c>
    </row>
    <row r="6274" spans="1:5" x14ac:dyDescent="0.2">
      <c r="A6274">
        <v>6213</v>
      </c>
      <c r="B6274" s="1832">
        <f>'Acct Summary 7-8'!J82</f>
        <v>7696</v>
      </c>
      <c r="D6274" s="2" t="str">
        <f t="shared" si="97"/>
        <v>Error?</v>
      </c>
      <c r="E6274" s="2" t="s">
        <v>189</v>
      </c>
    </row>
    <row r="6275" spans="1:5" x14ac:dyDescent="0.2">
      <c r="A6275">
        <v>6214</v>
      </c>
      <c r="B6275" s="1832">
        <f>'Acct Summary 7-8'!K82</f>
        <v>-23888</v>
      </c>
      <c r="D6275" s="2" t="str">
        <f t="shared" si="97"/>
        <v>Error?</v>
      </c>
      <c r="E6275" s="2" t="s">
        <v>189</v>
      </c>
    </row>
    <row r="6276" spans="1:5" x14ac:dyDescent="0.2">
      <c r="A6276">
        <v>6215</v>
      </c>
      <c r="B6276" s="1832">
        <f>'Acct Summary 7-8'!C83</f>
        <v>6.9015571294466588E-2</v>
      </c>
      <c r="D6276" s="2" t="str">
        <f t="shared" si="97"/>
        <v>Error?</v>
      </c>
      <c r="E6276" s="2" t="s">
        <v>189</v>
      </c>
    </row>
    <row r="6277" spans="1:5" x14ac:dyDescent="0.2">
      <c r="A6277">
        <v>6216</v>
      </c>
      <c r="B6277" s="1832">
        <f>'Acct Summary 7-8'!D83</f>
        <v>4.4815260490152824E-2</v>
      </c>
      <c r="D6277" s="2" t="str">
        <f t="shared" si="97"/>
        <v>Error?</v>
      </c>
      <c r="E6277" s="2" t="s">
        <v>189</v>
      </c>
    </row>
    <row r="6278" spans="1:5" x14ac:dyDescent="0.2">
      <c r="A6278">
        <v>6217</v>
      </c>
      <c r="B6278" s="1832">
        <f>'Acct Summary 7-8'!E83</f>
        <v>0.17629533678756476</v>
      </c>
      <c r="D6278" s="2" t="str">
        <f t="shared" si="97"/>
        <v>Error?</v>
      </c>
      <c r="E6278" s="2" t="s">
        <v>189</v>
      </c>
    </row>
    <row r="6279" spans="1:5" x14ac:dyDescent="0.2">
      <c r="A6279">
        <v>6218</v>
      </c>
      <c r="B6279" s="1832">
        <f>'Acct Summary 7-8'!F83</f>
        <v>3.3307501579859733E-2</v>
      </c>
      <c r="D6279" s="2" t="str">
        <f t="shared" si="97"/>
        <v>Error?</v>
      </c>
      <c r="E6279" s="2" t="s">
        <v>189</v>
      </c>
    </row>
    <row r="6280" spans="1:5" x14ac:dyDescent="0.2">
      <c r="A6280">
        <v>6219</v>
      </c>
      <c r="B6280" s="1832">
        <f>'Acct Summary 7-8'!G83</f>
        <v>4.1743929498582556E-2</v>
      </c>
      <c r="D6280" s="2" t="str">
        <f t="shared" si="97"/>
        <v>Error?</v>
      </c>
      <c r="E6280" s="2" t="s">
        <v>189</v>
      </c>
    </row>
    <row r="6281" spans="1:5" x14ac:dyDescent="0.2">
      <c r="A6281">
        <v>6220</v>
      </c>
      <c r="B6281" s="1832">
        <f>'Acct Summary 7-8'!H83</f>
        <v>-0.31647952538054175</v>
      </c>
      <c r="D6281" s="2" t="str">
        <f t="shared" si="97"/>
        <v>Error?</v>
      </c>
      <c r="E6281" s="2" t="s">
        <v>189</v>
      </c>
    </row>
    <row r="6282" spans="1:5" x14ac:dyDescent="0.2">
      <c r="A6282">
        <v>6221</v>
      </c>
      <c r="B6282" s="1832">
        <f>'Acct Summary 7-8'!I83</f>
        <v>1.9919334771838475E-2</v>
      </c>
      <c r="D6282" s="2" t="str">
        <f t="shared" si="97"/>
        <v>Error?</v>
      </c>
      <c r="E6282" s="2" t="s">
        <v>189</v>
      </c>
    </row>
    <row r="6283" spans="1:5" x14ac:dyDescent="0.2">
      <c r="A6283">
        <v>6222</v>
      </c>
      <c r="B6283" s="1832">
        <f>'Acct Summary 7-8'!J83</f>
        <v>0.16896089925135568</v>
      </c>
      <c r="D6283" s="2" t="str">
        <f t="shared" si="97"/>
        <v>Error?</v>
      </c>
      <c r="E6283" s="2" t="s">
        <v>189</v>
      </c>
    </row>
    <row r="6284" spans="1:5" x14ac:dyDescent="0.2">
      <c r="A6284">
        <v>6223</v>
      </c>
      <c r="B6284" s="1832">
        <f>'Acct Summary 7-8'!K83</f>
        <v>-13.212389380530974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81394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81394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43000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43000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547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547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93820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560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124941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10546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103732</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144536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32256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130628</v>
      </c>
      <c r="D6880" s="2" t="str">
        <f t="shared" si="106"/>
        <v>Error?</v>
      </c>
    </row>
    <row r="6881" spans="1:4" x14ac:dyDescent="0.2">
      <c r="A6881">
        <v>6820</v>
      </c>
      <c r="B6881" s="1832">
        <f>'Expenditures 15-22'!K22</f>
        <v>130628</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67473</v>
      </c>
      <c r="D6983" s="2" t="str">
        <f t="shared" si="108"/>
        <v>Error?</v>
      </c>
    </row>
    <row r="6984" spans="1:4" x14ac:dyDescent="0.2">
      <c r="A6984">
        <v>6923</v>
      </c>
      <c r="B6984" s="1832">
        <f>'Expenditures 15-22'!K86</f>
        <v>67473</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67473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117245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124941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3359</v>
      </c>
      <c r="D7073" s="2" t="str">
        <f t="shared" si="109"/>
        <v>Error?</v>
      </c>
    </row>
    <row r="7074" spans="1:4" x14ac:dyDescent="0.2">
      <c r="A7074">
        <v>7013</v>
      </c>
      <c r="B7074" s="1832">
        <f>'Expenditures 15-22'!K216</f>
        <v>3359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259</v>
      </c>
      <c r="D7079" s="2" t="str">
        <f t="shared" si="109"/>
        <v>Error?</v>
      </c>
    </row>
    <row r="7080" spans="1:4" x14ac:dyDescent="0.2">
      <c r="A7080">
        <v>7019</v>
      </c>
      <c r="B7080" s="1832">
        <f>'Expenditures 15-22'!K226</f>
        <v>259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34552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34552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38363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38363</v>
      </c>
      <c r="D7153" s="2" t="str">
        <f t="shared" si="110"/>
        <v>Error?</v>
      </c>
    </row>
    <row r="7154" spans="1:4" x14ac:dyDescent="0.2">
      <c r="A7154">
        <v>7093</v>
      </c>
      <c r="B7154" s="1832">
        <f>'Expenditures 15-22'!C323</f>
        <v>19866</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19866</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5573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5573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18891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18891</v>
      </c>
      <c r="D7198" s="2" t="str">
        <f t="shared" si="111"/>
        <v>Error?</v>
      </c>
    </row>
    <row r="7199" spans="1:4" x14ac:dyDescent="0.2">
      <c r="A7199">
        <v>7138</v>
      </c>
      <c r="B7199" s="1832">
        <f>'Expenditures 15-22'!C330</f>
        <v>19866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97379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117245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19866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97379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117245</v>
      </c>
      <c r="D7224" s="2" t="str">
        <f t="shared" si="111"/>
        <v>Error?</v>
      </c>
    </row>
    <row r="7225" spans="1:4" x14ac:dyDescent="0.2">
      <c r="A7225">
        <v>7164</v>
      </c>
      <c r="B7225" s="1832">
        <f>'Expenditures 15-22'!K343</f>
        <v>7696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26800</v>
      </c>
      <c r="D7246" s="2" t="str">
        <f t="shared" si="112"/>
        <v>Error?</v>
      </c>
    </row>
    <row r="7247" spans="1:4" x14ac:dyDescent="0.2">
      <c r="A7247">
        <f t="shared" si="113"/>
        <v>7186</v>
      </c>
      <c r="B7247" s="1832">
        <f>'Expenditures 15-22'!E7</f>
        <v>1606</v>
      </c>
      <c r="D7247" s="2" t="str">
        <f t="shared" si="112"/>
        <v>Error?</v>
      </c>
    </row>
    <row r="7248" spans="1:4" x14ac:dyDescent="0.2">
      <c r="A7248">
        <f t="shared" si="113"/>
        <v>7187</v>
      </c>
      <c r="B7248" s="1832">
        <f>'Expenditures 15-22'!F7</f>
        <v>12398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26249</v>
      </c>
      <c r="D7263" s="2" t="str">
        <f t="shared" si="112"/>
        <v>Error?</v>
      </c>
    </row>
    <row r="7264" spans="1:4" x14ac:dyDescent="0.2">
      <c r="A7264">
        <f t="shared" si="113"/>
        <v>7203</v>
      </c>
      <c r="B7264" s="1832">
        <f>'Expenditures 15-22'!D17</f>
        <v>4985</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1022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272267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560</v>
      </c>
      <c r="D7712" s="2" t="str">
        <f t="shared" si="126"/>
        <v>Error?</v>
      </c>
      <c r="E7712" s="2" t="s">
        <v>822</v>
      </c>
    </row>
    <row r="7713" spans="1:6" x14ac:dyDescent="0.2">
      <c r="A7713">
        <v>7652</v>
      </c>
      <c r="B7713" s="1832">
        <f>'Rest Tax Levies-Tort Im 25'!J8</f>
        <v>2152</v>
      </c>
      <c r="D7713" s="2" t="str">
        <f t="shared" si="126"/>
        <v>Error?</v>
      </c>
      <c r="E7713" s="2" t="s">
        <v>822</v>
      </c>
    </row>
    <row r="7714" spans="1:6" x14ac:dyDescent="0.2">
      <c r="A7714">
        <v>7653</v>
      </c>
      <c r="B7714" s="1832">
        <f>'Rest Tax Levies-Tort Im 25'!K9</f>
        <v>4997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2152</v>
      </c>
      <c r="D7718" s="2" t="str">
        <f t="shared" si="126"/>
        <v>Error?</v>
      </c>
      <c r="E7718" s="2" t="s">
        <v>822</v>
      </c>
    </row>
    <row r="7719" spans="1:6" x14ac:dyDescent="0.2">
      <c r="A7719">
        <v>7658</v>
      </c>
      <c r="B7719" s="1832">
        <f>'Rest Tax Levies-Tort Im 25'!K12</f>
        <v>5557</v>
      </c>
      <c r="D7719" s="2" t="str">
        <f t="shared" si="126"/>
        <v>Error?</v>
      </c>
      <c r="E7719" s="2" t="s">
        <v>822</v>
      </c>
    </row>
    <row r="7720" spans="1:6" x14ac:dyDescent="0.2">
      <c r="A7720">
        <v>7659</v>
      </c>
      <c r="B7720" s="1832">
        <f>'Rest Tax Levies-Tort Im 25'!H14</f>
        <v>51484</v>
      </c>
      <c r="D7720" s="2" t="str">
        <f t="shared" si="126"/>
        <v>Error?</v>
      </c>
      <c r="E7720" s="2" t="s">
        <v>822</v>
      </c>
    </row>
    <row r="7721" spans="1:6" x14ac:dyDescent="0.2">
      <c r="A7721">
        <v>7660</v>
      </c>
      <c r="B7721" s="1832">
        <f>'Rest Tax Levies-Tort Im 25'!K14</f>
        <v>5557</v>
      </c>
      <c r="D7721" s="2" t="str">
        <f t="shared" si="126"/>
        <v>Error?</v>
      </c>
      <c r="E7721" s="2" t="s">
        <v>822</v>
      </c>
    </row>
    <row r="7722" spans="1:6" x14ac:dyDescent="0.2">
      <c r="A7722">
        <v>7661</v>
      </c>
      <c r="B7722" s="1832">
        <f>'Rest Tax Levies-Tort Im 25'!J15</f>
        <v>2152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2152</v>
      </c>
      <c r="D7730" s="2" t="str">
        <f t="shared" si="126"/>
        <v>Error?</v>
      </c>
      <c r="E7730" s="2" t="s">
        <v>822</v>
      </c>
    </row>
    <row r="7731" spans="1:6" x14ac:dyDescent="0.2">
      <c r="A7731">
        <v>7670</v>
      </c>
      <c r="B7731" s="1832">
        <f>'Revenues 9-14'!H103</f>
        <v>2152</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5557</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7236000</v>
      </c>
      <c r="D7817" s="2" t="str">
        <f t="shared" si="128"/>
        <v>Error?</v>
      </c>
      <c r="E7817" s="4" t="s">
        <v>1969</v>
      </c>
    </row>
    <row r="7818" spans="1:5" x14ac:dyDescent="0.2">
      <c r="A7818">
        <v>7757</v>
      </c>
      <c r="B7818" s="1832">
        <f>'PCTC-OEPP 27-28'!F172</f>
        <v>217428</v>
      </c>
      <c r="D7818" s="2" t="str">
        <f t="shared" si="128"/>
        <v>Error?</v>
      </c>
      <c r="E7818" s="4" t="s">
        <v>1983</v>
      </c>
    </row>
    <row r="7819" spans="1:5" x14ac:dyDescent="0.2">
      <c r="A7819">
        <v>7758</v>
      </c>
      <c r="B7819" s="1832">
        <f>'PCTC-OEPP 27-28'!F173</f>
        <v>3</v>
      </c>
      <c r="D7819" s="2" t="str">
        <f t="shared" si="128"/>
        <v>Error?</v>
      </c>
      <c r="E7819" s="4" t="s">
        <v>1983</v>
      </c>
    </row>
    <row r="7820" spans="1:5" x14ac:dyDescent="0.2">
      <c r="A7820">
        <v>7759</v>
      </c>
      <c r="B7820" s="1832">
        <f>'ICR Computation 30'!E40</f>
        <v>-321613</v>
      </c>
      <c r="D7820" s="2" t="str">
        <f t="shared" si="128"/>
        <v>Error?</v>
      </c>
    </row>
    <row r="7821" spans="1:5" x14ac:dyDescent="0.2">
      <c r="A7821">
        <v>7760</v>
      </c>
      <c r="B7821" s="1832">
        <f>'ICR Computation 30'!G40</f>
        <v>-321613</v>
      </c>
      <c r="D7821" s="2" t="str">
        <f t="shared" si="128"/>
        <v>Error?</v>
      </c>
    </row>
    <row r="7822" spans="1:5" x14ac:dyDescent="0.2">
      <c r="A7822" s="1">
        <v>7761</v>
      </c>
      <c r="B7822" s="1832">
        <f>'PCTC-OEPP 27-28'!F14</f>
        <v>5735119</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144536</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9312</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835874</v>
      </c>
      <c r="D7834" s="2" t="str">
        <f t="shared" si="129"/>
        <v>Error?</v>
      </c>
      <c r="E7834" s="4" t="s">
        <v>2001</v>
      </c>
    </row>
    <row r="7835" spans="1:5" x14ac:dyDescent="0.2">
      <c r="A7835">
        <v>7774</v>
      </c>
      <c r="B7835" s="1832">
        <f>'PCTC-OEPP 27-28'!F78</f>
        <v>4899245</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10997.182940516273</v>
      </c>
      <c r="D7837" s="2" t="str">
        <f t="shared" si="129"/>
        <v>Error?</v>
      </c>
      <c r="E7837" s="4" t="s">
        <v>2001</v>
      </c>
    </row>
    <row r="7838" spans="1:5" x14ac:dyDescent="0.2">
      <c r="A7838">
        <v>7777</v>
      </c>
      <c r="B7838" s="1832">
        <f>'PCTC-OEPP 27-28'!F96</f>
        <v>13838</v>
      </c>
      <c r="D7838" s="2" t="str">
        <f t="shared" si="129"/>
        <v>Error?</v>
      </c>
      <c r="E7838" s="4" t="s">
        <v>2001</v>
      </c>
    </row>
    <row r="7839" spans="1:5" x14ac:dyDescent="0.2">
      <c r="A7839">
        <v>7778</v>
      </c>
      <c r="B7839" s="1832">
        <f>'PCTC-OEPP 27-28'!F102</f>
        <v>259</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53041</v>
      </c>
      <c r="D7842" s="2" t="str">
        <f t="shared" si="129"/>
        <v>Error?</v>
      </c>
      <c r="E7842" s="4" t="s">
        <v>2001</v>
      </c>
    </row>
    <row r="7843" spans="1:5" x14ac:dyDescent="0.2">
      <c r="A7843">
        <v>7782</v>
      </c>
      <c r="B7843" s="1832">
        <f>'PCTC-OEPP 27-28'!F107</f>
        <v>17827</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4997</v>
      </c>
      <c r="D7846" s="2" t="str">
        <f t="shared" si="129"/>
        <v>Error?</v>
      </c>
      <c r="E7846" s="4" t="s">
        <v>2001</v>
      </c>
    </row>
    <row r="7847" spans="1:5" x14ac:dyDescent="0.2">
      <c r="A7847">
        <v>7786</v>
      </c>
      <c r="B7847" s="1832">
        <f>'PCTC-OEPP 27-28'!F112</f>
        <v>103017</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6781</v>
      </c>
      <c r="D7855" s="2" t="str">
        <f t="shared" si="129"/>
        <v>Error?</v>
      </c>
      <c r="E7855" s="4" t="s">
        <v>2001</v>
      </c>
    </row>
    <row r="7856" spans="1:5" x14ac:dyDescent="0.2">
      <c r="A7856">
        <v>7795</v>
      </c>
      <c r="B7856" s="1832">
        <f>'PCTC-OEPP 27-28'!F124</f>
        <v>31355</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88360</v>
      </c>
      <c r="D7858" s="2" t="str">
        <f t="shared" si="129"/>
        <v>Error?</v>
      </c>
      <c r="E7858" s="4" t="s">
        <v>2001</v>
      </c>
    </row>
    <row r="7859" spans="1:5" x14ac:dyDescent="0.2">
      <c r="A7859">
        <v>7798</v>
      </c>
      <c r="B7859" s="1832">
        <f>'PCTC-OEPP 27-28'!F127</f>
        <v>81914</v>
      </c>
      <c r="D7859" s="2" t="str">
        <f t="shared" si="129"/>
        <v>Error?</v>
      </c>
      <c r="E7859" s="4" t="s">
        <v>2001</v>
      </c>
    </row>
    <row r="7860" spans="1:5" x14ac:dyDescent="0.2">
      <c r="A7860">
        <v>7799</v>
      </c>
      <c r="B7860" s="1832">
        <f>'PCTC-OEPP 27-28'!F128</f>
        <v>10000</v>
      </c>
      <c r="D7860" s="2" t="str">
        <f t="shared" si="129"/>
        <v>Error?</v>
      </c>
      <c r="E7860" s="4" t="s">
        <v>2001</v>
      </c>
    </row>
    <row r="7861" spans="1:5" x14ac:dyDescent="0.2">
      <c r="A7861">
        <v>7800</v>
      </c>
      <c r="B7861" s="1832">
        <f>'PCTC-OEPP 27-28'!F129</f>
        <v>102049</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12789</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18174</v>
      </c>
      <c r="D7874" s="2" t="str">
        <f t="shared" si="129"/>
        <v>Error?</v>
      </c>
      <c r="E7874" s="4" t="s">
        <v>2001</v>
      </c>
    </row>
    <row r="7875" spans="1:5" x14ac:dyDescent="0.2">
      <c r="A7875">
        <v>7814</v>
      </c>
      <c r="B7875" s="1832">
        <f>'PCTC-OEPP 27-28'!F170</f>
        <v>9378</v>
      </c>
      <c r="D7875" s="2" t="str">
        <f t="shared" si="129"/>
        <v>Error?</v>
      </c>
      <c r="E7875" s="4" t="s">
        <v>2001</v>
      </c>
    </row>
    <row r="7876" spans="1:5" x14ac:dyDescent="0.2">
      <c r="A7876">
        <v>7815</v>
      </c>
      <c r="B7876" s="1832">
        <f>'PCTC-OEPP 27-28'!F171</f>
        <v>12043</v>
      </c>
      <c r="D7876" s="2" t="str">
        <f t="shared" si="129"/>
        <v>Error?</v>
      </c>
      <c r="E7876" s="4" t="s">
        <v>2001</v>
      </c>
    </row>
    <row r="7877" spans="1:5" x14ac:dyDescent="0.2">
      <c r="A7877">
        <v>7816</v>
      </c>
      <c r="B7877" s="1832">
        <f>'PCTC-OEPP 27-28'!F175</f>
        <v>896596</v>
      </c>
      <c r="D7877" s="2" t="str">
        <f t="shared" si="129"/>
        <v>Error?</v>
      </c>
      <c r="E7877" s="4" t="s">
        <v>2001</v>
      </c>
    </row>
    <row r="7878" spans="1:5" x14ac:dyDescent="0.2">
      <c r="A7878">
        <v>7817</v>
      </c>
      <c r="B7878" s="1832">
        <f>'PCTC-OEPP 27-28'!F176</f>
        <v>4002649</v>
      </c>
      <c r="D7878" s="2" t="str">
        <f t="shared" si="129"/>
        <v>Error?</v>
      </c>
      <c r="E7878" s="4" t="s">
        <v>2001</v>
      </c>
    </row>
    <row r="7879" spans="1:5" x14ac:dyDescent="0.2">
      <c r="A7879">
        <v>7818</v>
      </c>
      <c r="B7879" s="1832">
        <f>'PCTC-OEPP 27-28'!F178</f>
        <v>4274916</v>
      </c>
      <c r="D7879" s="2" t="str">
        <f t="shared" si="129"/>
        <v>Error?</v>
      </c>
      <c r="E7879" s="4" t="s">
        <v>2001</v>
      </c>
    </row>
    <row r="7880" spans="1:5" x14ac:dyDescent="0.2">
      <c r="A7880">
        <v>7819</v>
      </c>
      <c r="B7880" s="1832">
        <f>'PCTC-OEPP 27-28'!F180</f>
        <v>9595.771043771043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AC59"/>
  <sheetViews>
    <sheetView showGridLines="0" showZeros="0" topLeftCell="A16" zoomScaleNormal="100" workbookViewId="0">
      <selection activeCell="K44" sqref="K4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4" t="s">
        <v>1183</v>
      </c>
      <c r="B2" s="2514"/>
      <c r="C2" s="2514"/>
      <c r="D2" s="2514"/>
      <c r="E2" s="2514"/>
      <c r="F2" s="2514"/>
      <c r="G2" s="2514"/>
      <c r="H2" s="2514"/>
      <c r="I2" s="2514"/>
      <c r="J2" s="2514"/>
      <c r="K2" s="2514"/>
      <c r="L2" s="2514"/>
    </row>
    <row r="3" spans="1:29" ht="13.5" customHeight="1" x14ac:dyDescent="0.2">
      <c r="A3" s="2549" t="s">
        <v>1182</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0" t="str">
        <f>COVER!A17</f>
        <v xml:space="preserve">   Delavan CUSD 703</v>
      </c>
      <c r="B7" s="2541"/>
      <c r="C7" s="2541"/>
      <c r="D7" s="2542"/>
      <c r="E7" s="2543">
        <f>COVER!A13</f>
        <v>53090703026</v>
      </c>
      <c r="F7" s="2544"/>
      <c r="G7" s="2550" t="str">
        <f>COVER!T23</f>
        <v>066-004355</v>
      </c>
      <c r="H7" s="2551"/>
      <c r="I7" s="2551"/>
      <c r="J7" s="2551"/>
      <c r="K7" s="2551"/>
      <c r="L7" s="255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3"/>
      <c r="B9" s="2554"/>
      <c r="C9" s="2554"/>
      <c r="D9" s="2554"/>
      <c r="E9" s="2554"/>
      <c r="F9" s="2555"/>
      <c r="G9" s="2520" t="str">
        <f>COVER!T13</f>
        <v>Phillips, Salmi &amp; Associates, LLC</v>
      </c>
      <c r="H9" s="2556"/>
      <c r="I9" s="2556"/>
      <c r="J9" s="2556"/>
      <c r="K9" s="2556"/>
      <c r="L9" s="2557"/>
    </row>
    <row r="10" spans="1:29" ht="13.5" customHeight="1" x14ac:dyDescent="0.2">
      <c r="A10" s="2529" t="str">
        <f>COVER!A38</f>
        <v>Dr. Andrew Brooks</v>
      </c>
      <c r="B10" s="2530"/>
      <c r="C10" s="2530"/>
      <c r="D10" s="2530"/>
      <c r="E10" s="2530"/>
      <c r="F10" s="2531"/>
      <c r="G10" s="2520" t="str">
        <f>COVER!T17</f>
        <v>112 S Main Street</v>
      </c>
      <c r="H10" s="2521"/>
      <c r="I10" s="2521"/>
      <c r="J10" s="2521"/>
      <c r="K10" s="2521"/>
      <c r="L10" s="2522"/>
    </row>
    <row r="11" spans="1:29" ht="13.5" customHeight="1" x14ac:dyDescent="0.2">
      <c r="A11" s="963" t="s">
        <v>1505</v>
      </c>
      <c r="B11" s="964"/>
      <c r="C11" s="965"/>
      <c r="D11" s="970"/>
      <c r="E11" s="965"/>
      <c r="F11" s="969"/>
      <c r="G11" s="2520" t="str">
        <f>COVER!T19</f>
        <v>Washington</v>
      </c>
      <c r="H11" s="2521"/>
      <c r="I11" s="2521"/>
      <c r="J11" s="2521"/>
      <c r="K11" s="2521"/>
      <c r="L11" s="2522"/>
    </row>
    <row r="12" spans="1:29" ht="13.5" customHeight="1" x14ac:dyDescent="0.2">
      <c r="A12" s="2532" t="s">
        <v>1504</v>
      </c>
      <c r="B12" s="2533"/>
      <c r="C12" s="2533"/>
      <c r="D12" s="2533"/>
      <c r="E12" s="2533"/>
      <c r="F12" s="2534"/>
      <c r="G12" s="2526"/>
      <c r="H12" s="2527"/>
      <c r="I12" s="2527"/>
      <c r="J12" s="2527"/>
      <c r="K12" s="2527"/>
      <c r="L12" s="2528"/>
    </row>
    <row r="13" spans="1:29" ht="13.5" customHeight="1" x14ac:dyDescent="0.2">
      <c r="A13" s="2520"/>
      <c r="B13" s="2521"/>
      <c r="C13" s="2521"/>
      <c r="D13" s="2521"/>
      <c r="E13" s="2521"/>
      <c r="F13" s="2522"/>
      <c r="G13" s="2515" t="s">
        <v>1506</v>
      </c>
      <c r="H13" s="2516"/>
      <c r="I13" s="2535" t="str">
        <f>COVER!T25</f>
        <v>aphillips@psa-cpa.com</v>
      </c>
      <c r="J13" s="2536"/>
      <c r="K13" s="2536"/>
      <c r="L13" s="2537"/>
    </row>
    <row r="14" spans="1:29" ht="13.5" customHeight="1" x14ac:dyDescent="0.2">
      <c r="A14" s="2523" t="str">
        <f>COVER!A19</f>
        <v>907 Locust Street</v>
      </c>
      <c r="B14" s="2524"/>
      <c r="C14" s="2524"/>
      <c r="D14" s="2524"/>
      <c r="E14" s="2524"/>
      <c r="F14" s="2525"/>
      <c r="G14" s="974" t="s">
        <v>1177</v>
      </c>
      <c r="H14" s="972"/>
      <c r="I14" s="972"/>
      <c r="J14" s="972"/>
      <c r="K14" s="972"/>
      <c r="L14" s="973"/>
    </row>
    <row r="15" spans="1:29" ht="13.5" customHeight="1" x14ac:dyDescent="0.2">
      <c r="A15" s="2523" t="str">
        <f>COVER!A21</f>
        <v xml:space="preserve">Delavan  </v>
      </c>
      <c r="B15" s="2524"/>
      <c r="C15" s="2524"/>
      <c r="D15" s="2524"/>
      <c r="E15" s="2524"/>
      <c r="F15" s="2525"/>
      <c r="G15" s="2517" t="str">
        <f>COVER!T15</f>
        <v>Aaron Phillips</v>
      </c>
      <c r="H15" s="2518"/>
      <c r="I15" s="2518"/>
      <c r="J15" s="2518"/>
      <c r="K15" s="2518"/>
      <c r="L15" s="2519"/>
    </row>
    <row r="16" spans="1:29" ht="12.2" customHeight="1" x14ac:dyDescent="0.2">
      <c r="A16" s="2546">
        <f>COVER!A25</f>
        <v>61734</v>
      </c>
      <c r="B16" s="2547"/>
      <c r="C16" s="2547"/>
      <c r="D16" s="2547"/>
      <c r="E16" s="2547"/>
      <c r="F16" s="2548"/>
      <c r="G16" s="2558"/>
      <c r="H16" s="2559"/>
      <c r="I16" s="2559"/>
      <c r="J16" s="2559"/>
      <c r="K16" s="2559"/>
      <c r="L16" s="2560"/>
    </row>
    <row r="17" spans="1:13" ht="12.2" customHeight="1" x14ac:dyDescent="0.2">
      <c r="A17" s="2561"/>
      <c r="B17" s="2562"/>
      <c r="C17" s="2562"/>
      <c r="D17" s="2562"/>
      <c r="E17" s="2562"/>
      <c r="F17" s="2563"/>
      <c r="G17" s="974" t="s">
        <v>1176</v>
      </c>
      <c r="H17" s="972"/>
      <c r="I17" s="972"/>
      <c r="J17" s="972"/>
      <c r="K17" s="976" t="s">
        <v>1175</v>
      </c>
      <c r="L17" s="969"/>
      <c r="M17" s="962"/>
    </row>
    <row r="18" spans="1:13" ht="12.2" customHeight="1" x14ac:dyDescent="0.2">
      <c r="A18" s="2529"/>
      <c r="B18" s="2530"/>
      <c r="C18" s="2530"/>
      <c r="D18" s="2530"/>
      <c r="E18" s="2530"/>
      <c r="F18" s="2531"/>
      <c r="G18" s="2540" t="str">
        <f>COVER!T21</f>
        <v>309 444-4909</v>
      </c>
      <c r="H18" s="2541"/>
      <c r="I18" s="2541"/>
      <c r="J18" s="2541"/>
      <c r="K18" s="2540" t="str">
        <f>COVER!X21</f>
        <v>309 444-8580</v>
      </c>
      <c r="L18" s="254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K127"/>
  <sheetViews>
    <sheetView showGridLines="0" zoomScaleNormal="100" workbookViewId="0">
      <selection activeCell="K44" sqref="K4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Delavan CUSD 703</v>
      </c>
      <c r="B1" s="2565"/>
      <c r="C1" s="2565"/>
      <c r="D1" s="2565"/>
    </row>
    <row r="2" spans="1:11" s="991" customFormat="1" ht="12.75" x14ac:dyDescent="0.2">
      <c r="A2" s="2566">
        <f>'Single Audit Cover'!E7</f>
        <v>53090703026</v>
      </c>
      <c r="B2" s="2567"/>
      <c r="C2" s="2567"/>
      <c r="D2" s="2567"/>
    </row>
    <row r="3" spans="1:11" s="991" customFormat="1" ht="12.75" x14ac:dyDescent="0.2">
      <c r="A3" s="2564" t="s">
        <v>1499</v>
      </c>
      <c r="B3" s="2565"/>
      <c r="C3" s="2565"/>
      <c r="D3" s="2565"/>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Normal="100" zoomScaleSheetLayoutView="100" workbookViewId="0">
      <selection activeCell="K44" sqref="K4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Delavan CUSD 703</v>
      </c>
      <c r="B1" s="2569"/>
      <c r="C1" s="2569"/>
      <c r="D1" s="2569"/>
      <c r="E1" s="2569"/>
    </row>
    <row r="2" spans="1:5" x14ac:dyDescent="0.2">
      <c r="A2" s="2570">
        <f>'Single Audit Cover'!E7</f>
        <v>53090703026</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36" t="s">
        <v>1234</v>
      </c>
    </row>
    <row r="10" spans="1:5" x14ac:dyDescent="0.2">
      <c r="A10" s="1037" t="s">
        <v>1233</v>
      </c>
      <c r="B10" s="1038" t="s">
        <v>1232</v>
      </c>
      <c r="C10" s="1038"/>
      <c r="D10" s="1039">
        <f>SUM('Acct Summary 7-8'!C7:K7)</f>
        <v>366062</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9283</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-9378</v>
      </c>
    </row>
    <row r="19" spans="1:4" ht="13.5" thickBot="1" x14ac:dyDescent="0.25">
      <c r="A19" s="1041" t="s">
        <v>1226</v>
      </c>
      <c r="D19" s="1042">
        <f>SUM(D10:D17)</f>
        <v>365967</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1224</v>
      </c>
      <c r="D32" s="1039">
        <f>SUM(D19:D30)</f>
        <v>365967</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1218</v>
      </c>
      <c r="C47" s="1048"/>
      <c r="D47" s="1049">
        <f>SUM(D35:D45)</f>
        <v>0</v>
      </c>
    </row>
    <row r="49" spans="2:4" x14ac:dyDescent="0.2">
      <c r="B49" s="1048" t="s">
        <v>1217</v>
      </c>
      <c r="C49" s="1048"/>
      <c r="D49" s="1049">
        <f>D32-D47</f>
        <v>365967</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52"/>
  <sheetViews>
    <sheetView showGridLines="0" zoomScaleNormal="100" workbookViewId="0">
      <selection activeCell="K44" sqref="K4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Delavan CUSD 703</v>
      </c>
      <c r="C1" s="2573"/>
      <c r="D1" s="2573"/>
      <c r="E1" s="2573"/>
      <c r="F1" s="2573"/>
      <c r="G1" s="2573"/>
      <c r="H1" s="2573"/>
      <c r="I1" s="2573"/>
      <c r="J1" s="2573"/>
      <c r="K1" s="2573"/>
      <c r="L1" s="2573"/>
      <c r="M1" s="2573"/>
    </row>
    <row r="2" spans="2:14" ht="15" x14ac:dyDescent="0.2">
      <c r="B2" s="2574">
        <f>'Single Audit Cover'!E7</f>
        <v>53090703026</v>
      </c>
      <c r="C2" s="2574"/>
      <c r="D2" s="2574"/>
      <c r="E2" s="2574"/>
      <c r="F2" s="2574"/>
      <c r="G2" s="2574"/>
      <c r="H2" s="2574"/>
      <c r="I2" s="2574"/>
      <c r="J2" s="2574"/>
      <c r="K2" s="2574"/>
      <c r="L2" s="2574"/>
      <c r="M2" s="2574"/>
      <c r="N2" s="1078"/>
    </row>
    <row r="3" spans="2:14" ht="15" x14ac:dyDescent="0.2">
      <c r="B3" s="2575" t="s">
        <v>1210</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zoomScaleNormal="100" workbookViewId="0">
      <selection activeCell="K44" sqref="K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Delavan CUSD 703</v>
      </c>
      <c r="B1" s="2586"/>
      <c r="C1" s="2586"/>
      <c r="D1" s="2586"/>
      <c r="E1" s="2586"/>
      <c r="F1" s="2586"/>
    </row>
    <row r="2" spans="1:7" ht="13.5" customHeight="1" x14ac:dyDescent="0.2">
      <c r="A2" s="2574">
        <f>'Single Audit Cover'!E7</f>
        <v>53090703026</v>
      </c>
      <c r="B2" s="2574"/>
      <c r="C2" s="2574"/>
      <c r="D2" s="2574"/>
      <c r="E2" s="2574"/>
      <c r="F2" s="2574"/>
      <c r="G2" s="1051"/>
    </row>
    <row r="3" spans="1:7" ht="15.75" customHeight="1" x14ac:dyDescent="0.2">
      <c r="A3" s="2587" t="s">
        <v>1262</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2" t="s">
        <v>1708</v>
      </c>
      <c r="C6" s="295"/>
      <c r="D6" s="295"/>
    </row>
    <row r="7" spans="1:7" ht="60.95" customHeight="1" x14ac:dyDescent="0.2">
      <c r="A7" s="2585" t="s">
        <v>1709</v>
      </c>
      <c r="B7" s="2585"/>
      <c r="C7" s="2585"/>
      <c r="D7" s="2585"/>
      <c r="E7" s="2585"/>
      <c r="F7" s="2585"/>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85" t="s">
        <v>1711</v>
      </c>
      <c r="B13" s="2585"/>
      <c r="C13" s="2585"/>
      <c r="D13" s="2585"/>
      <c r="E13" s="2585"/>
      <c r="F13" s="2585"/>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c r="C17" s="1061"/>
      <c r="D17" s="2578"/>
      <c r="E17" s="2578"/>
      <c r="F17" s="2578"/>
    </row>
    <row r="18" spans="1:6" ht="20.65" customHeight="1" x14ac:dyDescent="0.2">
      <c r="A18" s="1059"/>
      <c r="B18" s="1060"/>
      <c r="C18" s="1061"/>
      <c r="D18" s="2578"/>
      <c r="E18" s="2578"/>
      <c r="F18" s="2578"/>
    </row>
    <row r="19" spans="1:6" ht="20.65" customHeight="1" x14ac:dyDescent="0.2">
      <c r="A19" s="1059"/>
      <c r="B19" s="1060"/>
      <c r="C19" s="1061"/>
      <c r="D19" s="2578"/>
      <c r="E19" s="2578"/>
      <c r="F19" s="2578"/>
    </row>
    <row r="20" spans="1:6" ht="20.65" customHeight="1" x14ac:dyDescent="0.2">
      <c r="A20" s="1059"/>
      <c r="B20" s="1060"/>
      <c r="C20" s="1061"/>
      <c r="D20" s="2578"/>
      <c r="E20" s="2578"/>
      <c r="F20" s="2578"/>
    </row>
    <row r="21" spans="1:6" ht="20.65" customHeight="1" x14ac:dyDescent="0.2">
      <c r="A21" s="1059"/>
      <c r="B21" s="1060"/>
      <c r="C21" s="1061"/>
      <c r="D21" s="2578"/>
      <c r="E21" s="2578"/>
      <c r="F21" s="2578"/>
    </row>
    <row r="22" spans="1:6" ht="20.65" customHeight="1" x14ac:dyDescent="0.2">
      <c r="A22" s="1059"/>
      <c r="B22" s="1060"/>
      <c r="C22" s="1061"/>
      <c r="D22" s="2578"/>
      <c r="E22" s="2578"/>
      <c r="F22" s="2578"/>
    </row>
    <row r="23" spans="1:6" ht="20.65" customHeight="1" x14ac:dyDescent="0.2">
      <c r="A23" s="1059"/>
      <c r="B23" s="1060"/>
      <c r="C23" s="1061"/>
      <c r="D23" s="2578"/>
      <c r="E23" s="2578"/>
      <c r="F23" s="2578"/>
    </row>
    <row r="24" spans="1:6" ht="20.65" customHeight="1" x14ac:dyDescent="0.2">
      <c r="A24" s="1059"/>
      <c r="B24" s="1060"/>
      <c r="C24" s="1061"/>
      <c r="D24" s="2578"/>
      <c r="E24" s="2578"/>
      <c r="F24" s="2578"/>
    </row>
    <row r="25" spans="1:6" ht="20.65" customHeight="1" x14ac:dyDescent="0.2">
      <c r="A25" s="1059"/>
      <c r="B25" s="1060"/>
      <c r="C25" s="1061"/>
      <c r="D25" s="2578"/>
      <c r="E25" s="2578"/>
      <c r="F25" s="2578"/>
    </row>
    <row r="26" spans="1:6" ht="20.65" customHeight="1" x14ac:dyDescent="0.2">
      <c r="A26" s="1059"/>
      <c r="B26" s="1060"/>
      <c r="C26" s="1061"/>
      <c r="D26" s="2578"/>
      <c r="E26" s="2578"/>
      <c r="F26" s="2578"/>
    </row>
    <row r="27" spans="1:6" ht="20.65" customHeight="1" x14ac:dyDescent="0.2">
      <c r="A27" s="1059"/>
      <c r="B27" s="1060"/>
      <c r="C27" s="1061"/>
      <c r="D27" s="2578"/>
      <c r="E27" s="2578"/>
      <c r="F27" s="2578"/>
    </row>
    <row r="28" spans="1:6" ht="20.65" customHeight="1" x14ac:dyDescent="0.2">
      <c r="A28" s="1059"/>
      <c r="B28" s="1060"/>
      <c r="C28" s="1061"/>
      <c r="D28" s="2578"/>
      <c r="E28" s="2578"/>
      <c r="F28" s="2578"/>
    </row>
    <row r="29" spans="1:6" ht="20.65" customHeight="1" x14ac:dyDescent="0.2">
      <c r="A29" s="1059"/>
      <c r="B29" s="1060"/>
      <c r="C29" s="1061"/>
      <c r="D29" s="2578"/>
      <c r="E29" s="2578"/>
      <c r="F29" s="2578"/>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9" t="s">
        <v>1712</v>
      </c>
      <c r="B32" s="2579"/>
      <c r="C32" s="2579"/>
      <c r="D32" s="2579"/>
      <c r="E32" s="2579"/>
      <c r="F32" s="2579"/>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0">
        <f>+C33+C34</f>
        <v>0</v>
      </c>
      <c r="F34" s="2581"/>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1576</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7" t="s">
        <v>1537</v>
      </c>
      <c r="C51" s="2577"/>
      <c r="D51" s="2577"/>
    </row>
    <row r="52" spans="1:5" ht="14.25" customHeight="1" x14ac:dyDescent="0.2">
      <c r="A52" s="1077"/>
      <c r="B52" s="2577"/>
      <c r="C52" s="2577"/>
      <c r="D52" s="257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election activeCell="H15" sqref="H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2063</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1992</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8" t="s">
        <v>1992</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t="s">
        <v>2085</v>
      </c>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zoomScaleNormal="100" workbookViewId="0">
      <selection activeCell="K44" sqref="K4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Delavan CUSD 703</v>
      </c>
      <c r="C1" s="2601"/>
      <c r="D1" s="2601"/>
      <c r="E1" s="2601"/>
      <c r="F1" s="2601"/>
      <c r="G1" s="2601"/>
      <c r="H1" s="2601"/>
      <c r="I1" s="2601"/>
      <c r="J1" s="1178"/>
    </row>
    <row r="2" spans="2:10" s="295" customFormat="1" ht="12.75" customHeight="1" x14ac:dyDescent="0.2">
      <c r="B2" s="2602">
        <f>'Single Audit Cover'!E7</f>
        <v>53090703026</v>
      </c>
      <c r="C2" s="2603"/>
      <c r="D2" s="2603"/>
      <c r="E2" s="2603"/>
      <c r="F2" s="2603"/>
      <c r="G2" s="2603"/>
      <c r="H2" s="2603"/>
      <c r="I2" s="2603"/>
      <c r="J2" s="1178"/>
    </row>
    <row r="3" spans="2:10" s="295" customFormat="1" ht="12.75" customHeight="1" x14ac:dyDescent="0.2">
      <c r="B3" s="2604" t="s">
        <v>1276</v>
      </c>
      <c r="C3" s="2605"/>
      <c r="D3" s="2605"/>
      <c r="E3" s="2605"/>
      <c r="F3" s="2605"/>
      <c r="G3" s="2605"/>
      <c r="H3" s="2605"/>
      <c r="I3" s="2605"/>
      <c r="J3" s="1179"/>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4" t="s">
        <v>1275</v>
      </c>
      <c r="C7" s="2605"/>
      <c r="D7" s="2605"/>
      <c r="E7" s="2605"/>
      <c r="F7" s="2605"/>
      <c r="G7" s="2605"/>
      <c r="H7" s="2605"/>
      <c r="I7" s="2605"/>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6"/>
      <c r="D11" s="2606"/>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7"/>
      <c r="E29" s="2607"/>
      <c r="F29" s="2607"/>
      <c r="G29" s="2607"/>
      <c r="H29" s="2607"/>
      <c r="I29" s="2607"/>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8" t="s">
        <v>1731</v>
      </c>
      <c r="D37" s="2609"/>
      <c r="E37" s="2609"/>
      <c r="F37" s="2610"/>
      <c r="G37" s="2608" t="s">
        <v>1578</v>
      </c>
      <c r="H37" s="2609"/>
      <c r="I37" s="2610"/>
    </row>
    <row r="38" spans="2:9" ht="16.5" customHeight="1" x14ac:dyDescent="0.2">
      <c r="B38" s="1200"/>
      <c r="C38" s="2596"/>
      <c r="D38" s="2597"/>
      <c r="E38" s="2597"/>
      <c r="F38" s="2598"/>
      <c r="G38" s="2611"/>
      <c r="H38" s="2612"/>
      <c r="I38" s="2613"/>
    </row>
    <row r="39" spans="2:9" ht="16.5" customHeight="1" x14ac:dyDescent="0.2">
      <c r="B39" s="1200"/>
      <c r="C39" s="2596"/>
      <c r="D39" s="2597"/>
      <c r="E39" s="2597"/>
      <c r="F39" s="2598"/>
      <c r="G39" s="2599"/>
      <c r="H39" s="2599"/>
      <c r="I39" s="2599"/>
    </row>
    <row r="40" spans="2:9" ht="16.5" customHeight="1" x14ac:dyDescent="0.2">
      <c r="B40" s="1200"/>
      <c r="C40" s="2596"/>
      <c r="D40" s="2597"/>
      <c r="E40" s="2597"/>
      <c r="F40" s="2598"/>
      <c r="G40" s="2599"/>
      <c r="H40" s="2599"/>
      <c r="I40" s="2599"/>
    </row>
    <row r="41" spans="2:9" ht="16.5" customHeight="1" x14ac:dyDescent="0.2">
      <c r="B41" s="1200"/>
      <c r="C41" s="2596"/>
      <c r="D41" s="2597"/>
      <c r="E41" s="2597"/>
      <c r="F41" s="2598"/>
      <c r="G41" s="2599"/>
      <c r="H41" s="2599"/>
      <c r="I41" s="2599"/>
    </row>
    <row r="42" spans="2:9" ht="16.5" customHeight="1" x14ac:dyDescent="0.2">
      <c r="B42" s="1200"/>
      <c r="C42" s="2596"/>
      <c r="D42" s="2597"/>
      <c r="E42" s="2597"/>
      <c r="F42" s="2598"/>
      <c r="G42" s="2599"/>
      <c r="H42" s="2599"/>
      <c r="I42" s="2599"/>
    </row>
    <row r="43" spans="2:9" ht="16.5" customHeight="1" x14ac:dyDescent="0.2">
      <c r="B43" s="1200"/>
      <c r="C43" s="2589" t="s">
        <v>1579</v>
      </c>
      <c r="D43" s="2590"/>
      <c r="E43" s="2590"/>
      <c r="F43" s="2591"/>
      <c r="G43" s="2592">
        <f>SUM(G38:I42)</f>
        <v>0</v>
      </c>
      <c r="H43" s="2592"/>
      <c r="I43" s="2592"/>
    </row>
    <row r="44" spans="2:9" ht="12.75" customHeight="1" x14ac:dyDescent="0.2"/>
    <row r="45" spans="2:9" ht="12.75" customHeight="1" x14ac:dyDescent="0.2">
      <c r="B45" s="1917" t="str">
        <f>"Total Federal Expenditures for 7/1/"&amp;MID('AFR20'!E2,3,2)-1&amp;"-6/30/"&amp;MID('AFR20'!E2,3,2)</f>
        <v>Total Federal Expenditures for 7/1/19-6/30/20</v>
      </c>
      <c r="C45" s="1918"/>
      <c r="D45" s="2593">
        <v>0</v>
      </c>
      <c r="E45" s="2594"/>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95"/>
      <c r="F49" s="2595"/>
      <c r="G49" s="2595"/>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M41"/>
  <sheetViews>
    <sheetView showGridLines="0" zoomScaleNormal="100" workbookViewId="0">
      <selection activeCell="P19" sqref="P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Delavan CUSD 703</v>
      </c>
      <c r="C1" s="2600"/>
      <c r="D1" s="2600"/>
      <c r="E1" s="2600"/>
      <c r="F1" s="2600"/>
      <c r="G1" s="2600"/>
      <c r="H1" s="2600"/>
      <c r="I1" s="2600"/>
      <c r="J1" s="2600"/>
      <c r="K1" s="2600"/>
      <c r="L1" s="1144"/>
      <c r="M1" s="1144"/>
    </row>
    <row r="2" spans="1:13" ht="12" customHeight="1" x14ac:dyDescent="0.2">
      <c r="B2" s="2602">
        <f>'Single Audit Cover'!E7</f>
        <v>53090703026</v>
      </c>
      <c r="C2" s="2602"/>
      <c r="D2" s="2602"/>
      <c r="E2" s="2602"/>
      <c r="F2" s="2602"/>
      <c r="G2" s="2602"/>
      <c r="H2" s="2602"/>
      <c r="I2" s="2602"/>
      <c r="J2" s="2602"/>
      <c r="K2" s="2602"/>
      <c r="L2" s="1145"/>
      <c r="M2" s="1146"/>
    </row>
    <row r="3" spans="1:13" ht="10.35" customHeight="1" x14ac:dyDescent="0.2">
      <c r="B3" s="2616" t="s">
        <v>1276</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1287</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5"/>
      <c r="C14" s="2615"/>
      <c r="D14" s="2615"/>
      <c r="E14" s="2615"/>
      <c r="F14" s="2615"/>
      <c r="G14" s="2615"/>
      <c r="H14" s="2615"/>
      <c r="I14" s="2615"/>
      <c r="J14" s="2615"/>
      <c r="K14" s="261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5"/>
      <c r="C17" s="2615"/>
      <c r="D17" s="2615"/>
      <c r="E17" s="2615"/>
      <c r="F17" s="2615"/>
      <c r="G17" s="2615"/>
      <c r="H17" s="2615"/>
      <c r="I17" s="2615"/>
      <c r="J17" s="2615"/>
      <c r="K17" s="2615"/>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9"/>
      <c r="C20" s="2619"/>
      <c r="D20" s="2615"/>
      <c r="E20" s="2615"/>
      <c r="F20" s="2615"/>
      <c r="G20" s="2615"/>
      <c r="H20" s="2615"/>
      <c r="I20" s="2615"/>
      <c r="J20" s="2615"/>
      <c r="K20" s="2615"/>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5"/>
      <c r="C23" s="2615"/>
      <c r="D23" s="2615"/>
      <c r="E23" s="2615"/>
      <c r="F23" s="2615"/>
      <c r="G23" s="2615"/>
      <c r="H23" s="2615"/>
      <c r="I23" s="2615"/>
      <c r="J23" s="2615"/>
      <c r="K23" s="2615"/>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5"/>
      <c r="C26" s="2615"/>
      <c r="D26" s="2615"/>
      <c r="E26" s="2615"/>
      <c r="F26" s="2615"/>
      <c r="G26" s="2615"/>
      <c r="H26" s="2615"/>
      <c r="I26" s="2615"/>
      <c r="J26" s="2615"/>
      <c r="K26" s="2615"/>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4"/>
      <c r="C29" s="2614"/>
      <c r="D29" s="2615"/>
      <c r="E29" s="2615"/>
      <c r="F29" s="2615"/>
      <c r="G29" s="2615"/>
      <c r="H29" s="2615"/>
      <c r="I29" s="2615"/>
      <c r="J29" s="2615"/>
      <c r="K29" s="261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4"/>
      <c r="C32" s="2614"/>
      <c r="D32" s="2615"/>
      <c r="E32" s="2615"/>
      <c r="F32" s="2615"/>
      <c r="G32" s="2615"/>
      <c r="H32" s="2615"/>
      <c r="I32" s="2615"/>
      <c r="J32" s="2615"/>
      <c r="K32" s="261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L48"/>
  <sheetViews>
    <sheetView showGridLines="0" zoomScaleNormal="100" workbookViewId="0">
      <selection activeCell="H25" sqref="H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Delavan CUSD 703</v>
      </c>
      <c r="C1" s="2623"/>
      <c r="D1" s="2623"/>
      <c r="E1" s="2623"/>
      <c r="F1" s="2623"/>
      <c r="G1" s="2623"/>
      <c r="H1" s="2623"/>
      <c r="I1" s="2623"/>
      <c r="J1" s="2623"/>
      <c r="K1" s="2623"/>
      <c r="L1" s="1221"/>
    </row>
    <row r="2" spans="1:12" ht="12.75" customHeight="1" x14ac:dyDescent="0.2">
      <c r="B2" s="2624">
        <f>'Single Audit Cover'!E7</f>
        <v>53090703026</v>
      </c>
      <c r="C2" s="2624"/>
      <c r="D2" s="2624"/>
      <c r="E2" s="2624"/>
      <c r="F2" s="2624"/>
      <c r="G2" s="2624"/>
      <c r="H2" s="2624"/>
      <c r="I2" s="2624"/>
      <c r="J2" s="2624"/>
      <c r="K2" s="2624"/>
      <c r="L2" s="1222"/>
    </row>
    <row r="3" spans="1:12" ht="12.75" customHeight="1" x14ac:dyDescent="0.2">
      <c r="B3" s="2616" t="s">
        <v>1276</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1161</v>
      </c>
      <c r="C5" s="1036"/>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7"/>
      <c r="G12" s="2607"/>
      <c r="H12" s="2607"/>
      <c r="I12" s="2607"/>
      <c r="J12" s="2607"/>
      <c r="K12" s="260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0"/>
      <c r="E14" s="2620"/>
      <c r="F14" s="2620"/>
      <c r="H14" s="1230" t="s">
        <v>1294</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1"/>
      <c r="E16" s="2621"/>
      <c r="F16" s="2621"/>
      <c r="G16" s="2621"/>
      <c r="H16" s="2621"/>
      <c r="I16" s="2621"/>
      <c r="J16" s="2621"/>
      <c r="K16" s="2621"/>
      <c r="L16" s="300"/>
    </row>
    <row r="17" spans="2:12" ht="13.5" customHeight="1" x14ac:dyDescent="0.2">
      <c r="B17" s="1156" t="s">
        <v>1292</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5"/>
      <c r="C20" s="2615"/>
      <c r="D20" s="2615"/>
      <c r="E20" s="2615"/>
      <c r="F20" s="2615"/>
      <c r="G20" s="2615"/>
      <c r="H20" s="2615"/>
      <c r="I20" s="2615"/>
      <c r="J20" s="2615"/>
      <c r="K20" s="261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E73"/>
  <sheetViews>
    <sheetView showGridLines="0" zoomScaleNormal="10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0" t="str">
        <f>'Single Audit Cover'!A7</f>
        <v xml:space="preserve">   Delavan CUSD 703</v>
      </c>
      <c r="C1" s="2600"/>
      <c r="D1" s="2600"/>
      <c r="E1" s="1240"/>
    </row>
    <row r="2" spans="2:5" s="1058" customFormat="1" ht="12.75" customHeight="1" x14ac:dyDescent="0.2">
      <c r="B2" s="2602">
        <f>'Single Audit Cover'!E7</f>
        <v>53090703026</v>
      </c>
      <c r="C2" s="2602"/>
      <c r="D2" s="2602"/>
      <c r="E2" s="1241"/>
    </row>
    <row r="3" spans="2:5" ht="12.75" customHeight="1" x14ac:dyDescent="0.2">
      <c r="B3" s="2616" t="s">
        <v>1746</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Normal="10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61914743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3.86723E-2</v>
      </c>
      <c r="E10" s="333" t="s">
        <v>998</v>
      </c>
      <c r="F10" s="332">
        <v>5.5269999999999998E-3</v>
      </c>
      <c r="G10" s="333" t="s">
        <v>998</v>
      </c>
      <c r="H10" s="332">
        <v>1.6743000000000001E-3</v>
      </c>
      <c r="I10" s="333" t="s">
        <v>999</v>
      </c>
      <c r="J10" s="1424">
        <f>ROUND(D10+F10+H10,5)</f>
        <v>4.5870000000000001E-2</v>
      </c>
      <c r="K10" s="217"/>
      <c r="L10" s="332">
        <v>8.0699999999999996E-5</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5073791</v>
      </c>
      <c r="E16" s="1547"/>
      <c r="F16" s="1546">
        <f>SUM('Acct Summary 7-8'!C17,'Acct Summary 7-8'!D17,'Acct Summary 7-8'!F17)</f>
        <v>4918545</v>
      </c>
      <c r="G16" s="1547"/>
      <c r="H16" s="1546">
        <f>SUM(D16-F16)</f>
        <v>155246</v>
      </c>
      <c r="I16" s="1548"/>
      <c r="J16" s="1546">
        <f>SUM('Acct Summary 7-8'!C81,'Acct Summary 7-8'!D81,'Acct Summary 7-8'!F81,'Acct Summary 7-8'!I81)</f>
        <v>3156977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8544234.534</v>
      </c>
      <c r="I31" s="345"/>
      <c r="J31" s="217"/>
      <c r="K31" s="217"/>
      <c r="L31" s="217"/>
      <c r="M31" s="217"/>
    </row>
    <row r="32" spans="1:13" ht="13.35" customHeight="1" x14ac:dyDescent="0.2">
      <c r="B32" s="346" t="s">
        <v>2063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6479613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 zoomScale="95" zoomScaleNormal="95" workbookViewId="0">
      <selection activeCell="R31" sqref="R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Delavan CUSD 703</v>
      </c>
      <c r="E7" s="368"/>
      <c r="G7" s="247"/>
      <c r="H7" s="364"/>
      <c r="I7" s="364"/>
      <c r="J7" s="364"/>
      <c r="K7" s="364"/>
      <c r="L7" s="307"/>
      <c r="M7" s="307"/>
      <c r="N7" s="307"/>
      <c r="O7" s="307"/>
      <c r="P7" s="307"/>
    </row>
    <row r="8" spans="1:18" ht="12.75" x14ac:dyDescent="0.2">
      <c r="A8" s="307"/>
      <c r="B8" s="307"/>
      <c r="C8" s="366" t="s">
        <v>1117</v>
      </c>
      <c r="D8" s="369">
        <f>COVER!A13</f>
        <v>53090703026</v>
      </c>
      <c r="E8" s="370"/>
      <c r="G8" s="307"/>
      <c r="H8" s="307"/>
      <c r="I8" s="307"/>
      <c r="J8" s="307"/>
      <c r="K8" s="307"/>
      <c r="L8" s="307"/>
      <c r="M8" s="307"/>
      <c r="N8" s="307"/>
      <c r="O8" s="307"/>
      <c r="P8" s="307"/>
    </row>
    <row r="9" spans="1:18" ht="12.75" x14ac:dyDescent="0.2">
      <c r="A9" s="307"/>
      <c r="B9" s="307"/>
      <c r="C9" s="366" t="s">
        <v>708</v>
      </c>
      <c r="D9" s="371" t="str">
        <f>COVER!A15</f>
        <v>Tazewell/Logan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3156977</v>
      </c>
      <c r="I12" s="380"/>
      <c r="J12" s="380"/>
      <c r="K12" s="1559">
        <f>TRUNC((H12/H13*100000),5)/100000</f>
        <v>0.62221266109999995</v>
      </c>
      <c r="L12" s="381"/>
      <c r="M12" s="337" t="s">
        <v>1136</v>
      </c>
      <c r="N12" s="337"/>
      <c r="O12" s="1562">
        <v>0.35</v>
      </c>
      <c r="P12" s="213"/>
      <c r="Q12" s="213"/>
    </row>
    <row r="13" spans="1:18" s="382" customFormat="1" ht="12.75" x14ac:dyDescent="0.2">
      <c r="A13" s="213"/>
      <c r="B13" s="377"/>
      <c r="C13" s="2208" t="s">
        <v>1315</v>
      </c>
      <c r="D13" s="2209"/>
      <c r="E13" s="213"/>
      <c r="F13" s="383" t="s">
        <v>788</v>
      </c>
      <c r="G13" s="378"/>
      <c r="H13" s="1551">
        <f>SUM('Acct Summary 7-8'!C8+'Acct Summary 7-8'!D8+'Acct Summary 7-8'!F8+'Acct Summary 7-8'!I8)+H14</f>
        <v>5073791</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4918545</v>
      </c>
      <c r="I17" s="380"/>
      <c r="J17" s="389"/>
      <c r="K17" s="1559">
        <f>TRUNC((H17/H18*100000),5)/100000</f>
        <v>0.96940236600000007</v>
      </c>
      <c r="L17" s="381"/>
      <c r="M17" s="390" t="s">
        <v>1163</v>
      </c>
      <c r="O17" s="1565" t="str">
        <f>IF(AND(O16="2", J20 &gt; 2),"1",IF(AND(O16 = "1", J20 &gt; 2),"2",IF(AND(O16="1", J20 &gt;1),"1","0")))</f>
        <v>0</v>
      </c>
      <c r="P17" s="213"/>
    </row>
    <row r="18" spans="1:18" s="382" customFormat="1" ht="11.25" x14ac:dyDescent="0.2">
      <c r="A18" s="213"/>
      <c r="B18" s="377"/>
      <c r="C18" s="2208" t="s">
        <v>1308</v>
      </c>
      <c r="D18" s="2209"/>
      <c r="E18" s="213"/>
      <c r="F18" s="391" t="s">
        <v>789</v>
      </c>
      <c r="G18" s="378"/>
      <c r="H18" s="1551">
        <f>SUM('Acct Summary 7-8'!C8+'Acct Summary 7-8'!D8+'Acct Summary 7-8'!F8+'Acct Summary 7-8'!I8)+H19</f>
        <v>5073791</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5" t="s">
        <v>1398</v>
      </c>
      <c r="D24" s="2205"/>
      <c r="E24" s="213"/>
      <c r="F24" s="213" t="s">
        <v>442</v>
      </c>
      <c r="G24" s="378"/>
      <c r="H24" s="1551">
        <f>SUM('Assets-Liab 5-6'!C4+'Assets-Liab 5-6'!D4+'Assets-Liab 5-6'!F4+'Assets-Liab 5-6'!I4+'Assets-Liab 5-6'!C5+'Assets-Liab 5-6'!D5+'Assets-Liab 5-6'!F5+'Assets-Liab 5-6'!I5)</f>
        <v>3156977</v>
      </c>
      <c r="I24" s="394"/>
      <c r="J24" s="394"/>
      <c r="K24" s="1555">
        <f>TRUNC(((H24/H25*100000)/100000),2)</f>
        <v>231.06</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13662.625</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2414024.8722000001</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f>IF(K32&gt;=75,"4",IF(K32&gt;=50,"3",IF(K32&gt;=25,"2",1)))</f>
        <v>1</v>
      </c>
      <c r="P31" s="211"/>
    </row>
    <row r="32" spans="1:18" s="382" customFormat="1" ht="11.25" x14ac:dyDescent="0.2">
      <c r="A32" s="213"/>
      <c r="B32" s="377"/>
      <c r="C32" s="213" t="s">
        <v>842</v>
      </c>
      <c r="D32" s="213"/>
      <c r="E32" s="213"/>
      <c r="F32" s="213"/>
      <c r="G32" s="378"/>
      <c r="H32" s="1551">
        <f>'FP Info 3'!H37</f>
        <v>6479613</v>
      </c>
      <c r="I32" s="392"/>
      <c r="J32" s="392"/>
      <c r="K32" s="1555">
        <f>TRUNC(100-((((H32/H33*100))*100)/100),2)</f>
        <v>24.16</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8544234.534</v>
      </c>
      <c r="I33" s="392"/>
      <c r="J33" s="392"/>
      <c r="K33" s="379"/>
      <c r="L33" s="213"/>
      <c r="M33" s="401" t="s">
        <v>1137</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A7" sqref="A7:D7"/>
      <selection pane="bottomLeft" activeCell="L4" sqref="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1635</v>
      </c>
      <c r="B4" s="428"/>
      <c r="C4" s="1572">
        <v>1368865</v>
      </c>
      <c r="D4" s="1573">
        <v>732139</v>
      </c>
      <c r="E4" s="1573">
        <v>23160</v>
      </c>
      <c r="F4" s="1573">
        <v>517451</v>
      </c>
      <c r="G4" s="1573">
        <v>159089</v>
      </c>
      <c r="H4" s="1573">
        <v>105179</v>
      </c>
      <c r="I4" s="1573">
        <v>538522</v>
      </c>
      <c r="J4" s="1574">
        <v>45549</v>
      </c>
      <c r="K4" s="1573">
        <v>1808</v>
      </c>
      <c r="L4" s="1573">
        <f>120265+13443</f>
        <v>133708</v>
      </c>
      <c r="M4" s="1575"/>
      <c r="N4" s="1576"/>
    </row>
    <row r="5" spans="1:14" x14ac:dyDescent="0.2">
      <c r="A5" s="427" t="s">
        <v>985</v>
      </c>
      <c r="B5" s="429">
        <v>120</v>
      </c>
      <c r="C5" s="1572"/>
      <c r="D5" s="1573"/>
      <c r="E5" s="1573"/>
      <c r="F5" s="1573"/>
      <c r="G5" s="1573"/>
      <c r="H5" s="1573"/>
      <c r="I5" s="1573"/>
      <c r="J5" s="1574"/>
      <c r="K5" s="1577"/>
      <c r="L5" s="1578">
        <v>25000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1368865</v>
      </c>
      <c r="D13" s="1587">
        <f t="shared" ref="D13:L13" si="0">SUM(D4:D12)</f>
        <v>732139</v>
      </c>
      <c r="E13" s="1587">
        <f t="shared" si="0"/>
        <v>23160</v>
      </c>
      <c r="F13" s="1587">
        <f t="shared" si="0"/>
        <v>517451</v>
      </c>
      <c r="G13" s="1587">
        <f t="shared" si="0"/>
        <v>159089</v>
      </c>
      <c r="H13" s="1587">
        <f t="shared" si="0"/>
        <v>105179</v>
      </c>
      <c r="I13" s="1587">
        <f t="shared" si="0"/>
        <v>538522</v>
      </c>
      <c r="J13" s="1587">
        <f t="shared" si="0"/>
        <v>45549</v>
      </c>
      <c r="K13" s="1587">
        <f t="shared" si="0"/>
        <v>1808</v>
      </c>
      <c r="L13" s="1587">
        <f t="shared" si="0"/>
        <v>158708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47526</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10234351</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1083978</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664547</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52274</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23160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6456453</v>
      </c>
    </row>
    <row r="23" spans="1:14" ht="13.5" customHeight="1" thickBot="1" x14ac:dyDescent="0.25">
      <c r="A23" s="1426" t="s">
        <v>638</v>
      </c>
      <c r="B23" s="1429"/>
      <c r="C23" s="1575"/>
      <c r="D23" s="1575"/>
      <c r="E23" s="1575"/>
      <c r="F23" s="1575"/>
      <c r="G23" s="1575"/>
      <c r="H23" s="1575"/>
      <c r="I23" s="1575"/>
      <c r="J23" s="1575"/>
      <c r="K23" s="1575"/>
      <c r="L23" s="1575"/>
      <c r="M23" s="1594">
        <f>SUM(M15:M22)</f>
        <v>12082676</v>
      </c>
      <c r="N23" s="1594">
        <f>SUM(N21:N22)</f>
        <v>6479613</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145265+13443</f>
        <v>158708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158708</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6479613</v>
      </c>
    </row>
    <row r="37" spans="1:14" ht="13.5" thickBot="1" x14ac:dyDescent="0.25">
      <c r="A37" s="1426" t="s">
        <v>648</v>
      </c>
      <c r="B37" s="1429"/>
      <c r="C37" s="1582"/>
      <c r="D37" s="1582"/>
      <c r="E37" s="1582"/>
      <c r="F37" s="1582"/>
      <c r="G37" s="1582"/>
      <c r="H37" s="1582"/>
      <c r="I37" s="1582"/>
      <c r="J37" s="1582"/>
      <c r="K37" s="1582"/>
      <c r="L37" s="1585"/>
      <c r="M37" s="1575"/>
      <c r="N37" s="1594">
        <f>SUM(N36:N36)</f>
        <v>6479613</v>
      </c>
    </row>
    <row r="38" spans="1:14" s="307" customFormat="1" ht="13.5" customHeight="1" thickTop="1" x14ac:dyDescent="0.2">
      <c r="A38" s="438" t="s">
        <v>417</v>
      </c>
      <c r="B38" s="432">
        <v>714</v>
      </c>
      <c r="C38" s="1573"/>
      <c r="D38" s="1573">
        <v>50000</v>
      </c>
      <c r="E38" s="1573"/>
      <c r="F38" s="1573"/>
      <c r="G38" s="1573">
        <v>73720</v>
      </c>
      <c r="H38" s="1573"/>
      <c r="I38" s="1573"/>
      <c r="J38" s="1574"/>
      <c r="K38" s="1573"/>
      <c r="L38" s="1586"/>
      <c r="M38" s="1604"/>
      <c r="N38" s="1604"/>
    </row>
    <row r="39" spans="1:14" s="307" customFormat="1" ht="13.5" customHeight="1" x14ac:dyDescent="0.2">
      <c r="A39" s="438" t="s">
        <v>339</v>
      </c>
      <c r="B39" s="432">
        <v>730</v>
      </c>
      <c r="C39" s="1573">
        <f>+'Acct Summary 7-8'!C81</f>
        <v>1368865</v>
      </c>
      <c r="D39" s="1573">
        <f>+'Acct Summary 7-8'!D81-D38</f>
        <v>682139</v>
      </c>
      <c r="E39" s="1573">
        <f>+'Acct Summary 7-8'!E81</f>
        <v>23160</v>
      </c>
      <c r="F39" s="1573">
        <f>+'Acct Summary 7-8'!F81</f>
        <v>517451</v>
      </c>
      <c r="G39" s="1573">
        <v>85369</v>
      </c>
      <c r="H39" s="1573">
        <f>+'Acct Summary 7-8'!H81</f>
        <v>105179</v>
      </c>
      <c r="I39" s="1573">
        <f>+'Acct Summary 7-8'!I81</f>
        <v>538522</v>
      </c>
      <c r="J39" s="1573">
        <f>+'Acct Summary 7-8'!J81</f>
        <v>45549</v>
      </c>
      <c r="K39" s="1573">
        <f>+'Acct Summary 7-8'!K81</f>
        <v>1808</v>
      </c>
      <c r="L39" s="1573">
        <f>+'Acct Summary 7-8'!L81</f>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12082676</v>
      </c>
      <c r="N40" s="1604"/>
    </row>
    <row r="41" spans="1:14" ht="13.5" customHeight="1" thickBot="1" x14ac:dyDescent="0.25">
      <c r="A41" s="1426" t="s">
        <v>650</v>
      </c>
      <c r="B41" s="1405"/>
      <c r="C41" s="1594">
        <f>(SUM(C34,C37,C38,C39))</f>
        <v>1368865</v>
      </c>
      <c r="D41" s="1594">
        <f t="shared" ref="D41:L41" si="2">SUM(D34,D37,D38:D39)</f>
        <v>732139</v>
      </c>
      <c r="E41" s="1594">
        <f t="shared" si="2"/>
        <v>23160</v>
      </c>
      <c r="F41" s="1594">
        <f t="shared" si="2"/>
        <v>517451</v>
      </c>
      <c r="G41" s="1594">
        <f t="shared" si="2"/>
        <v>159089</v>
      </c>
      <c r="H41" s="1594">
        <f t="shared" si="2"/>
        <v>105179</v>
      </c>
      <c r="I41" s="1594">
        <f t="shared" si="2"/>
        <v>538522</v>
      </c>
      <c r="J41" s="1594">
        <f t="shared" si="2"/>
        <v>45549</v>
      </c>
      <c r="K41" s="1594">
        <f t="shared" si="2"/>
        <v>1808</v>
      </c>
      <c r="L41" s="1594">
        <f t="shared" si="2"/>
        <v>158708</v>
      </c>
      <c r="M41" s="1594">
        <f>SUM(M40)</f>
        <v>12082676</v>
      </c>
      <c r="N41" s="1594">
        <f>SUM(N37)</f>
        <v>6479613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2" activePane="bottomLeft" state="frozen"/>
      <selection activeCell="A7" sqref="A7:D7"/>
      <selection pane="bottomLeft" activeCell="N14" sqref="N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11"/>
      <c r="D3" s="1312"/>
      <c r="E3" s="1312"/>
      <c r="F3" s="1312"/>
      <c r="G3" s="1312"/>
      <c r="H3" s="1312"/>
      <c r="I3" s="1312"/>
      <c r="J3" s="1312"/>
      <c r="K3" s="1313"/>
      <c r="L3" s="446"/>
    </row>
    <row r="4" spans="1:13" ht="15.75" customHeight="1" x14ac:dyDescent="0.2">
      <c r="A4" s="1537" t="s">
        <v>1485</v>
      </c>
      <c r="B4" s="1538">
        <v>1000</v>
      </c>
      <c r="C4" s="1606">
        <f>'Revenues 9-14'!C109</f>
        <v>2668015</v>
      </c>
      <c r="D4" s="1606">
        <f>'Revenues 9-14'!D109</f>
        <v>425990</v>
      </c>
      <c r="E4" s="1606">
        <f>'Revenues 9-14'!E109</f>
        <v>569599</v>
      </c>
      <c r="F4" s="1606">
        <f>'Revenues 9-14'!F109</f>
        <v>103331</v>
      </c>
      <c r="G4" s="1606">
        <f>'Revenues 9-14'!G109</f>
        <v>140454</v>
      </c>
      <c r="H4" s="1606">
        <f>'Revenues 9-14'!H109</f>
        <v>4593</v>
      </c>
      <c r="I4" s="1606">
        <f>'Revenues 9-14'!I109</f>
        <v>10727</v>
      </c>
      <c r="J4" s="1606">
        <f>'Revenues 9-14'!J109</f>
        <v>124941</v>
      </c>
      <c r="K4" s="1606">
        <f>'Revenues 9-14'!K109</f>
        <v>56516</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1346649</v>
      </c>
      <c r="D6" s="1607">
        <f>'Revenues 9-14'!D170</f>
        <v>50000</v>
      </c>
      <c r="E6" s="1607">
        <f>'Revenues 9-14'!E170</f>
        <v>0</v>
      </c>
      <c r="F6" s="1607">
        <f>'Revenues 9-14'!F170</f>
        <v>103017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366062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4380726</v>
      </c>
      <c r="D8" s="1594">
        <f t="shared" ref="D8:K8" si="0">SUM(D4:D7)</f>
        <v>475990</v>
      </c>
      <c r="E8" s="1594">
        <f t="shared" si="0"/>
        <v>569599</v>
      </c>
      <c r="F8" s="1594">
        <f t="shared" si="0"/>
        <v>206348</v>
      </c>
      <c r="G8" s="1594">
        <f t="shared" si="0"/>
        <v>140454</v>
      </c>
      <c r="H8" s="1594">
        <f t="shared" si="0"/>
        <v>4593</v>
      </c>
      <c r="I8" s="1594">
        <f t="shared" si="0"/>
        <v>10727</v>
      </c>
      <c r="J8" s="1594">
        <f t="shared" si="0"/>
        <v>124941</v>
      </c>
      <c r="K8" s="1594">
        <f t="shared" si="0"/>
        <v>56516</v>
      </c>
      <c r="L8" s="325"/>
    </row>
    <row r="9" spans="1:13" ht="15.75" thickTop="1" x14ac:dyDescent="0.2">
      <c r="A9" s="449" t="s">
        <v>1637</v>
      </c>
      <c r="B9" s="450">
        <v>3998</v>
      </c>
      <c r="C9" s="1586">
        <f>2248714+33839</f>
        <v>2282553</v>
      </c>
      <c r="D9" s="1613"/>
      <c r="E9" s="1586"/>
      <c r="F9" s="1586"/>
      <c r="G9" s="1614"/>
      <c r="H9" s="1586"/>
      <c r="I9" s="1609" t="s">
        <v>1161</v>
      </c>
      <c r="J9" s="1583"/>
      <c r="K9" s="1586"/>
      <c r="L9" s="325"/>
    </row>
    <row r="10" spans="1:13" s="452" customFormat="1" ht="13.5" thickBot="1" x14ac:dyDescent="0.25">
      <c r="A10" s="1426" t="s">
        <v>1165</v>
      </c>
      <c r="B10" s="1407"/>
      <c r="C10" s="1594">
        <f>SUM(C8:C9)</f>
        <v>6663279</v>
      </c>
      <c r="D10" s="1594">
        <f t="shared" ref="D10:K10" si="1">SUM(D8:D9)</f>
        <v>475990</v>
      </c>
      <c r="E10" s="1594">
        <f t="shared" si="1"/>
        <v>569599</v>
      </c>
      <c r="F10" s="1594">
        <f t="shared" si="1"/>
        <v>206348</v>
      </c>
      <c r="G10" s="1594">
        <f t="shared" si="1"/>
        <v>140454</v>
      </c>
      <c r="H10" s="1594">
        <f t="shared" si="1"/>
        <v>4593</v>
      </c>
      <c r="I10" s="1594">
        <f t="shared" si="1"/>
        <v>10727</v>
      </c>
      <c r="J10" s="1594">
        <f t="shared" si="1"/>
        <v>124941</v>
      </c>
      <c r="K10" s="1594">
        <f t="shared" si="1"/>
        <v>56516</v>
      </c>
      <c r="L10" s="451"/>
    </row>
    <row r="11" spans="1:13" s="452" customFormat="1" ht="16.7" customHeight="1" thickTop="1" x14ac:dyDescent="0.2">
      <c r="A11" s="2217" t="s">
        <v>1168</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3164548</v>
      </c>
      <c r="D12" s="1616" t="s">
        <v>1161</v>
      </c>
      <c r="E12" s="1575" t="s">
        <v>1161</v>
      </c>
      <c r="F12" s="1575" t="s">
        <v>1161</v>
      </c>
      <c r="G12" s="1606">
        <f>'Expenditures 15-22'!K229</f>
        <v>68290</v>
      </c>
      <c r="H12" s="1617"/>
      <c r="I12" s="1575" t="s">
        <v>1161</v>
      </c>
      <c r="J12" s="1575" t="s">
        <v>1161</v>
      </c>
      <c r="K12" s="1617" t="s">
        <v>1161</v>
      </c>
      <c r="L12" s="325"/>
    </row>
    <row r="13" spans="1:13" ht="15.75" customHeight="1" x14ac:dyDescent="0.2">
      <c r="A13" s="1314" t="s">
        <v>454</v>
      </c>
      <c r="B13" s="1316">
        <v>2000</v>
      </c>
      <c r="C13" s="1607">
        <f>'Expenditures 15-22'!K74</f>
        <v>962649</v>
      </c>
      <c r="D13" s="1607">
        <f>'Expenditures 15-22'!K129</f>
        <v>443179</v>
      </c>
      <c r="E13" s="1576" t="s">
        <v>1161</v>
      </c>
      <c r="F13" s="1607">
        <f>'Expenditures 15-22'!K184</f>
        <v>189113</v>
      </c>
      <c r="G13" s="1607">
        <f>'Expenditures 15-22'!K279</f>
        <v>64876</v>
      </c>
      <c r="H13" s="1607">
        <f>'Expenditures 15-22'!K303</f>
        <v>37880</v>
      </c>
      <c r="I13" s="1575" t="s">
        <v>1161</v>
      </c>
      <c r="J13" s="1607">
        <f>'Expenditures 15-22'!K330</f>
        <v>117245</v>
      </c>
      <c r="K13" s="1618">
        <f>'Expenditures 15-22'!K352</f>
        <v>80404</v>
      </c>
      <c r="L13" s="325"/>
    </row>
    <row r="14" spans="1:13" ht="15.75" customHeight="1" x14ac:dyDescent="0.2">
      <c r="A14" s="1314" t="s">
        <v>446</v>
      </c>
      <c r="B14" s="1316">
        <v>3000</v>
      </c>
      <c r="C14" s="1607">
        <f>'Expenditures 15-22'!K75</f>
        <v>9312</v>
      </c>
      <c r="D14" s="1607">
        <f>'Expenditures 15-22'!K130</f>
        <v>0</v>
      </c>
      <c r="E14" s="1616" t="s">
        <v>1161</v>
      </c>
      <c r="F14" s="1607">
        <f>'Expenditures 15-22'!K185</f>
        <v>0</v>
      </c>
      <c r="G14" s="1607">
        <f>'Expenditures 15-22'!K280</f>
        <v>647</v>
      </c>
      <c r="H14" s="1612"/>
      <c r="I14" s="1575" t="s">
        <v>1161</v>
      </c>
      <c r="J14" s="1575" t="s">
        <v>1161</v>
      </c>
      <c r="K14" s="1612" t="s">
        <v>1161</v>
      </c>
      <c r="L14" s="325"/>
    </row>
    <row r="15" spans="1:13" ht="15.75" customHeight="1" x14ac:dyDescent="0.2">
      <c r="A15" s="1314" t="s">
        <v>107</v>
      </c>
      <c r="B15" s="1316">
        <v>4000</v>
      </c>
      <c r="C15" s="1607">
        <f>'Expenditures 15-22'!K102</f>
        <v>149744</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565516</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4286253</v>
      </c>
      <c r="D17" s="1594">
        <f t="shared" si="2"/>
        <v>443179</v>
      </c>
      <c r="E17" s="1594">
        <f t="shared" si="2"/>
        <v>565516</v>
      </c>
      <c r="F17" s="1594">
        <f t="shared" si="2"/>
        <v>189113</v>
      </c>
      <c r="G17" s="1594">
        <f t="shared" si="2"/>
        <v>133813</v>
      </c>
      <c r="H17" s="1594">
        <f t="shared" si="2"/>
        <v>37880</v>
      </c>
      <c r="I17" s="1575"/>
      <c r="J17" s="1594">
        <f>SUM(J12:J16)</f>
        <v>117245</v>
      </c>
      <c r="K17" s="1594">
        <f>SUM(K12:K16)</f>
        <v>80404</v>
      </c>
      <c r="L17" s="325"/>
    </row>
    <row r="18" spans="1:12" ht="15" customHeight="1" thickTop="1" x14ac:dyDescent="0.2">
      <c r="A18" s="1430" t="s">
        <v>1638</v>
      </c>
      <c r="B18" s="1431">
        <v>4180</v>
      </c>
      <c r="C18" s="1606">
        <f t="shared" ref="C18:H18" si="3">C9</f>
        <v>2282553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6568806</v>
      </c>
      <c r="D19" s="1594">
        <f t="shared" si="4"/>
        <v>443179</v>
      </c>
      <c r="E19" s="1594">
        <f t="shared" si="4"/>
        <v>565516</v>
      </c>
      <c r="F19" s="1594">
        <f t="shared" si="4"/>
        <v>189113</v>
      </c>
      <c r="G19" s="1594">
        <f t="shared" si="4"/>
        <v>133813</v>
      </c>
      <c r="H19" s="1594">
        <f t="shared" si="4"/>
        <v>37880</v>
      </c>
      <c r="I19" s="1575"/>
      <c r="J19" s="1594">
        <f>SUM(J17:J18)</f>
        <v>117245</v>
      </c>
      <c r="K19" s="1594">
        <f>SUM(K17:K18)</f>
        <v>80404</v>
      </c>
      <c r="L19" s="325"/>
    </row>
    <row r="20" spans="1:12" ht="16.5" thickTop="1" thickBot="1" x14ac:dyDescent="0.25">
      <c r="A20" s="2233" t="s">
        <v>1639</v>
      </c>
      <c r="B20" s="2234"/>
      <c r="C20" s="1622">
        <f>C8-C17</f>
        <v>94473</v>
      </c>
      <c r="D20" s="1622">
        <f t="shared" ref="D20:K20" si="5">D8-D17</f>
        <v>32811</v>
      </c>
      <c r="E20" s="1622">
        <f t="shared" si="5"/>
        <v>4083</v>
      </c>
      <c r="F20" s="1622">
        <f t="shared" si="5"/>
        <v>17235</v>
      </c>
      <c r="G20" s="1622">
        <f t="shared" si="5"/>
        <v>6641</v>
      </c>
      <c r="H20" s="1622">
        <f t="shared" si="5"/>
        <v>-33287</v>
      </c>
      <c r="I20" s="1622">
        <f t="shared" si="5"/>
        <v>10727</v>
      </c>
      <c r="J20" s="1622">
        <f t="shared" si="5"/>
        <v>7696</v>
      </c>
      <c r="K20" s="1622">
        <f t="shared" si="5"/>
        <v>-23888</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1169</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94473</v>
      </c>
      <c r="D78" s="1629">
        <f t="shared" si="9"/>
        <v>32811</v>
      </c>
      <c r="E78" s="1629">
        <f t="shared" si="9"/>
        <v>4083</v>
      </c>
      <c r="F78" s="1629">
        <f t="shared" si="9"/>
        <v>17235</v>
      </c>
      <c r="G78" s="1629">
        <f t="shared" si="9"/>
        <v>6641</v>
      </c>
      <c r="H78" s="1629">
        <f t="shared" si="9"/>
        <v>-33287</v>
      </c>
      <c r="I78" s="1629">
        <f t="shared" si="9"/>
        <v>10727</v>
      </c>
      <c r="J78" s="1629">
        <f t="shared" si="9"/>
        <v>7696</v>
      </c>
      <c r="K78" s="1629">
        <f t="shared" si="9"/>
        <v>-23888</v>
      </c>
      <c r="L78" s="457"/>
    </row>
    <row r="79" spans="1:12" ht="13.5" thickTop="1" x14ac:dyDescent="0.2">
      <c r="A79" s="1844" t="str">
        <f>"Fund Balances - July 1, "&amp;'AFR20'!E2-1</f>
        <v>Fund Balances - July 1, 2019</v>
      </c>
      <c r="B79" s="458"/>
      <c r="C79" s="1583">
        <v>1274392</v>
      </c>
      <c r="D79" s="1630">
        <v>699328</v>
      </c>
      <c r="E79" s="1630">
        <v>19077</v>
      </c>
      <c r="F79" s="1630">
        <v>500216</v>
      </c>
      <c r="G79" s="1630">
        <v>152448</v>
      </c>
      <c r="H79" s="1630">
        <v>138466</v>
      </c>
      <c r="I79" s="1630">
        <v>527795</v>
      </c>
      <c r="J79" s="1630">
        <v>37853</v>
      </c>
      <c r="K79" s="1630">
        <v>25696</v>
      </c>
      <c r="L79" s="325"/>
    </row>
    <row r="80" spans="1:12" x14ac:dyDescent="0.2">
      <c r="A80" s="2235" t="s">
        <v>1775</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1368865</v>
      </c>
      <c r="D81" s="1594">
        <f>SUM(D78:D80)</f>
        <v>732139</v>
      </c>
      <c r="E81" s="1594">
        <f t="shared" ref="E81:K81" si="10">SUM(E78:E80)</f>
        <v>23160</v>
      </c>
      <c r="F81" s="1594">
        <f t="shared" si="10"/>
        <v>517451</v>
      </c>
      <c r="G81" s="1594">
        <f t="shared" si="10"/>
        <v>159089</v>
      </c>
      <c r="H81" s="1594">
        <f t="shared" si="10"/>
        <v>105179</v>
      </c>
      <c r="I81" s="1594">
        <f t="shared" si="10"/>
        <v>538522</v>
      </c>
      <c r="J81" s="1594">
        <f t="shared" si="10"/>
        <v>45549</v>
      </c>
      <c r="K81" s="1594">
        <f t="shared" si="10"/>
        <v>1808</v>
      </c>
      <c r="L81" s="325"/>
    </row>
    <row r="82" spans="1:12" ht="0.75" customHeight="1" thickTop="1" thickBot="1" x14ac:dyDescent="0.25">
      <c r="A82" s="459" t="s">
        <v>340</v>
      </c>
      <c r="B82" s="460"/>
      <c r="C82" s="461">
        <f>(C81-C79)</f>
        <v>94473</v>
      </c>
      <c r="D82" s="461">
        <f t="shared" ref="D82:K82" si="11">(D81-D79)</f>
        <v>32811</v>
      </c>
      <c r="E82" s="461">
        <f t="shared" si="11"/>
        <v>4083</v>
      </c>
      <c r="F82" s="461">
        <f t="shared" si="11"/>
        <v>17235</v>
      </c>
      <c r="G82" s="461">
        <f t="shared" si="11"/>
        <v>6641</v>
      </c>
      <c r="H82" s="461">
        <f t="shared" si="11"/>
        <v>-33287</v>
      </c>
      <c r="I82" s="461">
        <f t="shared" si="11"/>
        <v>10727</v>
      </c>
      <c r="J82" s="461">
        <f t="shared" si="11"/>
        <v>7696</v>
      </c>
      <c r="K82" s="461">
        <f t="shared" si="11"/>
        <v>-23888</v>
      </c>
    </row>
    <row r="83" spans="1:12" ht="14.25" hidden="1" thickTop="1" thickBot="1" x14ac:dyDescent="0.25">
      <c r="A83" s="462" t="s">
        <v>341</v>
      </c>
      <c r="B83" s="428"/>
      <c r="C83" s="463">
        <f>C82/C81</f>
        <v>6.9015571294466588E-2</v>
      </c>
      <c r="D83" s="463">
        <f t="shared" ref="D83:K83" si="12">D82/D81</f>
        <v>4.4815260490152824E-2</v>
      </c>
      <c r="E83" s="463">
        <f t="shared" si="12"/>
        <v>0.17629533678756476</v>
      </c>
      <c r="F83" s="463">
        <f t="shared" si="12"/>
        <v>3.3307501579859733E-2</v>
      </c>
      <c r="G83" s="463">
        <f t="shared" si="12"/>
        <v>4.1743929498582556E-2</v>
      </c>
      <c r="H83" s="463">
        <f t="shared" si="12"/>
        <v>-0.31647952538054175</v>
      </c>
      <c r="I83" s="463">
        <f t="shared" si="12"/>
        <v>1.9919334771838475E-2</v>
      </c>
      <c r="J83" s="463">
        <f t="shared" si="12"/>
        <v>0.16896089925135568</v>
      </c>
      <c r="K83" s="463">
        <f t="shared" si="12"/>
        <v>-13.212389380530974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80" activePane="bottomLeft" state="frozen"/>
      <selection activeCell="A7" sqref="A7:D7"/>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1782</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2235684</v>
      </c>
      <c r="D5" s="1586">
        <v>333398</v>
      </c>
      <c r="E5" s="1573">
        <v>568452</v>
      </c>
      <c r="F5" s="1631">
        <v>98063</v>
      </c>
      <c r="G5" s="1573">
        <v>29422</v>
      </c>
      <c r="H5" s="1573"/>
      <c r="I5" s="1573">
        <v>4907</v>
      </c>
      <c r="J5" s="1574">
        <v>81394</v>
      </c>
      <c r="K5" s="1573">
        <v>56392</v>
      </c>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51484</v>
      </c>
      <c r="D7" s="1573"/>
      <c r="E7" s="1575"/>
      <c r="F7" s="1574"/>
      <c r="G7" s="1574"/>
      <c r="H7" s="1574"/>
      <c r="I7" s="1575"/>
      <c r="J7" s="1575"/>
      <c r="K7" s="1575"/>
    </row>
    <row r="8" spans="1:12" x14ac:dyDescent="0.2">
      <c r="A8" s="427" t="s">
        <v>410</v>
      </c>
      <c r="B8" s="429">
        <v>1150</v>
      </c>
      <c r="C8" s="1580"/>
      <c r="D8" s="1580"/>
      <c r="E8" s="1582"/>
      <c r="F8" s="1582"/>
      <c r="G8" s="1586">
        <v>29422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2287168</v>
      </c>
      <c r="D12" s="1633">
        <f t="shared" si="0"/>
        <v>333398</v>
      </c>
      <c r="E12" s="1633">
        <f t="shared" si="0"/>
        <v>568452</v>
      </c>
      <c r="F12" s="1633">
        <f t="shared" si="0"/>
        <v>98063</v>
      </c>
      <c r="G12" s="1633">
        <f t="shared" si="0"/>
        <v>58844</v>
      </c>
      <c r="H12" s="1633">
        <f t="shared" si="0"/>
        <v>0</v>
      </c>
      <c r="I12" s="1633">
        <f t="shared" si="0"/>
        <v>4907</v>
      </c>
      <c r="J12" s="1633">
        <f t="shared" si="0"/>
        <v>81394</v>
      </c>
      <c r="K12" s="1594">
        <f t="shared" si="0"/>
        <v>56392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138273</v>
      </c>
      <c r="D16" s="1573">
        <v>64000</v>
      </c>
      <c r="E16" s="1573"/>
      <c r="F16" s="1573"/>
      <c r="G16" s="1573">
        <v>80000</v>
      </c>
      <c r="H16" s="1573"/>
      <c r="I16" s="1573"/>
      <c r="J16" s="1574">
        <v>43000</v>
      </c>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138273</v>
      </c>
      <c r="D18" s="1635">
        <f t="shared" ref="D18:K18" si="1">SUM(D14:D17)</f>
        <v>64000</v>
      </c>
      <c r="E18" s="1635">
        <f t="shared" si="1"/>
        <v>0</v>
      </c>
      <c r="F18" s="1635">
        <f t="shared" si="1"/>
        <v>0</v>
      </c>
      <c r="G18" s="1635">
        <f t="shared" si="1"/>
        <v>80000</v>
      </c>
      <c r="H18" s="1635">
        <f t="shared" si="1"/>
        <v>0</v>
      </c>
      <c r="I18" s="1635">
        <f t="shared" si="1"/>
        <v>0</v>
      </c>
      <c r="J18" s="1635">
        <f t="shared" si="1"/>
        <v>43000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v>1500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1500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13394</v>
      </c>
      <c r="D65" s="1573">
        <v>8132</v>
      </c>
      <c r="E65" s="1573">
        <v>1147</v>
      </c>
      <c r="F65" s="1574">
        <v>5200</v>
      </c>
      <c r="G65" s="1573">
        <v>1610</v>
      </c>
      <c r="H65" s="1573">
        <v>1141</v>
      </c>
      <c r="I65" s="1573">
        <v>5820</v>
      </c>
      <c r="J65" s="1574">
        <v>547</v>
      </c>
      <c r="K65" s="1573">
        <v>124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13394</v>
      </c>
      <c r="D67" s="1594">
        <f t="shared" ref="D67:K67" si="2">SUM(D65:D66)</f>
        <v>8132</v>
      </c>
      <c r="E67" s="1594">
        <f t="shared" si="2"/>
        <v>1147</v>
      </c>
      <c r="F67" s="1594">
        <f t="shared" si="2"/>
        <v>5200</v>
      </c>
      <c r="G67" s="1594">
        <f t="shared" si="2"/>
        <v>1610</v>
      </c>
      <c r="H67" s="1594">
        <f t="shared" si="2"/>
        <v>1141</v>
      </c>
      <c r="I67" s="1594">
        <f t="shared" si="2"/>
        <v>5820</v>
      </c>
      <c r="J67" s="1594">
        <f t="shared" si="2"/>
        <v>547</v>
      </c>
      <c r="K67" s="1594">
        <f t="shared" si="2"/>
        <v>124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27839</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27839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11901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1937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13838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34595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34595</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259</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40370</v>
      </c>
      <c r="D99" s="1573"/>
      <c r="E99" s="1573"/>
      <c r="F99" s="1573"/>
      <c r="G99" s="1573"/>
      <c r="H99" s="1573"/>
      <c r="I99" s="1575"/>
      <c r="J99" s="1574"/>
      <c r="K99" s="1573"/>
    </row>
    <row r="100" spans="1:12" ht="12.75" customHeight="1" x14ac:dyDescent="0.2">
      <c r="A100" s="427" t="s">
        <v>243</v>
      </c>
      <c r="B100" s="429">
        <v>1960</v>
      </c>
      <c r="C100" s="1598">
        <v>93820</v>
      </c>
      <c r="D100" s="1598"/>
      <c r="E100" s="1598"/>
      <c r="F100" s="1598"/>
      <c r="G100" s="1598"/>
      <c r="H100" s="1598"/>
      <c r="I100" s="1574"/>
      <c r="J100" s="1598"/>
      <c r="K100" s="1574"/>
    </row>
    <row r="101" spans="1:12" ht="12.75" customHeight="1" x14ac:dyDescent="0.2">
      <c r="A101" s="427" t="s">
        <v>244</v>
      </c>
      <c r="B101" s="429">
        <v>1970</v>
      </c>
      <c r="C101" s="1598">
        <v>560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2152</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16658</v>
      </c>
      <c r="D107" s="1573">
        <v>20201</v>
      </c>
      <c r="E107" s="1573"/>
      <c r="F107" s="1573">
        <v>68</v>
      </c>
      <c r="G107" s="1573"/>
      <c r="H107" s="1573">
        <v>1300</v>
      </c>
      <c r="I107" s="1573"/>
      <c r="J107" s="1574"/>
      <c r="K107" s="1573"/>
    </row>
    <row r="108" spans="1:12" ht="12.75" customHeight="1" thickBot="1" x14ac:dyDescent="0.25">
      <c r="A108" s="1406" t="s">
        <v>484</v>
      </c>
      <c r="B108" s="1408"/>
      <c r="C108" s="1633">
        <f>SUM(C95:C107)</f>
        <v>151408</v>
      </c>
      <c r="D108" s="1633">
        <f t="shared" ref="D108:K108" si="3">SUM(D95:D107)</f>
        <v>20460</v>
      </c>
      <c r="E108" s="1633">
        <f t="shared" si="3"/>
        <v>0</v>
      </c>
      <c r="F108" s="1633">
        <f t="shared" si="3"/>
        <v>68</v>
      </c>
      <c r="G108" s="1633">
        <f t="shared" si="3"/>
        <v>0</v>
      </c>
      <c r="H108" s="1633">
        <f t="shared" si="3"/>
        <v>3452</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2668015</v>
      </c>
      <c r="D109" s="1641">
        <f t="shared" si="4"/>
        <v>425990</v>
      </c>
      <c r="E109" s="1641">
        <f t="shared" si="4"/>
        <v>569599</v>
      </c>
      <c r="F109" s="1641">
        <f t="shared" si="4"/>
        <v>103331</v>
      </c>
      <c r="G109" s="1641">
        <f t="shared" si="4"/>
        <v>140454</v>
      </c>
      <c r="H109" s="1641">
        <f t="shared" si="4"/>
        <v>4593</v>
      </c>
      <c r="I109" s="1641">
        <f t="shared" si="4"/>
        <v>10727</v>
      </c>
      <c r="J109" s="1641">
        <f t="shared" si="4"/>
        <v>124941</v>
      </c>
      <c r="K109" s="1629">
        <f t="shared" si="4"/>
        <v>56516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1159159</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1159159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35791</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17250</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53041</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7281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10546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17827</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909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4997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20447</v>
      </c>
      <c r="G152" s="1574"/>
      <c r="H152" s="1575"/>
      <c r="I152" s="1575"/>
      <c r="J152" s="1575"/>
      <c r="K152" s="1575"/>
    </row>
    <row r="153" spans="1:11" ht="12.75" customHeight="1" x14ac:dyDescent="0.2">
      <c r="A153" s="427" t="s">
        <v>1050</v>
      </c>
      <c r="B153" s="478">
        <v>3510</v>
      </c>
      <c r="C153" s="1632"/>
      <c r="D153" s="1573"/>
      <c r="E153" s="1640"/>
      <c r="F153" s="1573">
        <v>82570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103017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103935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f>750+6031</f>
        <v>6781</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187490</v>
      </c>
      <c r="D169" s="1658">
        <f t="shared" si="6"/>
        <v>50000</v>
      </c>
      <c r="E169" s="1658">
        <f t="shared" si="6"/>
        <v>0</v>
      </c>
      <c r="F169" s="1658">
        <f t="shared" si="6"/>
        <v>103017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1346649</v>
      </c>
      <c r="D170" s="1641">
        <f t="shared" si="7"/>
        <v>50000</v>
      </c>
      <c r="E170" s="1641">
        <f t="shared" si="7"/>
        <v>0</v>
      </c>
      <c r="F170" s="1641">
        <f t="shared" si="7"/>
        <v>103017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1478</v>
      </c>
      <c r="B172" s="2254"/>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1649</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1648</v>
      </c>
      <c r="B176" s="2262"/>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v>31355</v>
      </c>
      <c r="D180" s="1573"/>
      <c r="E180" s="1575"/>
      <c r="F180" s="1573"/>
      <c r="G180" s="1573"/>
      <c r="H180" s="1573"/>
      <c r="I180" s="1575"/>
      <c r="J180" s="1575"/>
      <c r="K180" s="1573"/>
    </row>
    <row r="181" spans="1:11" ht="13.5" thickBot="1" x14ac:dyDescent="0.25">
      <c r="A181" s="2259" t="s">
        <v>780</v>
      </c>
      <c r="B181" s="2260"/>
      <c r="C181" s="1633">
        <f>SUM(C177:C180)</f>
        <v>31355</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1783</v>
      </c>
      <c r="B182" s="2256"/>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51995</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10727</v>
      </c>
      <c r="D193" s="1575"/>
      <c r="E193" s="1640"/>
      <c r="F193" s="1575"/>
      <c r="G193" s="1664"/>
      <c r="H193" s="1575"/>
      <c r="I193" s="1575"/>
      <c r="J193" s="1575"/>
      <c r="K193" s="1575"/>
    </row>
    <row r="194" spans="1:11" ht="12.75" customHeight="1" x14ac:dyDescent="0.2">
      <c r="A194" s="427" t="s">
        <v>1437</v>
      </c>
      <c r="B194" s="429">
        <v>4225</v>
      </c>
      <c r="C194" s="1632">
        <v>25638</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88360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81914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81914</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102049</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102049</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12789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18174</v>
      </c>
      <c r="D263" s="1651"/>
      <c r="E263" s="1575"/>
      <c r="F263" s="1651"/>
      <c r="G263" s="1651"/>
      <c r="H263" s="1575"/>
      <c r="I263" s="1575"/>
      <c r="J263" s="1575"/>
      <c r="K263" s="1575"/>
    </row>
    <row r="264" spans="1:11" ht="12.75" customHeight="1" thickTop="1" thickBot="1" x14ac:dyDescent="0.25">
      <c r="A264" s="427" t="s">
        <v>374</v>
      </c>
      <c r="B264" s="429">
        <v>4992</v>
      </c>
      <c r="C264" s="1650">
        <v>9378</v>
      </c>
      <c r="D264" s="1651"/>
      <c r="E264" s="1575"/>
      <c r="F264" s="1651"/>
      <c r="G264" s="1651"/>
      <c r="H264" s="1575"/>
      <c r="I264" s="1575"/>
      <c r="J264" s="1575"/>
      <c r="K264" s="1575"/>
    </row>
    <row r="265" spans="1:11" s="489" customFormat="1" ht="12.75" customHeight="1" thickTop="1" thickBot="1" x14ac:dyDescent="0.25">
      <c r="A265" s="479" t="s">
        <v>75</v>
      </c>
      <c r="B265" s="475">
        <v>4998</v>
      </c>
      <c r="C265" s="1650">
        <v>12043</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334707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366062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4380726</v>
      </c>
      <c r="D268" s="1641">
        <f t="shared" si="12"/>
        <v>475990</v>
      </c>
      <c r="E268" s="1641">
        <f t="shared" si="12"/>
        <v>569599</v>
      </c>
      <c r="F268" s="1641">
        <f t="shared" si="12"/>
        <v>206348</v>
      </c>
      <c r="G268" s="1641">
        <f t="shared" si="12"/>
        <v>140454</v>
      </c>
      <c r="H268" s="1641">
        <f t="shared" si="12"/>
        <v>4593</v>
      </c>
      <c r="I268" s="1641">
        <f t="shared" si="12"/>
        <v>10727</v>
      </c>
      <c r="J268" s="1641">
        <f t="shared" si="12"/>
        <v>124941</v>
      </c>
      <c r="K268" s="1629">
        <f t="shared" si="12"/>
        <v>56516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63" activePane="bottomLeft" state="frozen"/>
      <selection activeCell="A7" sqref="A7:D7"/>
      <selection pane="bottomLeft" activeCell="E206" sqref="E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1534029+1032</f>
        <v>1535061</v>
      </c>
      <c r="D5" s="1573">
        <v>312869</v>
      </c>
      <c r="E5" s="1573">
        <v>8323</v>
      </c>
      <c r="F5" s="1573">
        <v>105651</v>
      </c>
      <c r="G5" s="1573"/>
      <c r="H5" s="1573">
        <v>4822</v>
      </c>
      <c r="I5" s="1574"/>
      <c r="J5" s="1574"/>
      <c r="K5" s="1672">
        <f>SUM(C5:J5)</f>
        <v>1966726</v>
      </c>
      <c r="L5" s="1573">
        <v>1963072</v>
      </c>
    </row>
    <row r="6" spans="1:14" x14ac:dyDescent="0.2">
      <c r="A6" s="1274" t="s">
        <v>1419</v>
      </c>
      <c r="B6" s="503" t="s">
        <v>1417</v>
      </c>
      <c r="C6" s="1582"/>
      <c r="D6" s="1582"/>
      <c r="E6" s="1573"/>
      <c r="F6" s="1582"/>
      <c r="G6" s="1582"/>
      <c r="H6" s="1582"/>
      <c r="I6" s="1582"/>
      <c r="J6" s="1582"/>
      <c r="K6" s="1672">
        <f>SUM(C6,E6)</f>
        <v>0</v>
      </c>
      <c r="L6" s="1573">
        <v>0</v>
      </c>
    </row>
    <row r="7" spans="1:14" x14ac:dyDescent="0.2">
      <c r="A7" s="1274" t="s">
        <v>162</v>
      </c>
      <c r="B7" s="503" t="s">
        <v>961</v>
      </c>
      <c r="C7" s="1574">
        <v>103732</v>
      </c>
      <c r="D7" s="1574">
        <v>26800</v>
      </c>
      <c r="E7" s="1574">
        <v>1606</v>
      </c>
      <c r="F7" s="1574">
        <v>12398</v>
      </c>
      <c r="G7" s="1574"/>
      <c r="H7" s="1574"/>
      <c r="I7" s="1574"/>
      <c r="J7" s="1574"/>
      <c r="K7" s="1672">
        <f t="shared" ref="K7:K32" si="0">SUM(C7:J7)</f>
        <v>144536</v>
      </c>
      <c r="L7" s="1573">
        <v>141181</v>
      </c>
    </row>
    <row r="8" spans="1:14" x14ac:dyDescent="0.2">
      <c r="A8" s="1274" t="s">
        <v>163</v>
      </c>
      <c r="B8" s="503">
        <v>1200</v>
      </c>
      <c r="C8" s="1573">
        <v>458621</v>
      </c>
      <c r="D8" s="1573">
        <v>81968</v>
      </c>
      <c r="E8" s="1573">
        <v>3240</v>
      </c>
      <c r="F8" s="1573">
        <v>5237</v>
      </c>
      <c r="G8" s="1573"/>
      <c r="H8" s="1573"/>
      <c r="I8" s="1574"/>
      <c r="J8" s="1574"/>
      <c r="K8" s="1672">
        <f t="shared" si="0"/>
        <v>549066</v>
      </c>
      <c r="L8" s="1573">
        <v>548540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c r="D10" s="1573"/>
      <c r="E10" s="1573">
        <v>47845</v>
      </c>
      <c r="F10" s="1573">
        <v>40675</v>
      </c>
      <c r="G10" s="1573"/>
      <c r="H10" s="1573"/>
      <c r="I10" s="1574"/>
      <c r="J10" s="1574"/>
      <c r="K10" s="1672">
        <f t="shared" si="0"/>
        <v>88520</v>
      </c>
      <c r="L10" s="1573">
        <v>88508</v>
      </c>
    </row>
    <row r="11" spans="1:14" x14ac:dyDescent="0.2">
      <c r="A11" s="1274" t="s">
        <v>1122</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v>2352</v>
      </c>
      <c r="G13" s="1573"/>
      <c r="H13" s="1573"/>
      <c r="I13" s="1574"/>
      <c r="J13" s="1574"/>
      <c r="K13" s="1672">
        <f t="shared" si="0"/>
        <v>2352</v>
      </c>
      <c r="L13" s="1573">
        <v>5501</v>
      </c>
    </row>
    <row r="14" spans="1:14" x14ac:dyDescent="0.2">
      <c r="A14" s="1274" t="s">
        <v>957</v>
      </c>
      <c r="B14" s="503">
        <v>1500</v>
      </c>
      <c r="C14" s="1573">
        <v>186493</v>
      </c>
      <c r="D14" s="1573">
        <v>37611</v>
      </c>
      <c r="E14" s="1573">
        <v>15923</v>
      </c>
      <c r="F14" s="1573">
        <v>7321</v>
      </c>
      <c r="G14" s="1573"/>
      <c r="H14" s="1573">
        <v>3116</v>
      </c>
      <c r="I14" s="1574"/>
      <c r="J14" s="1574"/>
      <c r="K14" s="1672">
        <f t="shared" si="0"/>
        <v>250464</v>
      </c>
      <c r="L14" s="1573">
        <v>236650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26249</v>
      </c>
      <c r="D17" s="1574">
        <v>4985</v>
      </c>
      <c r="E17" s="1574"/>
      <c r="F17" s="1574">
        <v>1022</v>
      </c>
      <c r="G17" s="1574"/>
      <c r="H17" s="1574"/>
      <c r="I17" s="1574"/>
      <c r="J17" s="1574"/>
      <c r="K17" s="1672">
        <f t="shared" si="0"/>
        <v>32256</v>
      </c>
      <c r="L17" s="1573">
        <v>29347</v>
      </c>
    </row>
    <row r="18" spans="1:12" x14ac:dyDescent="0.2">
      <c r="A18" s="1274" t="s">
        <v>1080</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130628</v>
      </c>
      <c r="I22" s="1673"/>
      <c r="J22" s="1582"/>
      <c r="K22" s="1672">
        <f t="shared" si="0"/>
        <v>130628</v>
      </c>
      <c r="L22" s="1577">
        <v>130628</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1121</v>
      </c>
      <c r="B32" s="503" t="s">
        <v>732</v>
      </c>
      <c r="C32" s="1582"/>
      <c r="D32" s="1582"/>
      <c r="E32" s="1582"/>
      <c r="F32" s="1582"/>
      <c r="G32" s="1582"/>
      <c r="H32" s="1579"/>
      <c r="I32" s="1673"/>
      <c r="J32" s="1585"/>
      <c r="K32" s="1672">
        <f t="shared" si="0"/>
        <v>0</v>
      </c>
      <c r="L32" s="1577">
        <v>0</v>
      </c>
    </row>
    <row r="33" spans="1:14" ht="12.75" customHeight="1" thickBot="1" x14ac:dyDescent="0.25">
      <c r="A33" s="1380" t="s">
        <v>1652</v>
      </c>
      <c r="B33" s="1381" t="s">
        <v>566</v>
      </c>
      <c r="C33" s="1674">
        <f>SUM(C5:C32)</f>
        <v>2310156</v>
      </c>
      <c r="D33" s="1674">
        <f t="shared" ref="D33:L33" si="1">SUM(D5:D32)</f>
        <v>464233</v>
      </c>
      <c r="E33" s="1674">
        <f t="shared" si="1"/>
        <v>76937</v>
      </c>
      <c r="F33" s="1674">
        <f t="shared" si="1"/>
        <v>174656</v>
      </c>
      <c r="G33" s="1674">
        <f t="shared" si="1"/>
        <v>0</v>
      </c>
      <c r="H33" s="1674">
        <f t="shared" si="1"/>
        <v>138566</v>
      </c>
      <c r="I33" s="1674">
        <f t="shared" si="1"/>
        <v>0</v>
      </c>
      <c r="J33" s="1674">
        <f t="shared" si="1"/>
        <v>0</v>
      </c>
      <c r="K33" s="1674">
        <f t="shared" si="1"/>
        <v>3164548</v>
      </c>
      <c r="L33" s="1674">
        <f t="shared" si="1"/>
        <v>3143427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48611</v>
      </c>
      <c r="D36" s="1586">
        <v>11491</v>
      </c>
      <c r="E36" s="1586"/>
      <c r="F36" s="1586"/>
      <c r="G36" s="1586"/>
      <c r="H36" s="1586">
        <v>75</v>
      </c>
      <c r="I36" s="1574"/>
      <c r="J36" s="1574"/>
      <c r="K36" s="1672">
        <f t="shared" ref="K36:K41" si="2">SUM(C36:J36)</f>
        <v>60177</v>
      </c>
      <c r="L36" s="1573">
        <v>60100</v>
      </c>
    </row>
    <row r="37" spans="1:14" x14ac:dyDescent="0.2">
      <c r="A37" s="1274" t="s">
        <v>1083</v>
      </c>
      <c r="B37" s="503">
        <v>2120</v>
      </c>
      <c r="C37" s="1573">
        <v>59184</v>
      </c>
      <c r="D37" s="1573">
        <v>13523</v>
      </c>
      <c r="E37" s="1573"/>
      <c r="F37" s="1573"/>
      <c r="G37" s="1573"/>
      <c r="H37" s="1573">
        <v>385</v>
      </c>
      <c r="I37" s="1574"/>
      <c r="J37" s="1574"/>
      <c r="K37" s="1672">
        <f t="shared" si="2"/>
        <v>73092</v>
      </c>
      <c r="L37" s="1573">
        <v>73973</v>
      </c>
    </row>
    <row r="38" spans="1:14" x14ac:dyDescent="0.2">
      <c r="A38" s="1274" t="s">
        <v>196</v>
      </c>
      <c r="B38" s="503">
        <v>2130</v>
      </c>
      <c r="C38" s="1573">
        <v>24986</v>
      </c>
      <c r="D38" s="1573">
        <v>5155</v>
      </c>
      <c r="E38" s="1573"/>
      <c r="F38" s="1573">
        <v>3466</v>
      </c>
      <c r="G38" s="1573"/>
      <c r="H38" s="1573"/>
      <c r="I38" s="1574"/>
      <c r="J38" s="1574"/>
      <c r="K38" s="1672">
        <f t="shared" si="2"/>
        <v>33607</v>
      </c>
      <c r="L38" s="1573">
        <v>33607</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v>47313</v>
      </c>
      <c r="D40" s="1573">
        <v>9012</v>
      </c>
      <c r="E40" s="1573"/>
      <c r="F40" s="1573">
        <v>45</v>
      </c>
      <c r="G40" s="1573"/>
      <c r="H40" s="1573"/>
      <c r="I40" s="1574"/>
      <c r="J40" s="1574"/>
      <c r="K40" s="1672">
        <f t="shared" si="2"/>
        <v>56370</v>
      </c>
      <c r="L40" s="1573">
        <v>56325</v>
      </c>
    </row>
    <row r="41" spans="1:14" x14ac:dyDescent="0.2">
      <c r="A41" s="1274" t="s">
        <v>1653</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180094</v>
      </c>
      <c r="D42" s="1674">
        <f t="shared" ref="D42:L42" si="3">SUM(D36:D41)</f>
        <v>39181</v>
      </c>
      <c r="E42" s="1674">
        <f t="shared" si="3"/>
        <v>0</v>
      </c>
      <c r="F42" s="1674">
        <f t="shared" si="3"/>
        <v>3511</v>
      </c>
      <c r="G42" s="1674">
        <f t="shared" si="3"/>
        <v>0</v>
      </c>
      <c r="H42" s="1674">
        <f t="shared" si="3"/>
        <v>460</v>
      </c>
      <c r="I42" s="1674">
        <f t="shared" si="3"/>
        <v>0</v>
      </c>
      <c r="J42" s="1674">
        <f t="shared" si="3"/>
        <v>0</v>
      </c>
      <c r="K42" s="1674">
        <f t="shared" si="3"/>
        <v>223246</v>
      </c>
      <c r="L42" s="1674">
        <f t="shared" si="3"/>
        <v>224005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23219</v>
      </c>
      <c r="F44" s="1586">
        <v>40863</v>
      </c>
      <c r="G44" s="1586"/>
      <c r="H44" s="1586"/>
      <c r="I44" s="1574"/>
      <c r="J44" s="1574"/>
      <c r="K44" s="1678">
        <f>SUM(C44:J44)</f>
        <v>64082</v>
      </c>
      <c r="L44" s="1586">
        <v>64323</v>
      </c>
    </row>
    <row r="45" spans="1:14" x14ac:dyDescent="0.2">
      <c r="A45" s="1274" t="s">
        <v>810</v>
      </c>
      <c r="B45" s="503">
        <v>2220</v>
      </c>
      <c r="C45" s="1573">
        <v>49978</v>
      </c>
      <c r="D45" s="1573">
        <v>11050</v>
      </c>
      <c r="E45" s="1573">
        <v>204</v>
      </c>
      <c r="F45" s="1573">
        <v>2225</v>
      </c>
      <c r="G45" s="1573"/>
      <c r="H45" s="1573">
        <v>1715</v>
      </c>
      <c r="I45" s="1574"/>
      <c r="J45" s="1574"/>
      <c r="K45" s="1678">
        <f>SUM(C45:J45)</f>
        <v>65172</v>
      </c>
      <c r="L45" s="1573">
        <v>64968</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49978</v>
      </c>
      <c r="D47" s="1674">
        <f t="shared" ref="D47:K47" si="4">SUM(D44:D46)</f>
        <v>11050</v>
      </c>
      <c r="E47" s="1674">
        <f t="shared" si="4"/>
        <v>23423</v>
      </c>
      <c r="F47" s="1674">
        <f t="shared" si="4"/>
        <v>43088</v>
      </c>
      <c r="G47" s="1674">
        <f t="shared" si="4"/>
        <v>0</v>
      </c>
      <c r="H47" s="1674">
        <f t="shared" si="4"/>
        <v>1715</v>
      </c>
      <c r="I47" s="1674">
        <f t="shared" si="4"/>
        <v>0</v>
      </c>
      <c r="J47" s="1674">
        <f t="shared" si="4"/>
        <v>0</v>
      </c>
      <c r="K47" s="1674">
        <f t="shared" si="4"/>
        <v>129254</v>
      </c>
      <c r="L47" s="1674">
        <f>SUM(L44:L46)</f>
        <v>129291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4849</v>
      </c>
      <c r="D49" s="1586"/>
      <c r="E49" s="1586">
        <v>11828</v>
      </c>
      <c r="F49" s="1586">
        <v>25</v>
      </c>
      <c r="G49" s="1586"/>
      <c r="H49" s="1586">
        <v>3730</v>
      </c>
      <c r="I49" s="1574"/>
      <c r="J49" s="1574"/>
      <c r="K49" s="1678">
        <f>SUM(C49:J49)</f>
        <v>20432</v>
      </c>
      <c r="L49" s="1586">
        <v>20795</v>
      </c>
    </row>
    <row r="50" spans="1:14" x14ac:dyDescent="0.2">
      <c r="A50" s="1274" t="s">
        <v>813</v>
      </c>
      <c r="B50" s="503">
        <v>2320</v>
      </c>
      <c r="C50" s="1573">
        <v>118955</v>
      </c>
      <c r="D50" s="1573">
        <v>35468</v>
      </c>
      <c r="E50" s="1573">
        <v>12216</v>
      </c>
      <c r="F50" s="1573">
        <v>5813</v>
      </c>
      <c r="G50" s="1573">
        <v>3648</v>
      </c>
      <c r="H50" s="1573">
        <v>1475</v>
      </c>
      <c r="I50" s="1574"/>
      <c r="J50" s="1574"/>
      <c r="K50" s="1678">
        <f>SUM(C50:J50)</f>
        <v>177575</v>
      </c>
      <c r="L50" s="1573">
        <v>175957</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123804</v>
      </c>
      <c r="D53" s="1674">
        <f t="shared" ref="D53:L53" si="5">SUM(D49:D52)</f>
        <v>35468</v>
      </c>
      <c r="E53" s="1674">
        <f t="shared" si="5"/>
        <v>24044</v>
      </c>
      <c r="F53" s="1674">
        <f t="shared" si="5"/>
        <v>5838</v>
      </c>
      <c r="G53" s="1674">
        <f t="shared" si="5"/>
        <v>3648</v>
      </c>
      <c r="H53" s="1674">
        <f t="shared" si="5"/>
        <v>5205</v>
      </c>
      <c r="I53" s="1674">
        <f t="shared" si="5"/>
        <v>0</v>
      </c>
      <c r="J53" s="1674">
        <f t="shared" si="5"/>
        <v>0</v>
      </c>
      <c r="K53" s="1674">
        <f t="shared" si="5"/>
        <v>198007</v>
      </c>
      <c r="L53" s="1674">
        <f t="shared" si="5"/>
        <v>196752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135199</v>
      </c>
      <c r="D55" s="1586">
        <v>32860</v>
      </c>
      <c r="E55" s="1586"/>
      <c r="F55" s="1586">
        <v>994</v>
      </c>
      <c r="G55" s="1586"/>
      <c r="H55" s="1586">
        <v>952</v>
      </c>
      <c r="I55" s="1574"/>
      <c r="J55" s="1574"/>
      <c r="K55" s="1678">
        <f>SUM(C55:J55)</f>
        <v>170005</v>
      </c>
      <c r="L55" s="1586">
        <v>168904</v>
      </c>
    </row>
    <row r="56" spans="1:14" ht="12.75" customHeight="1" x14ac:dyDescent="0.2">
      <c r="A56" s="1278" t="s">
        <v>373</v>
      </c>
      <c r="B56" s="512">
        <v>2490</v>
      </c>
      <c r="C56" s="1573">
        <v>59886</v>
      </c>
      <c r="D56" s="1573">
        <v>7736</v>
      </c>
      <c r="E56" s="1573"/>
      <c r="F56" s="1573"/>
      <c r="G56" s="1573"/>
      <c r="H56" s="1573"/>
      <c r="I56" s="1574"/>
      <c r="J56" s="1574"/>
      <c r="K56" s="1678">
        <f>SUM(C56:J56)</f>
        <v>67622</v>
      </c>
      <c r="L56" s="1573">
        <v>67935</v>
      </c>
    </row>
    <row r="57" spans="1:14" s="321" customFormat="1" ht="12.75" customHeight="1" thickBot="1" x14ac:dyDescent="0.25">
      <c r="A57" s="1380" t="s">
        <v>261</v>
      </c>
      <c r="B57" s="1382" t="s">
        <v>34</v>
      </c>
      <c r="C57" s="1679">
        <f>SUM(C55:C56)</f>
        <v>195085</v>
      </c>
      <c r="D57" s="1679">
        <f t="shared" ref="D57:K57" si="6">SUM(D55:D56)</f>
        <v>40596</v>
      </c>
      <c r="E57" s="1679">
        <f t="shared" si="6"/>
        <v>0</v>
      </c>
      <c r="F57" s="1679">
        <f t="shared" si="6"/>
        <v>994</v>
      </c>
      <c r="G57" s="1679">
        <f t="shared" si="6"/>
        <v>0</v>
      </c>
      <c r="H57" s="1679">
        <f t="shared" si="6"/>
        <v>952</v>
      </c>
      <c r="I57" s="1679">
        <f t="shared" si="6"/>
        <v>0</v>
      </c>
      <c r="J57" s="1679">
        <f t="shared" si="6"/>
        <v>0</v>
      </c>
      <c r="K57" s="1679">
        <f t="shared" si="6"/>
        <v>237627</v>
      </c>
      <c r="L57" s="1674">
        <f>SUM(L55:L56)</f>
        <v>236839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47773</v>
      </c>
      <c r="D60" s="1573">
        <v>5262</v>
      </c>
      <c r="E60" s="1573"/>
      <c r="F60" s="1573"/>
      <c r="G60" s="1573"/>
      <c r="H60" s="1573"/>
      <c r="I60" s="1574"/>
      <c r="J60" s="1574"/>
      <c r="K60" s="1678">
        <f t="shared" si="7"/>
        <v>53035</v>
      </c>
      <c r="L60" s="1573">
        <v>53067</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c r="D63" s="1573"/>
      <c r="E63" s="1573">
        <v>84817</v>
      </c>
      <c r="F63" s="1573"/>
      <c r="G63" s="1573"/>
      <c r="H63" s="1573"/>
      <c r="I63" s="1574"/>
      <c r="J63" s="1574"/>
      <c r="K63" s="1678">
        <f t="shared" si="7"/>
        <v>84817</v>
      </c>
      <c r="L63" s="1573">
        <v>90000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47773</v>
      </c>
      <c r="D65" s="1674">
        <f t="shared" ref="D65:L65" si="8">SUM(D59:D64)</f>
        <v>5262</v>
      </c>
      <c r="E65" s="1674">
        <f t="shared" si="8"/>
        <v>84817</v>
      </c>
      <c r="F65" s="1674">
        <f t="shared" si="8"/>
        <v>0</v>
      </c>
      <c r="G65" s="1674">
        <f t="shared" si="8"/>
        <v>0</v>
      </c>
      <c r="H65" s="1674">
        <f t="shared" si="8"/>
        <v>0</v>
      </c>
      <c r="I65" s="1674">
        <f t="shared" si="8"/>
        <v>0</v>
      </c>
      <c r="J65" s="1674">
        <f t="shared" si="8"/>
        <v>0</v>
      </c>
      <c r="K65" s="1674">
        <f t="shared" si="8"/>
        <v>137852</v>
      </c>
      <c r="L65" s="1674">
        <f t="shared" si="8"/>
        <v>143067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1054</v>
      </c>
      <c r="B69" s="503">
        <v>2630</v>
      </c>
      <c r="C69" s="1573"/>
      <c r="D69" s="1573"/>
      <c r="E69" s="1573">
        <v>36663</v>
      </c>
      <c r="F69" s="1573"/>
      <c r="G69" s="1573"/>
      <c r="H69" s="1573"/>
      <c r="I69" s="1574"/>
      <c r="J69" s="1574"/>
      <c r="K69" s="1678">
        <f>SUM(C69:J69)</f>
        <v>36663</v>
      </c>
      <c r="L69" s="1573">
        <v>44355</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36663</v>
      </c>
      <c r="F72" s="1674">
        <f t="shared" si="9"/>
        <v>0</v>
      </c>
      <c r="G72" s="1674">
        <f t="shared" si="9"/>
        <v>0</v>
      </c>
      <c r="H72" s="1674">
        <f t="shared" si="9"/>
        <v>0</v>
      </c>
      <c r="I72" s="1674">
        <f t="shared" si="9"/>
        <v>0</v>
      </c>
      <c r="J72" s="1674">
        <f t="shared" si="9"/>
        <v>0</v>
      </c>
      <c r="K72" s="1674">
        <f t="shared" si="9"/>
        <v>36663</v>
      </c>
      <c r="L72" s="1674">
        <f>SUM(L67:L71)</f>
        <v>44355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596734</v>
      </c>
      <c r="D74" s="1681">
        <f t="shared" ref="D74:K74" si="10">SUM(D42,D47,D53,D57,D65,D72,D73)</f>
        <v>131557</v>
      </c>
      <c r="E74" s="1681">
        <f t="shared" si="10"/>
        <v>168947</v>
      </c>
      <c r="F74" s="1681">
        <f t="shared" si="10"/>
        <v>53431</v>
      </c>
      <c r="G74" s="1681">
        <f t="shared" si="10"/>
        <v>3648</v>
      </c>
      <c r="H74" s="1681">
        <f t="shared" si="10"/>
        <v>8332</v>
      </c>
      <c r="I74" s="1681">
        <f t="shared" si="10"/>
        <v>0</v>
      </c>
      <c r="J74" s="1681">
        <f t="shared" si="10"/>
        <v>0</v>
      </c>
      <c r="K74" s="1681">
        <f t="shared" si="10"/>
        <v>962649</v>
      </c>
      <c r="L74" s="1681">
        <f>SUM(L42,L47,L53,L57,L65,L72,L73)</f>
        <v>974309</v>
      </c>
    </row>
    <row r="75" spans="1:14" s="254" customFormat="1" ht="15.75" customHeight="1" thickTop="1" thickBot="1" x14ac:dyDescent="0.25">
      <c r="A75" s="1348" t="s">
        <v>47</v>
      </c>
      <c r="B75" s="1349" t="s">
        <v>571</v>
      </c>
      <c r="C75" s="1649">
        <v>8443</v>
      </c>
      <c r="D75" s="1649"/>
      <c r="E75" s="1649"/>
      <c r="F75" s="1649">
        <v>869</v>
      </c>
      <c r="G75" s="1649"/>
      <c r="H75" s="1649"/>
      <c r="I75" s="1627"/>
      <c r="J75" s="1627"/>
      <c r="K75" s="1674">
        <f>SUM(C75:J75)</f>
        <v>9312</v>
      </c>
      <c r="L75" s="1651">
        <v>9312</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82271</v>
      </c>
      <c r="F79" s="1673"/>
      <c r="G79" s="1673"/>
      <c r="H79" s="1573"/>
      <c r="I79" s="1582"/>
      <c r="J79" s="1582"/>
      <c r="K79" s="1672">
        <f t="shared" si="11"/>
        <v>82271</v>
      </c>
      <c r="L79" s="1573">
        <v>83826</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1471</v>
      </c>
      <c r="B84" s="1385">
        <v>4100</v>
      </c>
      <c r="C84" s="1673"/>
      <c r="D84" s="1673"/>
      <c r="E84" s="1674">
        <f>SUM(E78:E83)</f>
        <v>82271</v>
      </c>
      <c r="F84" s="1673"/>
      <c r="G84" s="1673"/>
      <c r="H84" s="1674">
        <f>SUM(H78:H83)</f>
        <v>0</v>
      </c>
      <c r="I84" s="1582"/>
      <c r="J84" s="1582"/>
      <c r="K84" s="1674">
        <f>SUM(K78:K83)</f>
        <v>82271</v>
      </c>
      <c r="L84" s="1674">
        <f>SUM(L78:L83)</f>
        <v>83826</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67473</v>
      </c>
      <c r="I86" s="1582"/>
      <c r="J86" s="1582"/>
      <c r="K86" s="1681">
        <f t="shared" ref="K86:K98" si="12">H86</f>
        <v>67473</v>
      </c>
      <c r="L86" s="1626">
        <v>69450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1546</v>
      </c>
      <c r="B92" s="1385">
        <v>4200</v>
      </c>
      <c r="C92" s="1673"/>
      <c r="D92" s="1673"/>
      <c r="E92" s="1684"/>
      <c r="F92" s="1673"/>
      <c r="G92" s="1673"/>
      <c r="H92" s="1674">
        <f>SUM(H85:H91)</f>
        <v>67473</v>
      </c>
      <c r="I92" s="1582"/>
      <c r="J92" s="1582"/>
      <c r="K92" s="1681">
        <f t="shared" si="12"/>
        <v>67473</v>
      </c>
      <c r="L92" s="1674">
        <f>SUM(L85:L91)</f>
        <v>69450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1474</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1473</v>
      </c>
      <c r="B102" s="1385">
        <v>4000</v>
      </c>
      <c r="C102" s="1673"/>
      <c r="D102" s="1673"/>
      <c r="E102" s="1681">
        <f>SUM(E84,E92,E100,E101)</f>
        <v>82271</v>
      </c>
      <c r="F102" s="1673"/>
      <c r="G102" s="1673"/>
      <c r="H102" s="1681">
        <f>SUM(H84,H92,H100,H101)</f>
        <v>67473</v>
      </c>
      <c r="I102" s="1582"/>
      <c r="J102" s="1582"/>
      <c r="K102" s="1681">
        <f>SUM(K84,K92,K100,K101)</f>
        <v>149744</v>
      </c>
      <c r="L102" s="1681">
        <f>SUM(L84,L92,L100,L101)</f>
        <v>153276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2915333</v>
      </c>
      <c r="D114" s="1674">
        <f t="shared" ref="D114:K114" si="13">SUM(D33,D74,D75,D102,D112,D113)</f>
        <v>595790</v>
      </c>
      <c r="E114" s="1674">
        <f t="shared" si="13"/>
        <v>328155</v>
      </c>
      <c r="F114" s="1674">
        <f t="shared" si="13"/>
        <v>228956</v>
      </c>
      <c r="G114" s="1674">
        <f t="shared" si="13"/>
        <v>3648</v>
      </c>
      <c r="H114" s="1674">
        <f>SUM(H33,H74,H75,H102,H112,H113)</f>
        <v>214371</v>
      </c>
      <c r="I114" s="1674">
        <f t="shared" si="13"/>
        <v>0</v>
      </c>
      <c r="J114" s="1674">
        <f t="shared" si="13"/>
        <v>0</v>
      </c>
      <c r="K114" s="1674">
        <f t="shared" si="13"/>
        <v>4286253</v>
      </c>
      <c r="L114" s="1674">
        <f>SUM(L33,L74,L75,L102,L112,L113)</f>
        <v>4280324</v>
      </c>
    </row>
    <row r="115" spans="1:14" ht="13.5" thickTop="1" x14ac:dyDescent="0.2">
      <c r="A115" s="2288" t="s">
        <v>989</v>
      </c>
      <c r="B115" s="2289"/>
      <c r="C115" s="1675"/>
      <c r="D115" s="1675"/>
      <c r="E115" s="1675"/>
      <c r="F115" s="1675"/>
      <c r="G115" s="1675"/>
      <c r="H115" s="1675"/>
      <c r="I115" s="1675"/>
      <c r="J115" s="1675"/>
      <c r="K115" s="1689">
        <f>'Revenues 9-14'!C268-'Expenditures 15-22'!K114</f>
        <v>94473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f>133655-1032</f>
        <v>132623</v>
      </c>
      <c r="D124" s="1573">
        <v>9451</v>
      </c>
      <c r="E124" s="1573">
        <v>91592</v>
      </c>
      <c r="F124" s="1573">
        <v>120513</v>
      </c>
      <c r="G124" s="1573">
        <v>89000</v>
      </c>
      <c r="H124" s="1573"/>
      <c r="I124" s="1574"/>
      <c r="J124" s="1574"/>
      <c r="K124" s="1674">
        <f>SUM(C124:J124)</f>
        <v>443179</v>
      </c>
      <c r="L124" s="1573">
        <v>429072</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132623</v>
      </c>
      <c r="D127" s="1674">
        <f t="shared" ref="D127:L127" si="14">SUM(D122:D126)</f>
        <v>9451</v>
      </c>
      <c r="E127" s="1674">
        <f t="shared" si="14"/>
        <v>91592</v>
      </c>
      <c r="F127" s="1674">
        <f t="shared" si="14"/>
        <v>120513</v>
      </c>
      <c r="G127" s="1674">
        <f t="shared" si="14"/>
        <v>89000</v>
      </c>
      <c r="H127" s="1674">
        <f t="shared" si="14"/>
        <v>0</v>
      </c>
      <c r="I127" s="1674">
        <f t="shared" si="14"/>
        <v>0</v>
      </c>
      <c r="J127" s="1674">
        <f t="shared" si="14"/>
        <v>0</v>
      </c>
      <c r="K127" s="1674">
        <f t="shared" si="14"/>
        <v>443179</v>
      </c>
      <c r="L127" s="1674">
        <f t="shared" si="14"/>
        <v>429072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132623</v>
      </c>
      <c r="D129" s="1681">
        <f t="shared" ref="D129:L129" si="15">SUM(D120,D127,D128)</f>
        <v>9451</v>
      </c>
      <c r="E129" s="1681">
        <f t="shared" si="15"/>
        <v>91592</v>
      </c>
      <c r="F129" s="1681">
        <f t="shared" si="15"/>
        <v>120513</v>
      </c>
      <c r="G129" s="1681">
        <f t="shared" si="15"/>
        <v>89000</v>
      </c>
      <c r="H129" s="1681">
        <f t="shared" si="15"/>
        <v>0</v>
      </c>
      <c r="I129" s="1681">
        <f t="shared" si="15"/>
        <v>0</v>
      </c>
      <c r="J129" s="1681">
        <f t="shared" si="15"/>
        <v>0</v>
      </c>
      <c r="K129" s="1681">
        <f t="shared" si="15"/>
        <v>443179</v>
      </c>
      <c r="L129" s="1681">
        <f t="shared" si="15"/>
        <v>429072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1162</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8" t="s">
        <v>616</v>
      </c>
      <c r="B151" s="2260"/>
      <c r="C151" s="1674">
        <f>SUM(C129,C130,C139,C149,C150)</f>
        <v>132623</v>
      </c>
      <c r="D151" s="1674">
        <f t="shared" ref="D151:K151" si="16">SUM(D129,D130,D139,D149,D150)</f>
        <v>9451</v>
      </c>
      <c r="E151" s="1674">
        <f t="shared" si="16"/>
        <v>91592</v>
      </c>
      <c r="F151" s="1674">
        <f t="shared" si="16"/>
        <v>120513</v>
      </c>
      <c r="G151" s="1674">
        <f t="shared" si="16"/>
        <v>89000</v>
      </c>
      <c r="H151" s="1674">
        <f t="shared" si="16"/>
        <v>0</v>
      </c>
      <c r="I151" s="1674">
        <f t="shared" si="16"/>
        <v>0</v>
      </c>
      <c r="J151" s="1674">
        <f t="shared" si="16"/>
        <v>0</v>
      </c>
      <c r="K151" s="1674">
        <f t="shared" si="16"/>
        <v>443179</v>
      </c>
      <c r="L151" s="1674">
        <f>SUM(L129,L130,L139,L149,L150)</f>
        <v>429072</v>
      </c>
    </row>
    <row r="152" spans="1:14" ht="12.75" customHeight="1" thickTop="1" x14ac:dyDescent="0.2">
      <c r="A152" s="2281" t="s">
        <v>1170</v>
      </c>
      <c r="B152" s="2282"/>
      <c r="C152" s="1675"/>
      <c r="D152" s="1675"/>
      <c r="E152" s="1675"/>
      <c r="F152" s="1675"/>
      <c r="G152" s="1675"/>
      <c r="H152" s="1675"/>
      <c r="I152" s="1675"/>
      <c r="J152" s="1673"/>
      <c r="K152" s="1689">
        <f>'Revenues 9-14'!D268-'Expenditures 15-22'!K151</f>
        <v>32811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v>0</v>
      </c>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1162</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260016</v>
      </c>
      <c r="I169" s="1673"/>
      <c r="J169" s="1673"/>
      <c r="K169" s="1672">
        <f>SUM(C169:H169)</f>
        <v>260016</v>
      </c>
      <c r="L169" s="1695">
        <v>260016</v>
      </c>
    </row>
    <row r="170" spans="1:14" ht="33.75" customHeight="1" x14ac:dyDescent="0.2">
      <c r="A170" s="543" t="s">
        <v>1654</v>
      </c>
      <c r="B170" s="545" t="s">
        <v>31</v>
      </c>
      <c r="C170" s="1673"/>
      <c r="D170" s="1673"/>
      <c r="E170" s="1673"/>
      <c r="F170" s="1673"/>
      <c r="G170" s="1673"/>
      <c r="H170" s="1646">
        <v>305000</v>
      </c>
      <c r="I170" s="1673"/>
      <c r="J170" s="1673"/>
      <c r="K170" s="1672">
        <f>SUM(C170:J170)</f>
        <v>305000</v>
      </c>
      <c r="L170" s="1646">
        <v>305000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565516</v>
      </c>
      <c r="I172" s="1684"/>
      <c r="J172" s="1673"/>
      <c r="K172" s="1681">
        <f>SUM(K168,K169,K170,K171)</f>
        <v>565516</v>
      </c>
      <c r="L172" s="1681">
        <f>SUM(L168,L169,L170,L171)</f>
        <v>565516</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565516</v>
      </c>
      <c r="I174" s="1684"/>
      <c r="J174" s="1673"/>
      <c r="K174" s="1681">
        <f>SUM(K160,K172,K173)</f>
        <v>565516</v>
      </c>
      <c r="L174" s="1681">
        <f>SUM(L160,L172,L173)</f>
        <v>565516</v>
      </c>
    </row>
    <row r="175" spans="1:14" ht="13.5" thickTop="1" x14ac:dyDescent="0.2">
      <c r="A175" s="2288" t="s">
        <v>989</v>
      </c>
      <c r="B175" s="2289"/>
      <c r="C175" s="1673"/>
      <c r="D175" s="1673"/>
      <c r="E175" s="1673"/>
      <c r="F175" s="1673"/>
      <c r="G175" s="1673"/>
      <c r="H175" s="1675"/>
      <c r="I175" s="1673"/>
      <c r="J175" s="1673"/>
      <c r="K175" s="1689">
        <f>'Revenues 9-14'!E268-'Expenditures 15-22'!K174</f>
        <v>4083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85327</v>
      </c>
      <c r="D182" s="1573"/>
      <c r="E182" s="1573">
        <v>76333</v>
      </c>
      <c r="F182" s="1573">
        <v>27379</v>
      </c>
      <c r="G182" s="1573"/>
      <c r="H182" s="1573">
        <v>74</v>
      </c>
      <c r="I182" s="1574"/>
      <c r="J182" s="1574"/>
      <c r="K182" s="1672">
        <f>SUM(C182:J182)</f>
        <v>189113</v>
      </c>
      <c r="L182" s="1573">
        <v>217036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85327</v>
      </c>
      <c r="D184" s="1681">
        <f t="shared" ref="D184:J184" si="17">SUM(D180,D182,D183)</f>
        <v>0</v>
      </c>
      <c r="E184" s="1681">
        <f t="shared" si="17"/>
        <v>76333</v>
      </c>
      <c r="F184" s="1681">
        <f t="shared" si="17"/>
        <v>27379</v>
      </c>
      <c r="G184" s="1681">
        <f t="shared" si="17"/>
        <v>0</v>
      </c>
      <c r="H184" s="1681">
        <f t="shared" si="17"/>
        <v>74</v>
      </c>
      <c r="I184" s="1681">
        <f t="shared" si="17"/>
        <v>0</v>
      </c>
      <c r="J184" s="1681">
        <f t="shared" si="17"/>
        <v>0</v>
      </c>
      <c r="K184" s="1681">
        <f>SUM(K180,K182,K183)</f>
        <v>189113</v>
      </c>
      <c r="L184" s="1681">
        <f>SUM(L180, L182:L183)</f>
        <v>217036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1162</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1655</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85327</v>
      </c>
      <c r="D210" s="1674">
        <f>SUM(D184,D185)</f>
        <v>0</v>
      </c>
      <c r="E210" s="1674">
        <f>SUM(E184,E185,E196)</f>
        <v>76333</v>
      </c>
      <c r="F210" s="1674">
        <f>SUM(F184,F185)</f>
        <v>27379</v>
      </c>
      <c r="G210" s="1674">
        <f>SUM(G184,G185)</f>
        <v>0</v>
      </c>
      <c r="H210" s="1674">
        <f>SUM(H184,H185,H196,H208,H209)</f>
        <v>74</v>
      </c>
      <c r="I210" s="1674">
        <f>SUM(I184,I185)</f>
        <v>0</v>
      </c>
      <c r="J210" s="1674">
        <f>SUM(J184,J185)</f>
        <v>0</v>
      </c>
      <c r="K210" s="1672">
        <f>SUM(K184,K185,K196,K208,K209)</f>
        <v>189113</v>
      </c>
      <c r="L210" s="1674">
        <f>SUM(L184,L185,L196,L208,L209)</f>
        <v>217036</v>
      </c>
    </row>
    <row r="211" spans="1:14" ht="13.5" thickTop="1" x14ac:dyDescent="0.2">
      <c r="A211" s="2288" t="s">
        <v>989</v>
      </c>
      <c r="B211" s="2289"/>
      <c r="C211" s="1675"/>
      <c r="D211" s="1675"/>
      <c r="E211" s="1675"/>
      <c r="F211" s="1675"/>
      <c r="G211" s="1675"/>
      <c r="H211" s="1675"/>
      <c r="I211" s="1673"/>
      <c r="J211" s="1673"/>
      <c r="K211" s="1689">
        <f>'Revenues 9-14'!F268-'Expenditures 15-22'!K210</f>
        <v>17235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22020</v>
      </c>
      <c r="E215" s="1673"/>
      <c r="F215" s="1673"/>
      <c r="G215" s="1673"/>
      <c r="H215" s="1673"/>
      <c r="I215" s="1673"/>
      <c r="J215" s="1673"/>
      <c r="K215" s="1672">
        <f>D215</f>
        <v>22020</v>
      </c>
      <c r="L215" s="1573">
        <v>22008</v>
      </c>
    </row>
    <row r="216" spans="1:14" x14ac:dyDescent="0.2">
      <c r="A216" s="1274" t="s">
        <v>162</v>
      </c>
      <c r="B216" s="503" t="s">
        <v>961</v>
      </c>
      <c r="C216" s="1673"/>
      <c r="D216" s="1574">
        <v>3359</v>
      </c>
      <c r="E216" s="1673"/>
      <c r="F216" s="1673"/>
      <c r="G216" s="1673"/>
      <c r="H216" s="1673"/>
      <c r="I216" s="1673"/>
      <c r="J216" s="1673"/>
      <c r="K216" s="1672">
        <f t="shared" ref="K216:K228" si="19">D216</f>
        <v>3359</v>
      </c>
      <c r="L216" s="1573">
        <v>3359</v>
      </c>
    </row>
    <row r="217" spans="1:14" x14ac:dyDescent="0.2">
      <c r="A217" s="1274" t="s">
        <v>163</v>
      </c>
      <c r="B217" s="503">
        <v>1200</v>
      </c>
      <c r="C217" s="1673"/>
      <c r="D217" s="1573">
        <v>37372</v>
      </c>
      <c r="E217" s="1673"/>
      <c r="F217" s="1673"/>
      <c r="G217" s="1673"/>
      <c r="H217" s="1673"/>
      <c r="I217" s="1673"/>
      <c r="J217" s="1673"/>
      <c r="K217" s="1672">
        <f t="shared" si="19"/>
        <v>37372</v>
      </c>
      <c r="L217" s="1573">
        <v>37515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c r="E219" s="1673"/>
      <c r="F219" s="1673"/>
      <c r="G219" s="1673"/>
      <c r="H219" s="1673"/>
      <c r="I219" s="1673"/>
      <c r="J219" s="1673"/>
      <c r="K219" s="1672">
        <f t="shared" si="19"/>
        <v>0</v>
      </c>
      <c r="L219" s="1573">
        <v>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5280</v>
      </c>
      <c r="E223" s="1673"/>
      <c r="F223" s="1673"/>
      <c r="G223" s="1673"/>
      <c r="H223" s="1673"/>
      <c r="I223" s="1673"/>
      <c r="J223" s="1673"/>
      <c r="K223" s="1672">
        <f t="shared" si="19"/>
        <v>5280</v>
      </c>
      <c r="L223" s="1573">
        <v>5265</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259</v>
      </c>
      <c r="E226" s="1673"/>
      <c r="F226" s="1673"/>
      <c r="G226" s="1673"/>
      <c r="H226" s="1673"/>
      <c r="I226" s="1673"/>
      <c r="J226" s="1673"/>
      <c r="K226" s="1672">
        <f t="shared" si="19"/>
        <v>259</v>
      </c>
      <c r="L226" s="1573">
        <v>0</v>
      </c>
    </row>
    <row r="227" spans="1:12" x14ac:dyDescent="0.2">
      <c r="A227" s="1274" t="s">
        <v>1080</v>
      </c>
      <c r="B227" s="503">
        <v>1800</v>
      </c>
      <c r="C227" s="1673"/>
      <c r="D227" s="1573"/>
      <c r="E227" s="1673"/>
      <c r="F227" s="1673"/>
      <c r="G227" s="1673"/>
      <c r="H227" s="1673"/>
      <c r="I227" s="1673"/>
      <c r="J227" s="1673"/>
      <c r="K227" s="1672">
        <f t="shared" si="19"/>
        <v>0</v>
      </c>
      <c r="L227" s="1573">
        <v>0</v>
      </c>
    </row>
    <row r="228" spans="1:12" x14ac:dyDescent="0.2">
      <c r="A228" s="1274" t="s">
        <v>1081</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68290</v>
      </c>
      <c r="E229" s="1673"/>
      <c r="F229" s="1673"/>
      <c r="G229" s="1673"/>
      <c r="H229" s="1673"/>
      <c r="I229" s="1673"/>
      <c r="J229" s="1673"/>
      <c r="K229" s="1674">
        <f>SUM(K215:K228)</f>
        <v>68290</v>
      </c>
      <c r="L229" s="1674">
        <f>SUM(L215:L228)</f>
        <v>68147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703</v>
      </c>
      <c r="E232" s="1673"/>
      <c r="F232" s="1673"/>
      <c r="G232" s="1673"/>
      <c r="H232" s="1673"/>
      <c r="I232" s="1673"/>
      <c r="J232" s="1673"/>
      <c r="K232" s="1672">
        <f t="shared" ref="K232:K237" si="20">D232</f>
        <v>703</v>
      </c>
      <c r="L232" s="1573">
        <v>703</v>
      </c>
    </row>
    <row r="233" spans="1:12" x14ac:dyDescent="0.2">
      <c r="A233" s="1274" t="s">
        <v>1083</v>
      </c>
      <c r="B233" s="503">
        <v>2120</v>
      </c>
      <c r="C233" s="1673"/>
      <c r="D233" s="1573">
        <v>2161</v>
      </c>
      <c r="E233" s="1673"/>
      <c r="F233" s="1673"/>
      <c r="G233" s="1673"/>
      <c r="H233" s="1673"/>
      <c r="I233" s="1673"/>
      <c r="J233" s="1673"/>
      <c r="K233" s="1672">
        <f t="shared" si="20"/>
        <v>2161</v>
      </c>
      <c r="L233" s="1573">
        <v>2221</v>
      </c>
    </row>
    <row r="234" spans="1:12" x14ac:dyDescent="0.2">
      <c r="A234" s="1274" t="s">
        <v>196</v>
      </c>
      <c r="B234" s="503">
        <v>2130</v>
      </c>
      <c r="C234" s="1673"/>
      <c r="D234" s="1573">
        <v>3503</v>
      </c>
      <c r="E234" s="1673"/>
      <c r="F234" s="1673"/>
      <c r="G234" s="1673"/>
      <c r="H234" s="1673"/>
      <c r="I234" s="1673"/>
      <c r="J234" s="1673"/>
      <c r="K234" s="1672">
        <f t="shared" si="20"/>
        <v>3503</v>
      </c>
      <c r="L234" s="1573">
        <v>3503</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666</v>
      </c>
      <c r="E236" s="1673"/>
      <c r="F236" s="1673"/>
      <c r="G236" s="1673"/>
      <c r="H236" s="1673"/>
      <c r="I236" s="1673"/>
      <c r="J236" s="1673"/>
      <c r="K236" s="1672">
        <f t="shared" si="20"/>
        <v>666</v>
      </c>
      <c r="L236" s="1573">
        <v>666</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7033</v>
      </c>
      <c r="E238" s="1673"/>
      <c r="F238" s="1673"/>
      <c r="G238" s="1673"/>
      <c r="H238" s="1673"/>
      <c r="I238" s="1673"/>
      <c r="J238" s="1673"/>
      <c r="K238" s="1674">
        <f>SUM(K232:K237)</f>
        <v>7033</v>
      </c>
      <c r="L238" s="1674">
        <f>SUM(L232:L237)</f>
        <v>7093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6661</v>
      </c>
      <c r="E240" s="1673"/>
      <c r="F240" s="1673"/>
      <c r="G240" s="1673"/>
      <c r="H240" s="1673"/>
      <c r="I240" s="1673"/>
      <c r="J240" s="1673"/>
      <c r="K240" s="1678">
        <f>D240</f>
        <v>6661</v>
      </c>
      <c r="L240" s="1586">
        <v>0</v>
      </c>
    </row>
    <row r="241" spans="1:12" x14ac:dyDescent="0.2">
      <c r="A241" s="1274" t="s">
        <v>810</v>
      </c>
      <c r="B241" s="503">
        <v>2220</v>
      </c>
      <c r="C241" s="1673"/>
      <c r="D241" s="1573"/>
      <c r="E241" s="1673"/>
      <c r="F241" s="1673"/>
      <c r="G241" s="1673"/>
      <c r="H241" s="1673"/>
      <c r="I241" s="1673"/>
      <c r="J241" s="1673"/>
      <c r="K241" s="1678">
        <f>D241</f>
        <v>0</v>
      </c>
      <c r="L241" s="1573">
        <v>6660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6661</v>
      </c>
      <c r="E243" s="1673"/>
      <c r="F243" s="1673"/>
      <c r="G243" s="1673"/>
      <c r="H243" s="1673"/>
      <c r="I243" s="1673"/>
      <c r="J243" s="1673"/>
      <c r="K243" s="1674">
        <f>SUM(K240:K242)</f>
        <v>6661</v>
      </c>
      <c r="L243" s="1674">
        <f>SUM(L240:L242)</f>
        <v>6660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666</v>
      </c>
      <c r="E245" s="1673"/>
      <c r="F245" s="1673"/>
      <c r="G245" s="1673"/>
      <c r="H245" s="1673"/>
      <c r="I245" s="1673"/>
      <c r="J245" s="1673"/>
      <c r="K245" s="1678">
        <f>D245</f>
        <v>666</v>
      </c>
      <c r="L245" s="1586">
        <v>676</v>
      </c>
    </row>
    <row r="246" spans="1:12" x14ac:dyDescent="0.2">
      <c r="A246" s="1274" t="s">
        <v>813</v>
      </c>
      <c r="B246" s="503">
        <v>2320</v>
      </c>
      <c r="C246" s="1673"/>
      <c r="D246" s="1573">
        <v>3848</v>
      </c>
      <c r="E246" s="1673"/>
      <c r="F246" s="1673"/>
      <c r="G246" s="1673"/>
      <c r="H246" s="1673"/>
      <c r="I246" s="1673"/>
      <c r="J246" s="1673"/>
      <c r="K246" s="1678">
        <f t="shared" ref="K246:K256" si="21">D246</f>
        <v>3848</v>
      </c>
      <c r="L246" s="1573">
        <v>3847</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1785</v>
      </c>
      <c r="B249" s="557" t="s">
        <v>280</v>
      </c>
      <c r="C249" s="1673"/>
      <c r="D249" s="1579"/>
      <c r="E249" s="1673"/>
      <c r="F249" s="1673"/>
      <c r="G249" s="1673"/>
      <c r="H249" s="1673"/>
      <c r="I249" s="1673"/>
      <c r="J249" s="1673"/>
      <c r="K249" s="1678">
        <f t="shared" si="21"/>
        <v>0</v>
      </c>
      <c r="L249" s="1573">
        <v>0</v>
      </c>
    </row>
    <row r="250" spans="1:12" x14ac:dyDescent="0.2">
      <c r="A250" s="1275" t="s">
        <v>1786</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4514</v>
      </c>
      <c r="E257" s="1673"/>
      <c r="F257" s="1673"/>
      <c r="G257" s="1673"/>
      <c r="H257" s="1673"/>
      <c r="I257" s="1673"/>
      <c r="J257" s="1673"/>
      <c r="K257" s="1674">
        <f>SUM(K245:K256)</f>
        <v>4514</v>
      </c>
      <c r="L257" s="1674">
        <f>SUM(L245:L256)</f>
        <v>4523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10690</v>
      </c>
      <c r="E259" s="1673"/>
      <c r="F259" s="1673"/>
      <c r="G259" s="1673"/>
      <c r="H259" s="1673"/>
      <c r="I259" s="1673"/>
      <c r="J259" s="1673"/>
      <c r="K259" s="1678">
        <f>D259</f>
        <v>10690</v>
      </c>
      <c r="L259" s="1586">
        <v>10690</v>
      </c>
    </row>
    <row r="260" spans="1:14" s="493" customFormat="1" x14ac:dyDescent="0.2">
      <c r="A260" s="1292" t="s">
        <v>1784</v>
      </c>
      <c r="B260" s="512">
        <v>2490</v>
      </c>
      <c r="C260" s="1673"/>
      <c r="D260" s="1573">
        <v>868</v>
      </c>
      <c r="E260" s="1673"/>
      <c r="F260" s="1673"/>
      <c r="G260" s="1673"/>
      <c r="H260" s="1673"/>
      <c r="I260" s="1673"/>
      <c r="J260" s="1673"/>
      <c r="K260" s="1678">
        <f>D260</f>
        <v>868</v>
      </c>
      <c r="L260" s="1573">
        <v>868</v>
      </c>
      <c r="M260" s="205"/>
      <c r="N260" s="205"/>
    </row>
    <row r="261" spans="1:14" ht="12.75" customHeight="1" thickBot="1" x14ac:dyDescent="0.25">
      <c r="A261" s="1394" t="s">
        <v>261</v>
      </c>
      <c r="B261" s="1399" t="s">
        <v>34</v>
      </c>
      <c r="C261" s="1673"/>
      <c r="D261" s="1674">
        <f>SUM(D259:D260)</f>
        <v>11558</v>
      </c>
      <c r="E261" s="1673"/>
      <c r="F261" s="1673"/>
      <c r="G261" s="1673"/>
      <c r="H261" s="1673"/>
      <c r="I261" s="1673"/>
      <c r="J261" s="1673"/>
      <c r="K261" s="1674">
        <f>SUM(K259:K260)</f>
        <v>11558</v>
      </c>
      <c r="L261" s="1674">
        <f>SUM(L259:L260)</f>
        <v>11558</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7711</v>
      </c>
      <c r="E264" s="1673"/>
      <c r="F264" s="1673"/>
      <c r="G264" s="1673"/>
      <c r="H264" s="1673"/>
      <c r="I264" s="1673"/>
      <c r="J264" s="1673"/>
      <c r="K264" s="1678">
        <f t="shared" ref="K264:K269" si="22">D264</f>
        <v>7711</v>
      </c>
      <c r="L264" s="1573">
        <v>7711</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21042</v>
      </c>
      <c r="E266" s="1673"/>
      <c r="F266" s="1673"/>
      <c r="G266" s="1673"/>
      <c r="H266" s="1673"/>
      <c r="I266" s="1673"/>
      <c r="J266" s="1673"/>
      <c r="K266" s="1678">
        <f t="shared" si="22"/>
        <v>21042</v>
      </c>
      <c r="L266" s="1573">
        <v>21051</v>
      </c>
    </row>
    <row r="267" spans="1:14" x14ac:dyDescent="0.2">
      <c r="A267" s="1274" t="s">
        <v>947</v>
      </c>
      <c r="B267" s="503">
        <v>2550</v>
      </c>
      <c r="C267" s="1673"/>
      <c r="D267" s="1573">
        <v>6357</v>
      </c>
      <c r="E267" s="1673"/>
      <c r="F267" s="1673"/>
      <c r="G267" s="1673"/>
      <c r="H267" s="1673"/>
      <c r="I267" s="1673"/>
      <c r="J267" s="1673"/>
      <c r="K267" s="1678">
        <f t="shared" si="22"/>
        <v>6357</v>
      </c>
      <c r="L267" s="1573">
        <v>6362</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35110</v>
      </c>
      <c r="E270" s="1673"/>
      <c r="F270" s="1673"/>
      <c r="G270" s="1673"/>
      <c r="H270" s="1673"/>
      <c r="I270" s="1673"/>
      <c r="J270" s="1673"/>
      <c r="K270" s="1674">
        <f>SUM(K263:K269)</f>
        <v>35110</v>
      </c>
      <c r="L270" s="1674">
        <f>SUM(L263:L269)</f>
        <v>35124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1054</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64876</v>
      </c>
      <c r="E279" s="1673"/>
      <c r="F279" s="1673"/>
      <c r="G279" s="1673"/>
      <c r="H279" s="1673"/>
      <c r="I279" s="1673"/>
      <c r="J279" s="1673"/>
      <c r="K279" s="1681">
        <f>SUM(K238,K243,K257,K261,K270,K277,K278)</f>
        <v>64876</v>
      </c>
      <c r="L279" s="1681">
        <f>SUM(L238,L243,L257,L261,L270,L277,L278)</f>
        <v>64958</v>
      </c>
    </row>
    <row r="280" spans="1:12" ht="15.75" customHeight="1" thickTop="1" thickBot="1" x14ac:dyDescent="0.25">
      <c r="A280" s="1362" t="s">
        <v>870</v>
      </c>
      <c r="B280" s="1351">
        <v>3000</v>
      </c>
      <c r="C280" s="1673"/>
      <c r="D280" s="1651">
        <v>647</v>
      </c>
      <c r="E280" s="1673"/>
      <c r="F280" s="1673"/>
      <c r="G280" s="1673"/>
      <c r="H280" s="1673"/>
      <c r="I280" s="1673"/>
      <c r="J280" s="1673"/>
      <c r="K280" s="1687">
        <f>D280</f>
        <v>647</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1162</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9" t="s">
        <v>502</v>
      </c>
      <c r="B295" s="2280"/>
      <c r="C295" s="1673"/>
      <c r="D295" s="1674">
        <f>SUM(D229,D279,D280,D285)</f>
        <v>133813</v>
      </c>
      <c r="E295" s="1673"/>
      <c r="F295" s="1673"/>
      <c r="G295" s="1673"/>
      <c r="H295" s="1674">
        <f>H293</f>
        <v>0</v>
      </c>
      <c r="I295" s="1673"/>
      <c r="J295" s="1673"/>
      <c r="K295" s="1674">
        <f>SUM(K229,K279,K280,K285,K293,K294)</f>
        <v>133813</v>
      </c>
      <c r="L295" s="1674">
        <f>SUM(L229,L279,L280,L285,L293,L294)</f>
        <v>133105</v>
      </c>
    </row>
    <row r="296" spans="1:14" ht="13.5" thickTop="1" x14ac:dyDescent="0.2">
      <c r="A296" s="2288" t="s">
        <v>989</v>
      </c>
      <c r="B296" s="2289"/>
      <c r="C296" s="1673"/>
      <c r="D296" s="1675"/>
      <c r="E296" s="1673"/>
      <c r="F296" s="1673"/>
      <c r="G296" s="1673"/>
      <c r="H296" s="1707"/>
      <c r="I296" s="1673"/>
      <c r="J296" s="1673"/>
      <c r="K296" s="1689">
        <f>'Revenues 9-14'!G268-'Expenditures 15-22'!K295</f>
        <v>6641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37880</v>
      </c>
      <c r="H301" s="1573"/>
      <c r="I301" s="1574"/>
      <c r="J301" s="1574"/>
      <c r="K301" s="1672">
        <f>SUM(C301:J301)</f>
        <v>37880</v>
      </c>
      <c r="L301" s="1574">
        <v>37880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37880</v>
      </c>
      <c r="H303" s="1681">
        <f t="shared" si="23"/>
        <v>0</v>
      </c>
      <c r="I303" s="1681">
        <f t="shared" si="23"/>
        <v>0</v>
      </c>
      <c r="J303" s="1681">
        <f t="shared" si="23"/>
        <v>0</v>
      </c>
      <c r="K303" s="1681">
        <f t="shared" si="23"/>
        <v>37880</v>
      </c>
      <c r="L303" s="1681">
        <f t="shared" si="23"/>
        <v>37880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37880</v>
      </c>
      <c r="H312" s="1674">
        <f>SUM(H303,H310)</f>
        <v>0</v>
      </c>
      <c r="I312" s="1674">
        <f>SUM(I303)</f>
        <v>0</v>
      </c>
      <c r="J312" s="1674">
        <f>SUM(J303)</f>
        <v>0</v>
      </c>
      <c r="K312" s="1674">
        <f>SUM(K303,K310,K311)</f>
        <v>37880</v>
      </c>
      <c r="L312" s="1674">
        <f>SUM(L303,L310,L311)</f>
        <v>37880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-33287</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1785</v>
      </c>
      <c r="B320" s="568" t="s">
        <v>280</v>
      </c>
      <c r="C320" s="1574"/>
      <c r="D320" s="1574"/>
      <c r="E320" s="1574">
        <v>34552</v>
      </c>
      <c r="F320" s="1574"/>
      <c r="G320" s="1574"/>
      <c r="H320" s="1574"/>
      <c r="I320" s="1574"/>
      <c r="J320" s="1574"/>
      <c r="K320" s="1672">
        <f t="shared" ref="K320:K327" si="24">SUM(C320:J320)</f>
        <v>34552</v>
      </c>
      <c r="L320" s="1574">
        <v>34552</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38363</v>
      </c>
      <c r="F322" s="1574"/>
      <c r="G322" s="1574"/>
      <c r="H322" s="1574"/>
      <c r="I322" s="1574"/>
      <c r="J322" s="1574"/>
      <c r="K322" s="1672">
        <f t="shared" si="24"/>
        <v>38363</v>
      </c>
      <c r="L322" s="1574">
        <v>38363</v>
      </c>
      <c r="M322" s="539"/>
      <c r="N322" s="539"/>
    </row>
    <row r="323" spans="1:14" s="548" customFormat="1" x14ac:dyDescent="0.2">
      <c r="A323" s="1289" t="s">
        <v>697</v>
      </c>
      <c r="B323" s="567" t="s">
        <v>283</v>
      </c>
      <c r="C323" s="1574">
        <v>19866</v>
      </c>
      <c r="D323" s="1574"/>
      <c r="E323" s="1574"/>
      <c r="F323" s="1574"/>
      <c r="G323" s="1574"/>
      <c r="H323" s="1574"/>
      <c r="I323" s="1574"/>
      <c r="J323" s="1574"/>
      <c r="K323" s="1672">
        <f t="shared" si="24"/>
        <v>19866</v>
      </c>
      <c r="L323" s="1574">
        <v>21223</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5573</v>
      </c>
      <c r="F325" s="1574"/>
      <c r="G325" s="1574"/>
      <c r="H325" s="1574"/>
      <c r="I325" s="1574"/>
      <c r="J325" s="1574"/>
      <c r="K325" s="1672">
        <f t="shared" si="24"/>
        <v>5573</v>
      </c>
      <c r="L325" s="1574">
        <v>6000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18891</v>
      </c>
      <c r="F327" s="1574"/>
      <c r="G327" s="1574"/>
      <c r="H327" s="1574"/>
      <c r="I327" s="1574"/>
      <c r="J327" s="1574"/>
      <c r="K327" s="1672">
        <f t="shared" si="24"/>
        <v>18891</v>
      </c>
      <c r="L327" s="1574">
        <v>18891</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v>0</v>
      </c>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19866</v>
      </c>
      <c r="D330" s="1674">
        <f t="shared" ref="D330:J330" si="25">SUM(D319:D329)</f>
        <v>0</v>
      </c>
      <c r="E330" s="1674">
        <f t="shared" si="25"/>
        <v>97379</v>
      </c>
      <c r="F330" s="1674">
        <f t="shared" si="25"/>
        <v>0</v>
      </c>
      <c r="G330" s="1674">
        <f t="shared" si="25"/>
        <v>0</v>
      </c>
      <c r="H330" s="1674">
        <f t="shared" si="25"/>
        <v>0</v>
      </c>
      <c r="I330" s="1674">
        <f t="shared" si="25"/>
        <v>0</v>
      </c>
      <c r="J330" s="1674">
        <f t="shared" si="25"/>
        <v>0</v>
      </c>
      <c r="K330" s="1674">
        <f>SUM(K319:K329)</f>
        <v>117245</v>
      </c>
      <c r="L330" s="1674">
        <f>SUM(L319:L329)</f>
        <v>119029</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1162</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19866</v>
      </c>
      <c r="D342" s="1674">
        <f>SUM(D330)</f>
        <v>0</v>
      </c>
      <c r="E342" s="1674">
        <f>SUM(E330)</f>
        <v>97379</v>
      </c>
      <c r="F342" s="1674">
        <f>SUM(F330)</f>
        <v>0</v>
      </c>
      <c r="G342" s="1674">
        <f>SUM(G330)</f>
        <v>0</v>
      </c>
      <c r="H342" s="1674">
        <f>SUM(H330,H334,H340)</f>
        <v>0</v>
      </c>
      <c r="I342" s="1674">
        <f>SUM(I330)</f>
        <v>0</v>
      </c>
      <c r="J342" s="1674">
        <f>SUM(J330)</f>
        <v>0</v>
      </c>
      <c r="K342" s="1674">
        <f>SUM(K330,K334,K340)</f>
        <v>117245</v>
      </c>
      <c r="L342" s="1681">
        <f>SUM(L330,L334,L340,L341)</f>
        <v>119029</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7696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894</v>
      </c>
      <c r="F348" s="1573"/>
      <c r="G348" s="1573">
        <v>52274</v>
      </c>
      <c r="H348" s="1573"/>
      <c r="I348" s="1574"/>
      <c r="J348" s="1574"/>
      <c r="K348" s="1672">
        <f>SUM(C348:J348)</f>
        <v>53168</v>
      </c>
      <c r="L348" s="1573">
        <v>53168</v>
      </c>
    </row>
    <row r="349" spans="1:14" x14ac:dyDescent="0.2">
      <c r="A349" s="1274" t="s">
        <v>195</v>
      </c>
      <c r="B349" s="503">
        <v>2540</v>
      </c>
      <c r="C349" s="1573"/>
      <c r="D349" s="1573"/>
      <c r="E349" s="1573">
        <v>27236</v>
      </c>
      <c r="F349" s="1573"/>
      <c r="G349" s="1573"/>
      <c r="H349" s="1573"/>
      <c r="I349" s="1574"/>
      <c r="J349" s="1574"/>
      <c r="K349" s="1672">
        <f>SUM(C349:J349)</f>
        <v>27236</v>
      </c>
      <c r="L349" s="1573">
        <v>27237</v>
      </c>
    </row>
    <row r="350" spans="1:14" ht="12.75" customHeight="1" thickBot="1" x14ac:dyDescent="0.25">
      <c r="A350" s="1380" t="s">
        <v>714</v>
      </c>
      <c r="B350" s="1381" t="s">
        <v>35</v>
      </c>
      <c r="C350" s="1674">
        <f>SUM(C348:C349)</f>
        <v>0</v>
      </c>
      <c r="D350" s="1674">
        <f t="shared" ref="D350:L350" si="26">SUM(D348:D349)</f>
        <v>0</v>
      </c>
      <c r="E350" s="1674">
        <f t="shared" si="26"/>
        <v>28130</v>
      </c>
      <c r="F350" s="1674">
        <f t="shared" si="26"/>
        <v>0</v>
      </c>
      <c r="G350" s="1674">
        <f t="shared" si="26"/>
        <v>52274</v>
      </c>
      <c r="H350" s="1674">
        <f t="shared" si="26"/>
        <v>0</v>
      </c>
      <c r="I350" s="1674">
        <f t="shared" si="26"/>
        <v>0</v>
      </c>
      <c r="J350" s="1674">
        <f t="shared" si="26"/>
        <v>0</v>
      </c>
      <c r="K350" s="1674">
        <f t="shared" si="26"/>
        <v>80404</v>
      </c>
      <c r="L350" s="1674">
        <f t="shared" si="26"/>
        <v>80405</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28130</v>
      </c>
      <c r="F352" s="1674">
        <f t="shared" si="27"/>
        <v>0</v>
      </c>
      <c r="G352" s="1674">
        <f t="shared" si="27"/>
        <v>52274</v>
      </c>
      <c r="H352" s="1674">
        <f t="shared" si="27"/>
        <v>0</v>
      </c>
      <c r="I352" s="1674">
        <f t="shared" si="27"/>
        <v>0</v>
      </c>
      <c r="J352" s="1674">
        <f t="shared" si="27"/>
        <v>0</v>
      </c>
      <c r="K352" s="1674">
        <f t="shared" si="27"/>
        <v>80404</v>
      </c>
      <c r="L352" s="1674">
        <f t="shared" si="27"/>
        <v>80405</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v>0</v>
      </c>
    </row>
    <row r="355" spans="1:14" ht="12.75" customHeight="1" x14ac:dyDescent="0.2">
      <c r="A355" s="1283" t="s">
        <v>1828</v>
      </c>
      <c r="B355" s="562" t="s">
        <v>1821</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28130</v>
      </c>
      <c r="F367" s="1674">
        <f t="shared" si="28"/>
        <v>0</v>
      </c>
      <c r="G367" s="1674">
        <f t="shared" si="28"/>
        <v>52274</v>
      </c>
      <c r="H367" s="1674">
        <f t="shared" si="28"/>
        <v>0</v>
      </c>
      <c r="I367" s="1674">
        <f t="shared" si="28"/>
        <v>0</v>
      </c>
      <c r="J367" s="1674">
        <f t="shared" si="28"/>
        <v>0</v>
      </c>
      <c r="K367" s="1674">
        <f t="shared" si="28"/>
        <v>80404</v>
      </c>
      <c r="L367" s="1674">
        <f t="shared" si="28"/>
        <v>80405</v>
      </c>
    </row>
    <row r="368" spans="1:14" ht="13.5" thickTop="1" x14ac:dyDescent="0.2">
      <c r="A368" s="2288" t="s">
        <v>989</v>
      </c>
      <c r="B368" s="2289"/>
      <c r="C368" s="1694"/>
      <c r="D368" s="1694"/>
      <c r="E368" s="1677"/>
      <c r="F368" s="1677"/>
      <c r="G368" s="1677"/>
      <c r="H368" s="1677"/>
      <c r="I368" s="1677"/>
      <c r="J368" s="1676"/>
      <c r="K368" s="1672">
        <f>'Revenues 9-14'!K268-'Expenditures 15-22'!K367</f>
        <v>-23888</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1"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www.w3.org/XML/1998/namespace"/>
    <ds:schemaRef ds:uri="4d435f69-8686-490b-bd6d-b153bf22ab50"/>
    <ds:schemaRef ds:uri="d21dc803-237d-4c68-8692-8d731fd29118"/>
    <ds:schemaRef ds:uri="http://schemas.microsoft.com/office/2006/documentManagement/types"/>
    <ds:schemaRef ds:uri="http://purl.org/dc/dcmitype/"/>
    <ds:schemaRef ds:uri="http://schemas.microsoft.com/sharepoint/v3"/>
    <ds:schemaRef ds:uri="http://purl.org/dc/elements/1.1/"/>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2020-10-14T16:15:47Z</cp:lastPrinted>
  <dcterms:created xsi:type="dcterms:W3CDTF">2003-10-29T19:06:34Z</dcterms:created>
  <dcterms:modified xsi:type="dcterms:W3CDTF">2020-10-18T18:30:55Z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