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924A84F-7B73-42BB-9C0C-E54A3C1C534B}" xr6:coauthVersionLast="36" xr6:coauthVersionMax="36" xr10:uidLastSave="{00000000-0000-0000-0000-000000000000}"/>
  <bookViews>
    <workbookView xWindow="1908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Finding 2020-00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B31"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27" i="183" l="1"/>
  <c r="F26" i="183"/>
  <c r="F25" i="183"/>
  <c r="F24" i="183"/>
  <c r="F23" i="183"/>
  <c r="F22" i="183"/>
  <c r="F21"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28" i="183" l="1"/>
  <c r="A15" i="183"/>
  <c r="D82" i="36" l="1"/>
  <c r="F28" i="183"/>
  <c r="E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E19" i="184"/>
  <c r="H12" i="184"/>
  <c r="H19" i="184" s="1"/>
  <c r="L20" i="184" s="1"/>
  <c r="F34" i="34"/>
  <c r="B7826" i="106" s="1"/>
  <c r="D7826"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N57" i="184"/>
  <c r="N68" i="184" s="1"/>
  <c r="E68" i="184"/>
  <c r="E367" i="29"/>
  <c r="B3635" i="106"/>
  <c r="L16" i="11"/>
  <c r="B2061" i="106" s="1"/>
  <c r="D2061" i="106" s="1"/>
  <c r="L114" i="29"/>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F8" i="4"/>
  <c r="F10" i="4" s="1"/>
  <c r="B4125" i="106" s="1"/>
  <c r="D41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<sst xmlns="http://schemas.openxmlformats.org/spreadsheetml/2006/main" count="5212" uniqueCount="2120">
  <si>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</si>
  <si>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</si>
  <si>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</si>
  <si>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</si>
  <si>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</si>
  <si>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</si>
  <si>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</si>
  <si>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</si>
  <si>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</si>
  <si>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</si>
  <si>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</si>
  <si>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</si>
  <si>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</si>
  <si>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</si>
  <si>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</si>
  <si>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</si>
  <si>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</si>
  <si>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</si>
  <si>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</si>
  <si>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</si>
  <si>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</si>
  <si>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</si>
  <si>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</si>
  <si>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</si>
  <si>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</si>
  <si>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</si>
  <si>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</si>
  <si>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</si>
  <si>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</si>
  <si>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</si>
  <si>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</si>
  <si>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</si>
  <si>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</si>
  <si>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</si>
  <si>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</si>
  <si>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</si>
  <si>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</si>
  <si>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</si>
  <si>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</si>
  <si>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</si>
  <si>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</si>
  <si>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</si>
  <si>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</si>
  <si>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</si>
  <si>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</si>
  <si>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</si>
  <si>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</si>
  <si>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</si>
  <si>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</si>
  <si>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</si>
  <si>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</si>
  <si>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</si>
  <si>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</si>
  <si>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</si>
  <si>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</si>
  <si>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</si>
  <si>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</si>
  <si>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</si>
  <si>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</si>
  <si>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</si>
  <si>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</si>
  <si>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</si>
  <si>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</si>
  <si>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</si>
  <si>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</si>
  <si>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</si>
  <si>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</si>
  <si>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</si>
  <si>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</si>
  <si>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</si>
  <si>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</si>
  <si>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</si>
  <si>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</si>
  <si>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</si>
  <si>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</si>
  <si>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</si>
  <si>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</si>
  <si>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</si>
  <si>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</si>
  <si>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</si>
  <si>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</si>
  <si>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</si>
  <si>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</si>
  <si>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</si>
  <si>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</si>
  <si>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</si>
  <si>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</si>
  <si>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</si>
  <si>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</si>
  <si>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</si>
  <si>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</si>
  <si>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</si>
  <si>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</si>
  <si>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</si>
  <si>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</si>
  <si>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</si>
  <si>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</si>
  <si>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</si>
  <si>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</si>
  <si>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</si>
  <si>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</si>
  <si>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</si>
  <si>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</si>
  <si>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</si>
  <si>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</si>
  <si>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</si>
  <si>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</si>
  <si>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</si>
  <si>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</si>
  <si>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</si>
  <si>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</si>
  <si>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</si>
  <si>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</si>
  <si>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</si>
  <si>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</si>
  <si>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</si>
  <si>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</si>
  <si>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</si>
  <si>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</si>
  <si>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</si>
  <si>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</si>
  <si>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</si>
  <si>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</si>
  <si>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</si>
  <si>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</si>
  <si>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</si>
  <si>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</si>
  <si>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</si>
  <si>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</si>
  <si>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</si>
  <si>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</si>
  <si>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</si>
  <si>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</si>
  <si>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</si>
  <si>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</si>
  <si>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</si>
  <si>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</si>
  <si>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</si>
  <si>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</si>
  <si>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</si>
  <si>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</si>
  <si>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</si>
  <si>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</si>
  <si>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</si>
  <si>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</si>
  <si>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</si>
  <si>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</si>
  <si>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</si>
  <si>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</si>
  <si>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</si>
  <si>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</si>
  <si>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</si>
  <si>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</si>
  <si>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</si>
  <si>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</si>
  <si>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</si>
  <si>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</si>
  <si>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</si>
  <si>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</si>
  <si>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</si>
  <si>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</si>
  <si>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</si>
  <si>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</si>
  <si>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</si>
  <si>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</si>
  <si>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</si>
  <si>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</si>
  <si>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</si>
  <si>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</si>
  <si>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</si>
  <si>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</si>
  <si>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</si>
  <si>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</si>
  <si>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</si>
  <si>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</si>
  <si>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</si>
  <si>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</si>
  <si>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</si>
  <si>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</si>
  <si>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</si>
  <si>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</si>
  <si>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</si>
  <si>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</si>
  <si>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</si>
  <si>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</si>
  <si>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</si>
  <si>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</si>
  <si>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</si>
  <si>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</si>
  <si>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</si>
  <si>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</si>
  <si>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</si>
  <si>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</si>
  <si>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</si>
  <si>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</si>
  <si>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</si>
  <si>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</si>
  <si>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</si>
  <si>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</si>
  <si>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</si>
  <si>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</si>
  <si>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</si>
  <si>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</si>
  <si>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</si>
  <si>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</si>
  <si>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</si>
  <si>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</si>
  <si>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</si>
  <si>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</si>
  <si>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</si>
  <si>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</si>
  <si>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</si>
  <si>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</si>
  <si>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</si>
  <si>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</si>
  <si>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</si>
  <si>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</si>
  <si>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</si>
  <si>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</si>
  <si>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</si>
  <si>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</si>
  <si>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</si>
  <si>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</si>
  <si>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</si>
  <si>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</si>
  <si>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</si>
  <si>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</si>
  <si>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</si>
  <si>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</si>
  <si>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</si>
  <si>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</si>
  <si>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</si>
  <si>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</si>
  <si>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</si>
  <si>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</si>
  <si>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</si>
  <si>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</si>
  <si>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</si>
  <si>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</si>
  <si>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</si>
  <si>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</si>
  <si>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</si>
  <si>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</si>
  <si>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</si>
  <si>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</si>
  <si>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</si>
  <si>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</si>
  <si>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</si>
  <si>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</si>
  <si>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</si>
  <si>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</si>
  <si>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</si>
  <si>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</si>
  <si>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</si>
  <si>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</si>
  <si>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</si>
  <si>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</si>
  <si>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</si>
  <si>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</si>
  <si>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</si>
  <si>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</si>
  <si>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</si>
  <si>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</si>
  <si>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</si>
  <si>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</si>
  <si>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</si>
  <si>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</si>
  <si>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</si>
  <si>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</si>
  <si>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</si>
  <si>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</si>
  <si>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</si>
  <si>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</si>
  <si>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</si>
  <si>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</si>
  <si>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</si>
  <si>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</si>
  <si>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</si>
  <si>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</si>
  <si>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</si>
  <si>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</si>
  <si>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</si>
  <si>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</si>
  <si>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</si>
  <si>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</si>
  <si>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</si>
  <si>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</si>
  <si>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</si>
  <si>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</si>
  <si>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</si>
  <si>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</si>
  <si>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</si>
  <si>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</si>
  <si>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</si>
  <si>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</si>
  <si>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</si>
  <si>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</si>
  <si>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</si>
  <si>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</si>
  <si>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</si>
  <si>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</si>
  <si>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</si>
  <si>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</si>
  <si>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</si>
  <si>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</si>
  <si>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</si>
  <si>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</si>
  <si>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</si>
  <si>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</si>
  <si>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</si>
  <si>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</si>
  <si>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</si>
  <si>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</si>
  <si>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</si>
  <si>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</si>
  <si>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</si>
  <si>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</si>
  <si>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</si>
  <si>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</si>
  <si>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</si>
  <si>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</si>
  <si>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</si>
  <si>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</si>
  <si>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</si>
  <si>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</si>
  <si>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</si>
  <si>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</si>
  <si>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</si>
  <si>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</si>
  <si>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</si>
  <si>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</si>
  <si>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</si>
  <si>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</si>
  <si>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</si>
  <si>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</si>
  <si>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</si>
  <si>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</si>
  <si>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</si>
  <si>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</si>
  <si>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</si>
  <si>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</si>
  <si>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</si>
  <si>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</si>
  <si>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</si>
  <si>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</si>
  <si>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</si>
  <si>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</si>
  <si>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</si>
  <si>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</si>
  <si>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</si>
  <si>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</si>
  <si>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</si>
  <si>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</si>
  <si>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</si>
  <si>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</si>
  <si>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</si>
  <si>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</si>
  <si>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</si>
  <si>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</si>
  <si>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</si>
  <si>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</si>
  <si>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</si>
  <si>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</si>
  <si>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</si>
  <si>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</si>
  <si>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</si>
  <si>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</si>
  <si>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</si>
  <si>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</si>
  <si>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</si>
  <si>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</si>
  <si>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</si>
  <si>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</si>
  <si>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</si>
  <si>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</si>
  <si>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</si>
  <si>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</si>
  <si>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</si>
  <si>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</si>
  <si>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</si>
  <si>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</si>
  <si>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</si>
  <si>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</si>
  <si>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</si>
  <si>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</si>
  <si>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</si>
  <si>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</si>
  <si>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</si>
  <si>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</si>
  <si>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</si>
  <si>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</si>
  <si>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</si>
  <si>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</si>
  <si>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</si>
  <si>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</si>
  <si>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</si>
  <si>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</si>
  <si>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</si>
  <si>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</si>
  <si>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</si>
  <si>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</si>
  <si>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</si>
  <si>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</si>
  <si>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</si>
  <si>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</si>
  <si>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</si>
  <si>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</si>
  <si>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</si>
  <si>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</si>
  <si>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</si>
  <si>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</si>
  <si>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</si>
  <si>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</si>
  <si>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</si>
  <si>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</si>
  <si>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</si>
  <si>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</si>
  <si>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</si>
  <si>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</si>
  <si>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</si>
  <si>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</si>
  <si>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</si>
  <si>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</si>
  <si>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</si>
  <si>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</si>
  <si>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</si>
  <si>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</si>
  <si>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</si>
  <si>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</si>
  <si>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</si>
  <si>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</si>
  <si>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</si>
  <si>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</si>
  <si>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</si>
  <si>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</si>
  <si>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</si>
  <si>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</si>
  <si>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</si>
  <si>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</si>
  <si>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</si>
  <si>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</si>
  <si>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</si>
  <si>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</si>
  <si>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</si>
  <si>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</si>
  <si>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</si>
  <si>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</si>
  <si>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</si>
  <si>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</si>
  <si>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</si>
  <si>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</si>
  <si>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</si>
  <si>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</si>
  <si>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</si>
  <si>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</si>
  <si>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</si>
  <si>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</si>
  <si>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</si>
  <si>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</si>
  <si>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</si>
  <si>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</si>
  <si>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</si>
  <si>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</si>
  <si>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</si>
  <si>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</si>
  <si>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</si>
  <si>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</si>
  <si>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</si>
  <si>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</si>
  <si>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</si>
  <si>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</si>
  <si>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</si>
  <si>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</si>
  <si>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</si>
  <si>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</si>
  <si>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</si>
  <si>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</si>
  <si>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</si>
  <si>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</si>
  <si>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</si>
  <si>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</si>
  <si>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</si>
  <si>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</si>
  <si>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</si>
  <si>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</si>
  <si>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</si>
  <si>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</si>
  <si>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</si>
  <si>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</si>
  <si>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</si>
  <si>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</si>
  <si>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</si>
  <si>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</si>
  <si>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</si>
  <si>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</si>
  <si>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</si>
  <si>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</si>
  <si>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</si>
  <si>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</si>
  <si>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</si>
  <si>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</si>
  <si>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</si>
  <si>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</si>
  <si>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</si>
  <si>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</si>
  <si>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</si>
  <si>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</si>
  <si>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</si>
  <si>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</si>
  <si>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</si>
  <si>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</si>
  <si>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</si>
  <si>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</si>
  <si>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</si>
  <si>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</si>
  <si>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</si>
  <si>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</si>
  <si>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</si>
  <si>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</si>
  <si>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</si>
  <si>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</si>
  <si>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</si>
  <si>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</si>
  <si>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</si>
  <si>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</si>
  <si>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</si>
  <si>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</si>
  <si>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</si>
  <si>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</si>
  <si>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</si>
  <si>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</si>
  <si>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</si>
  <si>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</si>
  <si>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</si>
  <si>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</si>
  <si>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</si>
  <si>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</si>
  <si>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</si>
  <si>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</si>
  <si>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</si>
  <si>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</si>
  <si>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</si>
  <si>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</si>
  <si>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</si>
  <si>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</si>
  <si>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</si>
  <si>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</si>
  <si>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</si>
  <si>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</si>
  <si>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</si>
  <si>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</si>
  <si>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</si>
  <si>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</si>
  <si>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</si>
  <si>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</si>
  <si>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</si>
  <si>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</si>
  <si>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</si>
  <si>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</si>
  <si>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</si>
  <si>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</si>
  <si>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</si>
  <si>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</si>
  <si>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</si>
  <si>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</si>
  <si>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</si>
  <si>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</si>
  <si>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</si>
  <si>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</si>
  <si>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</si>
  <si>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</si>
  <si>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</si>
  <si>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</si>
  <si>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</si>
  <si>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</si>
  <si>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</si>
  <si>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</si>
  <si>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</si>
  <si>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</si>
  <si>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</si>
  <si>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</si>
  <si>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</si>
  <si>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</si>
  <si>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</si>
  <si>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</si>
  <si>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</si>
  <si>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</si>
  <si>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</si>
  <si>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</si>
  <si>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</si>
  <si>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</si>
  <si>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</si>
  <si>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</si>
  <si>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</si>
  <si>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</si>
  <si>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</si>
  <si>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</si>
  <si>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</si>
  <si>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</si>
  <si>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</si>
  <si>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</si>
  <si>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</si>
  <si>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</si>
  <si>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</si>
  <si>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</si>
  <si>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</si>
  <si>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</si>
  <si>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</si>
  <si>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</si>
  <si>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</si>
  <si>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</si>
  <si>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</si>
  <si>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</si>
  <si>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</si>
  <si>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</si>
  <si>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</si>
  <si>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</si>
  <si>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</si>
  <si>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</si>
  <si>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</si>
  <si>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</si>
  <si>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</si>
  <si>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</si>
  <si>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</si>
  <si>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</si>
  <si>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</si>
  <si>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</si>
  <si>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</si>
  <si>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</si>
  <si>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</si>
  <si>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</si>
  <si>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</si>
  <si>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</si>
  <si>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</si>
  <si>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</si>
  <si>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</si>
  <si>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</si>
  <si>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</si>
  <si>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</si>
  <si>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</si>
  <si>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</si>
  <si>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</si>
  <si>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</si>
  <si>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</si>
  <si>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</si>
  <si>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</si>
  <si>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</si>
  <si>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</si>
  <si>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</si>
  <si>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</si>
  <si>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</si>
  <si>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</si>
  <si>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</si>
  <si>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</si>
  <si>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</si>
  <si>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</si>
  <si>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</si>
  <si>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</si>
  <si>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</si>
  <si>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</si>
  <si>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</si>
  <si>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</si>
  <si>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</si>
  <si>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</si>
  <si>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</si>
  <si>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</si>
  <si>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</si>
  <si>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</si>
  <si>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</si>
  <si>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</si>
  <si>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</si>
  <si>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</si>
  <si>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</si>
  <si>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</si>
  <si>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</si>
  <si>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</si>
  <si>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</si>
  <si>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</si>
  <si>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</si>
  <si>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</si>
  <si>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</si>
  <si>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</si>
  <si>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</si>
  <si>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</si>
  <si>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</si>
  <si>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</si>
  <si>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</si>
  <si>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</si>
  <si>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</si>
  <si>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</si>
  <si>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</si>
  <si>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</si>
  <si>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</si>
  <si>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</si>
  <si>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</si>
  <si>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</si>
  <si>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</si>
  <si>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</si>
  <si>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</si>
  <si>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</si>
  <si>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</si>
  <si>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</si>
  <si>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</si>
  <si>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</si>
  <si>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</si>
  <si>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</si>
  <si>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</si>
  <si>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</si>
  <si>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</si>
  <si>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</si>
  <si>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</si>
  <si>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</si>
  <si>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</si>
  <si>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</si>
  <si>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</si>
  <si>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</si>
  <si>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</si>
  <si>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</si>
  <si>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</si>
  <si>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</si>
  <si>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</si>
  <si>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</si>
  <si>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</si>
  <si>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</si>
  <si>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</si>
  <si>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</si>
  <si>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</si>
  <si>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</si>
  <si>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</si>
  <si>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</si>
  <si>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</si>
  <si>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</si>
  <si>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</si>
  <si>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</si>
  <si>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</si>
  <si>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</si>
  <si>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</si>
  <si>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</si>
  <si>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</si>
  <si>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</si>
  <si>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</si>
  <si>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</si>
  <si>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</si>
  <si>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</si>
  <si>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</si>
  <si>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</si>
  <si>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</si>
  <si>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</si>
  <si>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</si>
  <si>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</si>
  <si>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</si>
  <si>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</si>
  <si>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</si>
  <si>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</si>
  <si>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</si>
  <si>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</si>
  <si>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</si>
  <si>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</si>
  <si>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</si>
  <si>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</si>
  <si>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</si>
  <si>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</si>
  <si>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</si>
  <si>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</si>
  <si>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</si>
  <si>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</si>
  <si>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</si>
  <si>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</si>
  <si>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</si>
  <si>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</si>
  <si>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</si>
  <si>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</si>
  <si>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</si>
  <si>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</si>
  <si>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</si>
  <si>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</si>
  <si>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</si>
  <si>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</si>
  <si>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</si>
  <si>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</si>
  <si>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</si>
  <si>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</si>
  <si>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</si>
  <si>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</si>
  <si>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</si>
  <si>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</si>
  <si>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</si>
  <si>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</si>
  <si>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</si>
  <si>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</si>
  <si>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</si>
  <si>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</si>
  <si>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</si>
  <si>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</si>
  <si>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</si>
  <si>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</si>
  <si>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</si>
  <si>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</si>
  <si>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</si>
  <si>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</si>
  <si>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</si>
  <si>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</si>
  <si>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</si>
  <si>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</si>
  <si>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</si>
  <si>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</si>
  <si>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</si>
  <si>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</si>
  <si>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</si>
  <si>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</si>
  <si>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</si>
  <si>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</si>
  <si>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</si>
  <si>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</si>
  <si>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</si>
  <si>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</si>
  <si>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</si>
  <si>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</si>
  <si>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</si>
  <si>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</si>
  <si>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</si>
  <si>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</si>
  <si>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</si>
  <si>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</si>
  <si>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</si>
  <si>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</si>
  <si>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</si>
  <si>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</si>
  <si>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</si>
  <si>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</si>
  <si>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</si>
  <si>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</si>
  <si>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</si>
  <si>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</si>
  <si>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</si>
  <si>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</si>
  <si>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</si>
  <si>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</si>
  <si>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</si>
  <si>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</si>
  <si>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</si>
  <si>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</si>
  <si>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</si>
  <si>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</si>
  <si>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</si>
  <si>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</si>
  <si>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</si>
  <si>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</si>
  <si>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</si>
  <si>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</si>
  <si>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</si>
  <si>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</si>
  <si>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</si>
  <si>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</si>
  <si>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</si>
  <si>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</si>
  <si>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</si>
  <si>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</si>
  <si>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</si>
  <si>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</si>
  <si>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</si>
  <si>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</si>
  <si>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</si>
  <si>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</si>
  <si>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</si>
  <si>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</si>
  <si>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</si>
  <si>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</si>
  <si>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</si>
  <si>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</si>
  <si>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</si>
  <si>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</si>
  <si>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</si>
  <si>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</si>
  <si>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</si>
  <si>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</si>
  <si>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</si>
  <si>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</si>
  <si>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</si>
  <si>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</si>
  <si>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</si>
  <si>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</si>
  <si>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</si>
  <si>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</si>
  <si>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</si>
  <si>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</si>
  <si>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</si>
  <si>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</si>
  <si>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</si>
  <si>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</si>
  <si>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</si>
  <si>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</si>
  <si>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</si>
  <si>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</si>
  <si>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</si>
  <si>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</si>
  <si>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</si>
  <si>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</si>
  <si>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</si>
  <si>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</si>
  <si>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</si>
  <si>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</si>
  <si>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</si>
  <si>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</si>
  <si>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</si>
  <si>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</si>
  <si>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</si>
  <si>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</si>
  <si>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</si>
  <si>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</si>
  <si>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</si>
  <si>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</si>
  <si>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</si>
  <si>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</si>
  <si>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</si>
  <si>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</si>
  <si>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</si>
  <si>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</si>
  <si>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</si>
  <si>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</si>
  <si>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</si>
  <si>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</si>
  <si>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</si>
  <si>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</si>
  <si>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</si>
  <si>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</si>
  <si>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</si>
  <si>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</si>
  <si>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</si>
  <si>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</si>
  <si>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</si>
  <si>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</si>
  <si>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</si>
  <si>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</si>
  <si>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</si>
  <si>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</si>
  <si>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</si>
  <si>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</si>
  <si>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</si>
  <si>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</si>
  <si>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</si>
  <si>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</si>
  <si>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</si>
  <si>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</si>
  <si>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</si>
  <si>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</si>
  <si>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</si>
  <si>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</si>
  <si>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</si>
  <si>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</si>
  <si>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</si>
  <si>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</si>
  <si>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</si>
  <si>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</si>
  <si>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</si>
  <si>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</si>
  <si>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</si>
  <si>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</si>
  <si>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</si>
  <si>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</si>
  <si>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</si>
  <si>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</si>
  <si>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</si>
  <si>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</si>
  <si>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</si>
  <si>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</si>
  <si>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</si>
  <si>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</si>
  <si>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</si>
  <si>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</si>
  <si>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</si>
  <si>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</si>
  <si>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</si>
  <si>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</si>
  <si>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</si>
  <si>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</si>
  <si>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</si>
  <si>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</si>
  <si>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</si>
  <si>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</si>
  <si>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</si>
  <si>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</si>
  <si>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</si>
  <si>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</si>
  <si>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</si>
  <si>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</si>
  <si>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</si>
  <si>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</si>
  <si>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</si>
  <si>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</si>
  <si>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</si>
  <si>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</si>
  <si>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</si>
  <si>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</si>
  <si>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</si>
  <si>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</si>
  <si>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</si>
  <si>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</si>
  <si>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</si>
  <si>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</si>
  <si>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</si>
  <si>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</si>
  <si>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</si>
  <si>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</si>
  <si>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</si>
  <si>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</si>
  <si>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</si>
  <si>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</si>
  <si>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</si>
  <si>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</si>
  <si>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</si>
  <si>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</si>
  <si>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</si>
  <si>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</si>
  <si>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</si>
  <si>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</si>
  <si>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</si>
  <si>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</si>
  <si>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</si>
  <si>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</si>
  <si>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</si>
  <si>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</si>
  <si>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</si>
  <si>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</si>
  <si>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</si>
  <si>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</si>
  <si>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</si>
  <si>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</si>
  <si>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</si>
  <si>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</si>
  <si>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</si>
  <si>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</si>
  <si>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</si>
  <si>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</si>
  <si>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</si>
  <si>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</si>
  <si>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</si>
  <si>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</si>
  <si>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</si>
  <si>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</si>
  <si>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</si>
  <si>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</si>
  <si>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</si>
  <si>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</si>
  <si>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</si>
  <si>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</si>
  <si>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</si>
  <si>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</si>
  <si>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</si>
  <si>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</si>
  <si>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</si>
  <si>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</si>
  <si>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</si>
  <si>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</si>
  <si>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</si>
  <si>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</si>
  <si>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</si>
  <si>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</si>
  <si>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</si>
  <si>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</si>
  <si>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</si>
  <si>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</si>
  <si>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</si>
  <si>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</si>
  <si>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</si>
  <si>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</si>
  <si>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</si>
  <si>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</si>
  <si>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</si>
  <si>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</si>
  <si>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</si>
  <si>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</si>
  <si>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</si>
  <si>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</si>
  <si>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</si>
  <si>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</si>
  <si>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</si>
  <si>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</si>
  <si>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</si>
  <si>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</si>
  <si>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</si>
  <si>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</si>
  <si>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</si>
  <si>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</si>
  <si>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</si>
  <si>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</si>
  <si>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</si>
  <si>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</si>
  <si>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</si>
  <si>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</si>
  <si>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</si>
  <si>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</si>
  <si>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</si>
  <si>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</si>
  <si>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</si>
  <si>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</si>
  <si>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</si>
  <si>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</si>
  <si>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</si>
  <si>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</si>
  <si>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</si>
  <si>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</si>
  <si>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</si>
  <si>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</si>
  <si>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</si>
  <si>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</si>
  <si>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</si>
  <si>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</si>
  <si>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</si>
  <si>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</si>
  <si>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</si>
  <si>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</si>
  <si>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</si>
  <si>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</si>
  <si>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</si>
  <si>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</si>
  <si>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</si>
  <si>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</si>
  <si>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</si>
  <si>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</si>
  <si>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</si>
  <si>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</si>
  <si>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</si>
  <si>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</si>
  <si>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</si>
  <si>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</si>
  <si>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</si>
  <si>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</si>
  <si>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</si>
  <si>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</si>
  <si>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</si>
  <si>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</si>
  <si>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</si>
  <si>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</si>
  <si>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</si>
  <si>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</si>
  <si>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</si>
  <si>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</si>
  <si>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</si>
  <si>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</si>
  <si>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</si>
  <si>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</si>
  <si>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</si>
  <si>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</si>
  <si>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</si>
  <si>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</si>
  <si>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</si>
  <si>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</si>
  <si>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</si>
  <si>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</si>
  <si>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</si>
  <si>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</si>
  <si>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</si>
  <si>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</si>
  <si>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</si>
  <si>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</si>
  <si>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</si>
  <si>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</si>
  <si>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</si>
  <si>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</si>
  <si>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</si>
  <si>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</si>
  <si>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</si>
  <si>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</si>
  <si>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</si>
  <si>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</si>
  <si>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</si>
  <si>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</si>
  <si>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</si>
  <si>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</si>
  <si>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</si>
  <si>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</si>
  <si>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</si>
  <si>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</si>
  <si>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</si>
  <si>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</si>
  <si>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</si>
  <si>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</si>
  <si>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</si>
  <si>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</si>
  <si>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</si>
  <si>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</si>
  <si>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</si>
  <si>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</si>
  <si>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</si>
  <si>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</si>
  <si>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</si>
  <si>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</si>
  <si>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</si>
  <si>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</si>
  <si>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</si>
  <si>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</si>
  <si>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</si>
  <si>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</si>
  <si>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</si>
  <si>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</si>
  <si>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</si>
  <si>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</si>
  <si>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</si>
  <si>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</si>
  <si>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</si>
  <si>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</si>
  <si>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</si>
  <si>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</si>
  <si>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</si>
  <si>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</si>
  <si>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</si>
  <si>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</si>
  <si>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</si>
  <si>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</si>
  <si>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</si>
  <si>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</si>
  <si>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</si>
  <si>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</si>
  <si>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</si>
  <si>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</si>
  <si>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</si>
  <si>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</si>
  <si>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</si>
  <si>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</si>
  <si>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</si>
  <si>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</si>
  <si>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</si>
  <si>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</si>
  <si>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</si>
  <si>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</si>
  <si>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</si>
  <si>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</si>
  <si>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</si>
  <si>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</si>
  <si>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</si>
  <si>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</si>
  <si>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</si>
  <si>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</si>
  <si>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</si>
  <si>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</si>
  <si>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</si>
  <si>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</si>
  <si>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</si>
  <si>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</si>
  <si>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</si>
  <si>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</si>
  <si>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</si>
  <si>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</si>
  <si>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</si>
  <si>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</si>
  <si>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</si>
  <si>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</si>
  <si>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</si>
  <si>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</si>
  <si>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</si>
  <si>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</si>
  <si>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</si>
  <si>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</si>
  <si>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</si>
  <si>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</si>
  <si>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</si>
  <si>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</si>
  <si>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</si>
  <si>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</si>
  <si>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</si>
  <si>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</si>
  <si>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</si>
  <si>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</si>
  <si>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</si>
  <si>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</si>
  <si>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</si>
  <si>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</si>
  <si>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</si>
  <si>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</si>
  <si>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</si>
  <si>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</si>
  <si>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</si>
  <si>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</si>
  <si>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</si>
  <si>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</si>
  <si>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</si>
  <si>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</si>
  <si>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</si>
  <si>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</si>
  <si>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</si>
  <si>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</si>
  <si>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</si>
  <si>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</si>
  <si>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</si>
  <si>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</si>
  <si>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</si>
  <si>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</si>
  <si>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</si>
  <si>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</si>
  <si>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</si>
  <si>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</si>
  <si>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</si>
  <si>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</si>
  <si>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</si>
  <si>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</si>
  <si>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</si>
  <si>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</si>
  <si>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</si>
  <si>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</si>
  <si>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</si>
  <si>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</si>
  <si>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</si>
  <si>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</si>
  <si>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</si>
  <si>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</si>
  <si>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</si>
  <si>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</si>
  <si>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</si>
  <si>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</si>
  <si>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</si>
  <si>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</si>
  <si>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</si>
  <si>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</si>
  <si>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</si>
  <si>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</si>
  <si>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</si>
  <si>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</si>
  <si>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</si>
  <si>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</si>
  <si>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</si>
  <si>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</si>
  <si>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</si>
  <si>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</si>
  <si>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</si>
  <si>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</si>
  <si>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</si>
  <si>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</si>
  <si>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</si>
  <si>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</si>
  <si>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</si>
  <si>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</si>
  <si>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</si>
  <si>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</si>
  <si>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</si>
  <si>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</si>
  <si>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</si>
  <si>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</si>
  <si>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</si>
  <si>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</si>
  <si>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</si>
  <si>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</si>
  <si>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</si>
  <si>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</si>
  <si>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</si>
  <si>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</si>
  <si>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</si>
  <si>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</si>
  <si>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</si>
  <si>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</si>
  <si>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</si>
  <si>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</si>
  <si>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</si>
  <si>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</si>
  <si>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</si>
  <si>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</si>
  <si>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</si>
  <si>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</si>
  <si>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</si>
  <si>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</si>
  <si>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</si>
  <si>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</si>
  <si>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</si>
  <si>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</si>
  <si>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</si>
  <si>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</si>
  <si>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</si>
  <si>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</si>
  <si>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</si>
  <si>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</si>
  <si>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</si>
  <si>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</si>
  <si>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</si>
  <si>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</si>
  <si>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</si>
  <si>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</si>
  <si>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</si>
  <si>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</si>
  <si>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</si>
  <si>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</si>
  <si>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</si>
  <si>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</si>
  <si>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</si>
  <si>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</si>
  <si>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</si>
  <si>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</si>
  <si>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</si>
  <si>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</si>
  <si>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</si>
  <si>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</si>
  <si>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</si>
  <si>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</si>
  <si>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</si>
  <si>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</si>
  <si>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</si>
  <si>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</si>
  <si>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</si>
  <si>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</si>
  <si>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</si>
  <si>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</si>
  <si>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</si>
  <si>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</si>
  <si>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</si>
  <si>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</si>
  <si>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</si>
  <si>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</si>
  <si>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</si>
  <si>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</si>
  <si>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</si>
  <si>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</si>
  <si>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</si>
  <si>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</si>
  <si>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</si>
  <si>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</si>
  <si>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</si>
  <si>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</si>
  <si>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</si>
  <si>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</si>
  <si>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</si>
  <si>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</si>
  <si>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</si>
  <si>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</si>
  <si>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</si>
  <si>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</si>
  <si>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</si>
  <si>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</si>
  <si>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</si>
  <si>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</si>
  <si>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</si>
  <si>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</si>
  <si>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</si>
  <si>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</si>
  <si>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</si>
  <si>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</si>
  <si>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</si>
  <si>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</si>
  <si>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</si>
  <si>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</si>
  <si>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</si>
  <si>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</si>
  <si>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</si>
  <si>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</si>
  <si>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</si>
  <si>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</si>
  <si>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</si>
  <si>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</si>
  <si>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</si>
  <si>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</si>
  <si>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</si>
  <si>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</si>
  <si>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</si>
  <si>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</si>
  <si>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</si>
  <si>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</si>
  <si>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</si>
  <si>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</si>
  <si>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</si>
  <si>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</si>
  <si>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</si>
  <si>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</si>
  <si>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</si>
  <si>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</si>
  <si>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</si>
  <si>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</si>
  <si>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</si>
  <si>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</si>
  <si>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</si>
  <si>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</si>
  <si>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</si>
  <si>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</si>
  <si>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</si>
  <si>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</si>
  <si>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</si>
  <si>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</si>
  <si>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</si>
  <si>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</si>
  <si>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</si>
  <si>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</si>
  <si>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</si>
  <si>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</si>
  <si>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</si>
  <si>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</si>
  <si>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</si>
  <si>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</si>
  <si>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</si>
  <si>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</si>
  <si>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</si>
  <si>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</si>
  <si>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</si>
  <si>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</si>
  <si>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</si>
  <si>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</si>
  <si>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</si>
  <si>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</si>
  <si>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</si>
  <si>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</si>
  <si>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</si>
  <si>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</si>
  <si>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</si>
  <si>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</si>
  <si>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</si>
  <si>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</si>
  <si>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</si>
  <si>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</si>
  <si>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</si>
  <si>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</si>
  <si>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</si>
  <si>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</si>
  <si>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</si>
  <si>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</si>
  <si>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</si>
  <si>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</si>
  <si>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</si>
  <si>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</si>
  <si>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</si>
  <si>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</si>
  <si>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</si>
  <si>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</si>
  <si>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</si>
  <si>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</si>
  <si>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</si>
  <si>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</si>
  <si>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</si>
  <si>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</si>
  <si>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</si>
  <si>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</si>
  <si>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</si>
  <si>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</si>
  <si>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</si>
  <si>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</si>
  <si>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</si>
  <si>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</si>
  <si>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</si>
  <si>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</si>
  <si>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</si>
  <si>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</si>
  <si>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</si>
  <si>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</si>
  <si>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</si>
  <si>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</si>
  <si>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</si>
  <si>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</si>
  <si>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</si>
  <si>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</si>
  <si>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</si>
  <si>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</si>
  <si>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</si>
  <si>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</si>
  <si>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</si>
  <si>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</si>
  <si>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</si>
  <si>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</si>
  <si>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</si>
  <si>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</si>
  <si>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</si>
  <si>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</si>
  <si>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</si>
  <si>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</si>
  <si>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</si>
  <si>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</si>
  <si>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</si>
  <si>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</si>
  <si>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</si>
  <si>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</si>
  <si>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</si>
  <si>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</si>
  <si>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</si>
  <si>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</si>
  <si>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</si>
  <si>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</si>
  <si>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</si>
  <si>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</si>
  <si>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</si>
  <si>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</si>
  <si>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</si>
  <si>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</si>
  <si>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</si>
  <si>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</si>
  <si>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</si>
  <si>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</si>
  <si>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</si>
  <si>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</si>
  <si>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</si>
  <si>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</si>
  <si>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</si>
  <si>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</si>
  <si>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</si>
  <si>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</si>
  <si>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</si>
  <si>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</si>
  <si>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</si>
  <si>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</si>
  <si>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</si>
  <si>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</si>
  <si>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</si>
  <si>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</si>
  <si>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</si>
  <si>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</si>
  <si>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</si>
  <si>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</si>
  <si>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</si>
  <si>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</si>
  <si>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</si>
  <si>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</si>
  <si>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</si>
  <si>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</si>
  <si>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</si>
  <si>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</si>
  <si>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</si>
  <si>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</si>
  <si>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</si>
  <si>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</si>
  <si>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</si>
  <si>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</si>
  <si>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</si>
  <si>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</si>
  <si>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</si>
  <si>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</si>
  <si>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</si>
  <si>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</si>
  <si>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</si>
  <si>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</si>
  <si>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</si>
  <si>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</si>
  <si>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</si>
  <si>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</si>
  <si>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</si>
  <si>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</si>
  <si>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</si>
  <si>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</si>
  <si>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</si>
  <si>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</si>
  <si>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</si>
  <si>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</si>
  <si>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</si>
  <si>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</si>
  <si>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</si>
  <si>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</si>
  <si>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</si>
  <si>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</si>
  <si>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</si>
  <si>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</si>
  <si>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</si>
  <si>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</si>
  <si>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</si>
  <si>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</si>
  <si>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</si>
  <si>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</si>
  <si>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</si>
  <si>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</si>
  <si>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</si>
  <si>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</si>
  <si>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</si>
  <si>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</si>
  <si>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</si>
  <si>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</si>
  <si>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</si>
  <si>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</si>
  <si>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</si>
  <si>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</si>
  <si>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</si>
  <si>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</si>
  <si>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</si>
  <si>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</si>
  <si>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</si>
  <si>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</si>
  <si>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</si>
  <si>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</si>
  <si>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</si>
  <si>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</si>
  <si>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</si>
  <si>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</si>
  <si>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</si>
  <si>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</si>
  <si>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</si>
  <si>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</si>
  <si>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</si>
  <si>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</si>
  <si>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</si>
  <si>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</si>
  <si>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</si>
  <si>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</si>
  <si>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</si>
  <si>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</si>
  <si>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</si>
  <si>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</si>
  <si>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</si>
  <si>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</si>
  <si>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</si>
  <si>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</si>
  <si>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</si>
  <si>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</si>
  <si>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</si>
  <si>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</si>
  <si>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</si>
  <si>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</si>
  <si>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</si>
  <si>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</si>
  <si>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</si>
  <si>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</si>
  <si>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</si>
  <si>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</si>
  <si>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</si>
  <si>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</si>
  <si>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</si>
  <si>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</si>
  <si>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</si>
  <si>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</si>
  <si>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</si>
  <si>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</si>
  <si>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</si>
  <si>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</si>
  <si>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</si>
  <si>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</si>
  <si>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</si>
  <si>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</si>
  <si>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</si>
  <si>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</si>
  <si>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</si>
  <si>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</si>
  <si>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</si>
  <si>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</si>
  <si>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</si>
  <si>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</si>
  <si>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</si>
  <si>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</si>
  <si>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</si>
  <si>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</si>
  <si>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</si>
  <si>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</si>
  <si>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</si>
  <si>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</si>
  <si>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</si>
  <si>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</si>
  <si>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</si>
  <si>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</si>
  <si>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</si>
  <si>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</si>
  <si>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</si>
  <si>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</si>
  <si>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</si>
  <si>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</si>
  <si>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</si>
  <si>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</si>
  <si>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</si>
  <si>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</si>
  <si>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</si>
  <si>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</si>
  <si>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</si>
  <si>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</si>
  <si>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</si>
  <si>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</si>
  <si>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</si>
  <si>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</si>
  <si>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</si>
  <si>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</si>
  <si>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</si>
  <si>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</si>
  <si>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</si>
  <si>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</si>
  <si>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</si>
  <si>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</si>
  <si>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</si>
  <si>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</si>
  <si>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</si>
  <si>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</si>
  <si>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</si>
  <si>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</si>
  <si>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</si>
  <si>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</si>
  <si>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</si>
  <si>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</si>
  <si>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</si>
  <si>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</si>
  <si>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</si>
  <si>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</si>
  <si>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</si>
  <si>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</si>
  <si>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</si>
  <si>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</si>
  <si>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</si>
  <si>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</si>
  <si>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</si>
  <si>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</si>
  <si>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</si>
  <si>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</si>
  <si>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</si>
  <si>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</si>
  <si>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</si>
  <si>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</si>
  <si>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</si>
  <si>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</si>
  <si>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</si>
  <si>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</si>
  <si>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</si>
  <si>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</si>
  <si>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</si>
  <si>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</si>
  <si>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</si>
  <si>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</si>
  <si>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</si>
  <si>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</si>
  <si>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</si>
  <si>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</si>
  <si>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</si>
  <si>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</si>
  <si>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</si>
  <si>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</si>
  <si>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</si>
  <si>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</si>
  <si>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</si>
  <si>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</si>
  <si>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</si>
  <si>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</si>
  <si>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</si>
  <si>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</si>
  <si>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</si>
  <si>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</si>
  <si>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</si>
  <si>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</si>
  <si>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</si>
  <si>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</si>
  <si>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</si>
  <si>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</si>
  <si>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</si>
  <si>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</si>
  <si>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</si>
  <si>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</si>
  <si>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</si>
  <si>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</si>
  <si>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</si>
  <si>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</si>
  <si>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</si>
  <si>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</si>
  <si>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</si>
  <si>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</si>
  <si>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</si>
  <si>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</si>
  <si>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</si>
  <si>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</si>
  <si>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</si>
  <si>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</si>
  <si>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</si>
  <si>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</si>
  <si>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</si>
  <si>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</si>
  <si>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</si>
  <si>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</si>
  <si>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</si>
  <si>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</si>
  <si>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</si>
  <si>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</si>
  <si>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</si>
  <si>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</si>
  <si>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</si>
  <si>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</si>
  <si>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</si>
  <si>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</si>
  <si>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</si>
  <si>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</si>
  <si>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</si>
  <si>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</si>
  <si>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</si>
  <si>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</si>
  <si>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</si>
  <si>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</si>
  <si>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</si>
  <si>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</si>
  <si>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</si>
  <si>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</si>
  <si>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</si>
  <si>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</si>
  <si>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</si>
  <si>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</si>
  <si>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</si>
  <si>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</si>
  <si>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</si>
  <si>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</si>
  <si>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</si>
  <si>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</si>
  <si>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</si>
  <si>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</si>
  <si>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</si>
  <si>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</si>
  <si>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</si>
  <si>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</si>
  <si>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</si>
  <si>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</si>
  <si>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</si>
  <si>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</si>
  <si>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</si>
  <si>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</si>
  <si>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</si>
  <si>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</si>
  <si>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</si>
  <si>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</si>
  <si>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</si>
  <si>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</si>
  <si>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</si>
  <si>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</si>
  <si>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</si>
  <si>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</si>
  <si>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</si>
  <si>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</si>
  <si>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</si>
  <si>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</si>
  <si>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</si>
  <si>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</si>
  <si>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</si>
  <si>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</si>
  <si>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</si>
  <si>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</si>
  <si>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</si>
  <si>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</si>
  <si>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</si>
  <si>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</si>
  <si>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</si>
  <si>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</si>
  <si>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</si>
  <si>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</si>
  <si>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</si>
  <si>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</si>
  <si>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</si>
  <si>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</si>
  <si>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</si>
  <si>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</si>
  <si>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</si>
  <si>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</si>
  <si>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</si>
  <si>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</si>
  <si>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</si>
  <si>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</si>
  <si>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</si>
  <si>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</si>
  <si>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</si>
  <si>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</si>
  <si>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</si>
  <si>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</si>
  <si>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</si>
  <si>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</si>
  <si>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</si>
  <si>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</si>
  <si>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</si>
  <si>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</si>
  <si>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</si>
  <si>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</si>
  <si>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</si>
  <si>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</si>
  <si>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</si>
  <si>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</si>
  <si>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</si>
  <si>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</si>
  <si>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</si>
  <si>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</si>
  <si>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</si>
  <si>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</si>
  <si>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</si>
  <si>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</si>
  <si>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</si>
  <si>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</si>
  <si>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</si>
  <si>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</si>
  <si>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</si>
  <si>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</si>
  <si>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</si>
  <si>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</si>
  <si>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</si>
  <si>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</si>
  <si>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</si>
  <si>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</si>
  <si>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</si>
  <si>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</si>
  <si>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</si>
  <si>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</si>
  <si>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</si>
  <si>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</si>
  <si>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</si>
  <si>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</si>
  <si>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</si>
  <si>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</si>
  <si>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</si>
  <si>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</si>
  <si>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</si>
  <si>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</si>
  <si>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</si>
  <si>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</si>
  <si>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</si>
  <si>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</si>
  <si>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</si>
  <si>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</si>
  <si>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</si>
  <si>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</si>
  <si>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</si>
  <si>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</si>
  <si>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</si>
  <si>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</si>
  <si>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</si>
  <si>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</si>
  <si>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</si>
  <si>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</si>
  <si>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</si>
  <si>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</si>
  <si>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</si>
  <si>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</si>
  <si>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</si>
  <si>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</si>
  <si>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</si>
  <si>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</si>
  <si>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</si>
  <si>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</si>
  <si>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</si>
  <si>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</si>
  <si>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</si>
  <si>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</si>
  <si>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</si>
  <si>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</si>
  <si>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</si>
  <si>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</si>
  <si>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</si>
  <si>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</si>
  <si>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</si>
  <si>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</si>
  <si>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</si>
  <si>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</si>
  <si>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</si>
  <si>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</si>
  <si>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</si>
  <si>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</si>
  <si>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</si>
  <si>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</si>
  <si>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</si>
  <si>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</si>
  <si>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</si>
  <si>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</si>
  <si>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</si>
  <si>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</si>
  <si>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</si>
  <si>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</si>
  <si>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</si>
  <si>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</si>
  <si>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</si>
  <si>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</si>
  <si>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</si>
  <si>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</si>
  <si>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</si>
  <si>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</si>
  <si>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</si>
  <si>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</si>
  <si>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</si>
  <si>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</si>
  <si>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</si>
  <si>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</si>
  <si>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Tazewell</t>
  </si>
  <si>
    <t>400 W. Pearl</t>
  </si>
  <si>
    <t>Tremont</t>
  </si>
  <si>
    <t>Koch Consultants, Ltd.</t>
  </si>
  <si>
    <t>Nathan D. Koch</t>
  </si>
  <si>
    <t>PO Box 1400</t>
  </si>
  <si>
    <t>IL</t>
  </si>
  <si>
    <t>309-267-3796</t>
  </si>
  <si>
    <t>309-216-3796</t>
  </si>
  <si>
    <t>nate@kochconsultants.com</t>
  </si>
  <si>
    <t>sean.berry@d702.org</t>
  </si>
  <si>
    <t>Sean Berry</t>
  </si>
  <si>
    <t>309-925-3461</t>
  </si>
  <si>
    <t>309-925-5817</t>
  </si>
  <si>
    <t>00/00/1998</t>
  </si>
  <si>
    <t xml:space="preserve">As described more fully in Note 1, the District has prepared these financial statements using accounting practices prescribed or permitted by the Illinois State Board of Education, which practices differ from accounting principles generally accepted in the United States of America.  The effects on the financial statements of the variances between these regulatory accounting practices and accounting principles generally accepted in the United States of America, although not reasonably determinable, are presumed to be material.  </t>
  </si>
  <si>
    <t>2013 Limited Working Cash Fund Bonds</t>
  </si>
  <si>
    <t>2016 General Obligation Refunding School Bonds</t>
  </si>
  <si>
    <t>2017 General Obligation Refunding School Bonds</t>
  </si>
  <si>
    <t>2019 Limited Working Cash Fund Bonds</t>
  </si>
  <si>
    <t>Tazewell Mason County Special Education Association</t>
  </si>
  <si>
    <t>Page 10, line 74 - account 1690 - Other Food Service</t>
  </si>
  <si>
    <t>Daycare lunches</t>
  </si>
  <si>
    <t>Parking permits</t>
  </si>
  <si>
    <t>Miscellaneous reimbursements for services provided (Transportation Fund)</t>
  </si>
  <si>
    <t>Cadaver lab participation and other (Educational Fund)</t>
  </si>
  <si>
    <t>Page 12, line 168 - account 3999 - Other Restricted Revenue from State Sources</t>
  </si>
  <si>
    <t>STEP grant</t>
  </si>
  <si>
    <t>Page 15, line 41 - account 2190 - Other Support Services - Pupils</t>
  </si>
  <si>
    <t>Page 18, line 171 - account 5400 - Debt Services - Other</t>
  </si>
  <si>
    <t>Bond agent fee</t>
  </si>
  <si>
    <t xml:space="preserve">Graduation supplies </t>
  </si>
  <si>
    <t>Page 25, line 10 - Other Receipts</t>
  </si>
  <si>
    <t>Federal grants</t>
  </si>
  <si>
    <t>Refund of prior year expenditures</t>
  </si>
  <si>
    <t>State aid (includes Allocation of Special Education  funds included in EBF)</t>
  </si>
  <si>
    <t>Donations</t>
  </si>
  <si>
    <t>Ed-Support Services Instructional Staff - Purchased Services</t>
  </si>
  <si>
    <t>OM-Op &amp; Maint. Plant Services - Purchased Services</t>
  </si>
  <si>
    <t>Edmentum, Inc</t>
  </si>
  <si>
    <t>Gabbert and Sons Cleaning</t>
  </si>
  <si>
    <t>The situation was noted while obtaining an understanding of the District's internal control and as noted above is mainly related to activity in certain bank accounts outside of the main operating account of the District, instances where cash is collected, classifying non-routine receipts, and when key employees are absent or transactions need to be expedited.</t>
  </si>
  <si>
    <t>Segregation of accounting duties is key to internal controls and is considered a good business practice.</t>
  </si>
  <si>
    <t>This condition increases the possibility that errors or irregularities may occur (in disbursements, receipts, reporting, and other areas) and not be detected on a timely basis.</t>
  </si>
  <si>
    <t xml:space="preserve">Some of the District's accounting functions are not ideally segregated.  While the District has segregated many of the accounting duties, the limited number of people involved still presents a situation that by necessity some functions overlap.  This situation is more pronounced in activity related to bank accounts outside of the main operating account of the District, in certain situations where cash is collected, and when classifying non-routine receipts.  Further, in areas where ideal segregation of duties normally exists, employees have the ability and access to perform additional duties in case of the absence of other employees to expedite transactions.  These abilities and access present a situation where existing controls can be overridden. </t>
  </si>
  <si>
    <t xml:space="preserve">Limited resources of the District do not provide for enough accounting employees to ideally segregate all duties. </t>
  </si>
  <si>
    <t>Administration should consider implementing mitigating controls including independent reconciliation of available information from databases and other sources to receipt information and independent review of reconciliation of various reports to underlying information.  In addition, the Board's close oversight and review of accounting information is an important means of preventing and detecting errors or irregularities when this condition is present.</t>
  </si>
  <si>
    <t>The Illinois Compiled Statutes, Chapter 105, Section 5, Paragraph 17-1, requires that total expenditures not exceed the budgeted expenditures for any fund.  During the year ended June 30, 2020, the following funds had expenditures in excess of budget:</t>
  </si>
  <si>
    <t xml:space="preserve">Administration has allowed expenditures to exceed amounts budgeted for the above referenced funds.  </t>
  </si>
  <si>
    <t>The funds mentioned above have expenditures in excess of budgeted amounts.</t>
  </si>
  <si>
    <t>The District is making expenditures in excess of amounts represented to the public in their budget.</t>
  </si>
  <si>
    <t>Amounts are being expended in excess of the budget.  This resulted from unexpected expenditures being incurred and the District did not amend the budget to adjust for the costs that exceeded the original budget.</t>
  </si>
  <si>
    <t>The District should consider properly amending the District's budget when they realize that costs are being incurred that were not anticipated/calculated when the original budget was developed.</t>
  </si>
  <si>
    <t>Actual Expenditures</t>
  </si>
  <si>
    <t>Capital Projects Fund</t>
  </si>
  <si>
    <t>2019-001</t>
  </si>
  <si>
    <t>Some of the District's accounting duties are not ideally segregated</t>
  </si>
  <si>
    <t>Repeated as finding 2020-001</t>
  </si>
  <si>
    <t>Some of the District's actual expenditures for individual funds exceeded budgeted expenditures for those funds</t>
  </si>
  <si>
    <t>Modified and repeated as finding 2020-002</t>
  </si>
  <si>
    <t>2019-002</t>
  </si>
  <si>
    <t>The District has attempted to segregate duties as much as possible with the limited number of individuals the District employs in these roles.  Administration carefully reviews the financial activity and position of the District on an ongoing basis and considers the risks presented by the lack of segregation of duties when doing this.  Administration is implementing new subsidiary records systems and will explore additional reconciliations of various receipt information and reports to underlying records and the general ledger to help lessen the risks presented by the inability to ideally segregate duties.  Administration will also consider procedural changes to help mitigate the risk of controls being overridden in the absence of key employees.</t>
  </si>
  <si>
    <t>Administration will monitor actual expenditures compared to the budget and, when significant unanticipated costs are necessary, Administration will seek budgetary amendments.</t>
  </si>
  <si>
    <t>Ed-Instruction-Other Objects</t>
  </si>
  <si>
    <t>The Baby Fold</t>
  </si>
  <si>
    <t>Page 11, line 106 - account 1993 - Other Local Fees</t>
  </si>
  <si>
    <t>Page 11, line 107 - account 1999 - Other Local Revenues</t>
  </si>
  <si>
    <t xml:space="preserve"> Tremont CUSD 702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</si>
</sst>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3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64" fontId="76" fillId="0" borderId="0" xfId="0" applyNumberFormat="1" applyFont="1"/>
    <xf numFmtId="185" fontId="58" fillId="0" borderId="0" xfId="21" applyNumberFormat="1" applyFont="1"/>
    <xf numFmtId="186" fontId="58" fillId="0" borderId="0" xfId="1" applyNumberFormat="1" applyFont="1"/>
    <xf numFmtId="185" fontId="58" fillId="0" borderId="196" xfId="0" applyNumberFormat="1"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3" applyFont="1" applyAlignment="1" applyProtection="1">
      <alignment horizontal="center" vertical="center"/>
    </xf>
    <xf numFmtId="0" fontId="58" fillId="0" borderId="0" xfId="3" applyFont="1" applyAlignment="1" applyProtection="1">
      <alignment horizontal="left" vertical="top" wrapText="1"/>
      <protection locked="0"/>
    </xf>
    <xf numFmtId="185" fontId="58" fillId="0" borderId="0" xfId="21" applyNumberFormat="1" applyFont="1" applyAlignment="1" applyProtection="1">
      <alignment horizontal="left" vertical="top" wrapText="1"/>
      <protection locked="0"/>
    </xf>
    <xf numFmtId="186" fontId="58" fillId="0" borderId="0" xfId="1" applyNumberFormat="1" applyFont="1" applyAlignment="1" applyProtection="1">
      <alignment horizontal="left" vertical="top" wrapText="1"/>
      <protection locked="0"/>
    </xf>
    <xf numFmtId="0" fontId="76" fillId="0" borderId="0" xfId="3" applyFont="1" applyAlignment="1" applyProtection="1">
      <alignment horizontal="center" vertical="top" wrapText="1"/>
      <protection locked="0"/>
    </xf>
    <xf numFmtId="0" fontId="58" fillId="0" borderId="0" xfId="3" applyFont="1" applyBorder="1" applyAlignment="1" applyProtection="1">
      <alignment horizontal="left" wrapText="1"/>
      <protection locked="0"/>
    </xf>
    <xf numFmtId="0" fontId="58" fillId="0" borderId="0" xfId="3" applyFont="1" applyAlignment="1" applyProtection="1">
      <alignment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1016577</xdr:colOff>
          <xdr:row>11</xdr:row>
          <xdr:rowOff>76200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5</xdr:row>
          <xdr:rowOff>85725</xdr:rowOff>
        </xdr:from>
        <xdr:to>
          <xdr:col>1</xdr:col>
          <xdr:colOff>3152775</xdr:colOff>
          <xdr:row>10</xdr:row>
          <xdr:rowOff>152400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2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87630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76200</xdr:colOff>
      <xdr:row>37</xdr:row>
      <xdr:rowOff>17145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2">
        <f>+'AFR20'!E4</f>
        <v>44119</v>
      </c>
      <c r="C1" s="2132"/>
      <c r="D1" s="2133"/>
      <c r="I1" s="2091" t="s">
        <v>402</v>
      </c>
      <c r="J1" s="2092"/>
      <c r="K1" s="2092"/>
      <c r="L1" s="2092"/>
      <c r="M1" s="2092"/>
      <c r="N1" s="2092"/>
      <c r="O1" s="2092"/>
      <c r="P1" s="2092"/>
      <c r="Q1" s="2092"/>
      <c r="R1" s="2092"/>
      <c r="S1" s="2092"/>
    </row>
    <row r="2" spans="1:32" ht="12" customHeight="1" x14ac:dyDescent="0.2">
      <c r="A2" s="1831" t="str">
        <f>"Due to ISBE on "</f>
        <v xml:space="preserve">Due to ISBE on </v>
      </c>
      <c r="B2" s="2134">
        <f>+'AFR20'!F4</f>
        <v>44151</v>
      </c>
      <c r="C2" s="2134"/>
      <c r="D2" s="2135"/>
      <c r="I2" s="2093" t="s">
        <v>2003</v>
      </c>
      <c r="J2" s="2092"/>
      <c r="K2" s="2092"/>
      <c r="L2" s="2092"/>
      <c r="M2" s="2092"/>
      <c r="N2" s="2092"/>
      <c r="O2" s="2092"/>
      <c r="P2" s="2092"/>
      <c r="Q2" s="2092"/>
      <c r="R2" s="2092"/>
      <c r="S2" s="2092"/>
    </row>
    <row r="3" spans="1:32" ht="12" customHeight="1" x14ac:dyDescent="0.2">
      <c r="A3" s="1834" t="str">
        <f>"SD/JA"&amp;MID('AFR20'!E2,3,2)</f>
        <v>SD/JA20</v>
      </c>
      <c r="B3" s="151"/>
      <c r="C3" s="151"/>
      <c r="D3" s="152"/>
      <c r="I3" s="2093" t="s">
        <v>52</v>
      </c>
      <c r="J3" s="2092"/>
      <c r="K3" s="2092"/>
      <c r="L3" s="2092"/>
      <c r="M3" s="2092"/>
      <c r="N3" s="2092"/>
      <c r="O3" s="2092"/>
      <c r="P3" s="2092"/>
      <c r="Q3" s="2092"/>
      <c r="R3" s="2092"/>
      <c r="S3" s="2092"/>
    </row>
    <row r="4" spans="1:32" ht="12" customHeight="1" x14ac:dyDescent="0.2">
      <c r="A4" s="37"/>
      <c r="I4" s="2093" t="s">
        <v>521</v>
      </c>
      <c r="J4" s="2092"/>
      <c r="K4" s="2092"/>
      <c r="L4" s="2092"/>
      <c r="M4" s="2092"/>
      <c r="N4" s="2092"/>
      <c r="O4" s="2092"/>
      <c r="P4" s="2092"/>
      <c r="Q4" s="2092"/>
      <c r="R4" s="2092"/>
      <c r="S4" s="2092"/>
    </row>
    <row r="5" spans="1:32" ht="14.1" customHeight="1" x14ac:dyDescent="0.2">
      <c r="B5" s="101" t="s">
        <v>2051</v>
      </c>
      <c r="C5" s="26" t="s">
        <v>904</v>
      </c>
      <c r="D5" s="81"/>
      <c r="E5" s="81"/>
      <c r="H5" s="38"/>
      <c r="I5" s="2101" t="s">
        <v>675</v>
      </c>
      <c r="J5" s="2100"/>
      <c r="K5" s="2100"/>
      <c r="L5" s="2100"/>
      <c r="M5" s="2100"/>
      <c r="N5" s="2100"/>
      <c r="O5" s="2100"/>
      <c r="P5" s="2100"/>
      <c r="Q5" s="2100"/>
      <c r="R5" s="2100"/>
      <c r="S5" s="2100"/>
      <c r="AF5" s="1827"/>
    </row>
    <row r="6" spans="1:32" ht="14.1" customHeight="1" x14ac:dyDescent="0.2">
      <c r="B6" s="101"/>
      <c r="C6" s="26" t="s">
        <v>905</v>
      </c>
      <c r="D6" s="81"/>
      <c r="E6" s="81"/>
      <c r="I6" s="2099" t="s">
        <v>877</v>
      </c>
      <c r="J6" s="2100"/>
      <c r="K6" s="2100"/>
      <c r="L6" s="2100"/>
      <c r="M6" s="2100"/>
      <c r="N6" s="2100"/>
      <c r="O6" s="2100"/>
      <c r="P6" s="2100"/>
      <c r="Q6" s="2100"/>
      <c r="R6" s="2100"/>
      <c r="S6" s="2100"/>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669</v>
      </c>
      <c r="J9" s="2097"/>
      <c r="K9" s="2097"/>
      <c r="L9" s="2097"/>
      <c r="M9" s="2097"/>
      <c r="N9" s="2097"/>
      <c r="O9" s="2097"/>
      <c r="P9" s="2097"/>
      <c r="Q9" s="2097"/>
      <c r="R9" s="2097"/>
      <c r="S9" s="2098"/>
      <c r="T9" s="2149" t="s">
        <v>530</v>
      </c>
      <c r="U9" s="2150"/>
      <c r="V9" s="2150"/>
      <c r="W9" s="2150"/>
      <c r="X9" s="2150"/>
      <c r="Y9" s="2150"/>
      <c r="Z9" s="2150"/>
      <c r="AA9" s="2151"/>
    </row>
    <row r="10" spans="1:32" ht="13.5" customHeight="1" x14ac:dyDescent="0.2">
      <c r="A10" s="2156" t="s">
        <v>670</v>
      </c>
      <c r="B10" s="2157"/>
      <c r="C10" s="2157"/>
      <c r="D10" s="2157"/>
      <c r="E10" s="2157"/>
      <c r="F10" s="2157"/>
      <c r="G10" s="2157"/>
      <c r="H10" s="2158"/>
      <c r="I10" s="29"/>
      <c r="J10" s="30"/>
      <c r="K10" s="28"/>
      <c r="R10" s="30"/>
      <c r="S10" s="30"/>
      <c r="T10" s="2152"/>
      <c r="U10" s="2100"/>
      <c r="V10" s="2100"/>
      <c r="W10" s="2100"/>
      <c r="X10" s="2100"/>
      <c r="Y10" s="2100"/>
      <c r="Z10" s="2100"/>
      <c r="AA10" s="2106"/>
    </row>
    <row r="11" spans="1:32" ht="14.25" customHeight="1" x14ac:dyDescent="0.2">
      <c r="A11" s="2159" t="s">
        <v>949</v>
      </c>
      <c r="B11" s="2160"/>
      <c r="C11" s="2160"/>
      <c r="D11" s="2160"/>
      <c r="E11" s="2160"/>
      <c r="F11" s="2160"/>
      <c r="G11" s="2160"/>
      <c r="H11" s="2161"/>
      <c r="I11" s="27"/>
      <c r="J11" s="71"/>
      <c r="K11" s="27"/>
      <c r="O11" s="144" t="s">
        <v>2051</v>
      </c>
      <c r="P11" s="97" t="s">
        <v>199</v>
      </c>
      <c r="Q11" s="30"/>
      <c r="R11" s="28"/>
      <c r="S11" s="27"/>
      <c r="T11" s="2153"/>
      <c r="U11" s="2154"/>
      <c r="V11" s="2154"/>
      <c r="W11" s="2154"/>
      <c r="X11" s="2154"/>
      <c r="Y11" s="2154"/>
      <c r="Z11" s="2154"/>
      <c r="AA11" s="215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2">
        <v>53090702026</v>
      </c>
      <c r="B13" s="2113"/>
      <c r="C13" s="2113"/>
      <c r="D13" s="2113"/>
      <c r="E13" s="2113"/>
      <c r="F13" s="2113"/>
      <c r="G13" s="2113"/>
      <c r="H13" s="2114"/>
      <c r="I13" s="31"/>
      <c r="J13" s="30"/>
      <c r="K13" s="28"/>
      <c r="L13" s="30"/>
      <c r="M13" s="30"/>
      <c r="N13" s="30"/>
      <c r="O13" s="30"/>
      <c r="P13" s="30"/>
      <c r="Q13" s="30"/>
      <c r="R13" s="30"/>
      <c r="S13" s="30"/>
      <c r="T13" s="2118" t="s">
        <v>2055</v>
      </c>
      <c r="U13" s="2119"/>
      <c r="V13" s="2119"/>
      <c r="W13" s="2119"/>
      <c r="X13" s="2119"/>
      <c r="Y13" s="2120"/>
      <c r="Z13" s="2120"/>
      <c r="AA13" s="212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5" t="s">
        <v>2052</v>
      </c>
      <c r="B15" s="2116"/>
      <c r="C15" s="2116"/>
      <c r="D15" s="2116"/>
      <c r="E15" s="2116"/>
      <c r="F15" s="2116"/>
      <c r="G15" s="2116"/>
      <c r="H15" s="2117"/>
      <c r="T15" s="2122" t="s">
        <v>2056</v>
      </c>
      <c r="U15" s="2079"/>
      <c r="V15" s="2079"/>
      <c r="W15" s="2079"/>
      <c r="X15" s="2079"/>
      <c r="Y15" s="2123"/>
      <c r="Z15" s="2123"/>
      <c r="AA15" s="212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2119</v>
      </c>
      <c r="B17" s="2086"/>
      <c r="C17" s="2086"/>
      <c r="D17" s="2086"/>
      <c r="E17" s="2086"/>
      <c r="F17" s="2086"/>
      <c r="G17" s="2086"/>
      <c r="H17" s="2111"/>
      <c r="T17" s="2129" t="s">
        <v>2057</v>
      </c>
      <c r="U17" s="2130"/>
      <c r="V17" s="2130"/>
      <c r="W17" s="2130"/>
      <c r="X17" s="2130"/>
      <c r="Y17" s="2130"/>
      <c r="Z17" s="2130"/>
      <c r="AA17" s="2131"/>
    </row>
    <row r="18" spans="1:27" ht="13.5" customHeight="1" x14ac:dyDescent="0.2">
      <c r="A18" s="82" t="s">
        <v>527</v>
      </c>
      <c r="B18" s="73"/>
      <c r="C18" s="69"/>
      <c r="D18" s="73"/>
      <c r="E18" s="73"/>
      <c r="F18" s="73"/>
      <c r="G18" s="73"/>
      <c r="H18" s="53"/>
      <c r="I18" s="2110" t="s">
        <v>671</v>
      </c>
      <c r="J18" s="2061"/>
      <c r="K18" s="2061"/>
      <c r="L18" s="2061"/>
      <c r="M18" s="2061"/>
      <c r="N18" s="2061"/>
      <c r="O18" s="2061"/>
      <c r="P18" s="2061"/>
      <c r="Q18" s="2061"/>
      <c r="R18" s="2061"/>
      <c r="S18" s="2062"/>
      <c r="T18" s="82" t="s">
        <v>706</v>
      </c>
      <c r="U18" s="48"/>
      <c r="V18" s="69"/>
      <c r="W18" s="47"/>
      <c r="X18" s="82" t="s">
        <v>264</v>
      </c>
      <c r="Y18" s="78"/>
      <c r="Z18" s="154" t="s">
        <v>672</v>
      </c>
      <c r="AA18" s="44"/>
    </row>
    <row r="19" spans="1:27" ht="13.5" customHeight="1" x14ac:dyDescent="0.2">
      <c r="A19" s="2115" t="s">
        <v>2053</v>
      </c>
      <c r="B19" s="2071"/>
      <c r="C19" s="2071"/>
      <c r="D19" s="2071"/>
      <c r="E19" s="2071"/>
      <c r="F19" s="2071"/>
      <c r="G19" s="2071"/>
      <c r="H19" s="2051"/>
      <c r="I19" s="30"/>
      <c r="J19" s="96"/>
      <c r="K19" s="40"/>
      <c r="L19" s="38"/>
      <c r="M19" s="109" t="s">
        <v>312</v>
      </c>
      <c r="P19" s="27"/>
      <c r="Q19" s="27"/>
      <c r="R19" s="27"/>
      <c r="S19" s="31"/>
      <c r="T19" s="2115" t="s">
        <v>2054</v>
      </c>
      <c r="U19" s="2050"/>
      <c r="V19" s="2050"/>
      <c r="W19" s="2051"/>
      <c r="X19" s="2127" t="s">
        <v>2058</v>
      </c>
      <c r="Y19" s="2128"/>
      <c r="Z19" s="2125">
        <v>61568</v>
      </c>
      <c r="AA19" s="212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9" t="s">
        <v>2054</v>
      </c>
      <c r="B21" s="2050"/>
      <c r="C21" s="2050"/>
      <c r="D21" s="2050"/>
      <c r="E21" s="2050"/>
      <c r="F21" s="2050"/>
      <c r="G21" s="2050"/>
      <c r="H21" s="2051"/>
      <c r="I21" s="2105" t="s">
        <v>673</v>
      </c>
      <c r="J21" s="2100"/>
      <c r="K21" s="2100"/>
      <c r="L21" s="2100"/>
      <c r="M21" s="2100"/>
      <c r="N21" s="2100"/>
      <c r="O21" s="2100"/>
      <c r="P21" s="2100"/>
      <c r="Q21" s="2100"/>
      <c r="R21" s="2100"/>
      <c r="S21" s="2106"/>
      <c r="T21" s="2140" t="s">
        <v>2059</v>
      </c>
      <c r="U21" s="2141"/>
      <c r="V21" s="2141"/>
      <c r="W21" s="2141"/>
      <c r="X21" s="2146" t="s">
        <v>2060</v>
      </c>
      <c r="Y21" s="2147"/>
      <c r="Z21" s="2147"/>
      <c r="AA21" s="2148"/>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2" t="s">
        <v>2062</v>
      </c>
      <c r="B23" s="2103"/>
      <c r="C23" s="2103"/>
      <c r="D23" s="2103"/>
      <c r="E23" s="2103"/>
      <c r="F23" s="2103"/>
      <c r="G23" s="2103"/>
      <c r="H23" s="2104"/>
      <c r="T23" s="2085">
        <v>65.027017999999998</v>
      </c>
      <c r="U23" s="2139"/>
      <c r="V23" s="2139"/>
      <c r="W23" s="2139"/>
      <c r="X23" s="2143">
        <v>44469</v>
      </c>
      <c r="Y23" s="2144"/>
      <c r="Z23" s="2144"/>
      <c r="AA23" s="2145"/>
    </row>
    <row r="24" spans="1:27" ht="14.1" customHeight="1" x14ac:dyDescent="0.2">
      <c r="A24" s="85" t="s">
        <v>672</v>
      </c>
      <c r="B24" s="46"/>
      <c r="C24" s="46"/>
      <c r="D24" s="46"/>
      <c r="E24" s="46"/>
      <c r="F24" s="46"/>
      <c r="G24" s="46"/>
      <c r="H24" s="58"/>
      <c r="J24" s="2072">
        <f>IF(B5="x",IF(AUDITCHECK!D29="AFR form Incomplete.","",IF(AUDITCHECK!D29="Deficit reduction plan is required.","School District must complete a deficit reduction plan in the 2020-2021 Budget",)),"")</f>
        <v>0</v>
      </c>
      <c r="K24" s="2072"/>
      <c r="L24" s="2072"/>
      <c r="M24" s="2072"/>
      <c r="N24" s="2072"/>
      <c r="O24" s="2072"/>
      <c r="P24" s="2072"/>
      <c r="Q24" s="2072"/>
      <c r="R24" s="2072"/>
      <c r="S24" s="2073"/>
      <c r="T24" s="102" t="s">
        <v>528</v>
      </c>
      <c r="U24" s="103"/>
      <c r="V24" s="103"/>
      <c r="W24" s="103"/>
      <c r="X24" s="104"/>
      <c r="Y24" s="104"/>
      <c r="Z24" s="104"/>
      <c r="AA24" s="105"/>
    </row>
    <row r="25" spans="1:27" ht="14.1" customHeight="1" x14ac:dyDescent="0.2">
      <c r="A25" s="2049">
        <v>61568</v>
      </c>
      <c r="B25" s="2050"/>
      <c r="C25" s="2050"/>
      <c r="D25" s="2050"/>
      <c r="E25" s="2050"/>
      <c r="F25" s="2050"/>
      <c r="G25" s="2050"/>
      <c r="H25" s="2051"/>
      <c r="I25" s="110"/>
      <c r="J25" s="2074"/>
      <c r="K25" s="2074"/>
      <c r="L25" s="2074"/>
      <c r="M25" s="2074"/>
      <c r="N25" s="2074"/>
      <c r="O25" s="2074"/>
      <c r="P25" s="2074"/>
      <c r="Q25" s="2074"/>
      <c r="R25" s="2074"/>
      <c r="S25" s="2075"/>
      <c r="T25" s="2136" t="s">
        <v>2061</v>
      </c>
      <c r="U25" s="2137"/>
      <c r="V25" s="2137"/>
      <c r="W25" s="2137"/>
      <c r="X25" s="2137"/>
      <c r="Y25" s="2137"/>
      <c r="Z25" s="2137"/>
      <c r="AA25" s="21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0" t="s">
        <v>1494</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1"/>
      <c r="Q35" s="2050"/>
      <c r="R35" s="20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t="s">
        <v>2063</v>
      </c>
      <c r="B38" s="2086"/>
      <c r="C38" s="2086"/>
      <c r="D38" s="2086"/>
      <c r="E38" s="2086"/>
      <c r="F38" s="2050"/>
      <c r="G38" s="2050"/>
      <c r="H38" s="2051"/>
      <c r="I38" s="2078"/>
      <c r="J38" s="2079"/>
      <c r="K38" s="2079"/>
      <c r="L38" s="2079"/>
      <c r="M38" s="2079"/>
      <c r="N38" s="2079"/>
      <c r="O38" s="2079"/>
      <c r="P38" s="2080"/>
      <c r="Q38" s="2080"/>
      <c r="R38" s="2080"/>
      <c r="S38" s="2081"/>
      <c r="T38" s="2122"/>
      <c r="U38" s="2079"/>
      <c r="V38" s="2079"/>
      <c r="W38" s="2079"/>
      <c r="X38" s="2080"/>
      <c r="Y38" s="2080"/>
      <c r="Z38" s="2080"/>
      <c r="AA38" s="2081"/>
    </row>
    <row r="39" spans="1:27" ht="12" customHeight="1" x14ac:dyDescent="0.2">
      <c r="A39" s="2055" t="s">
        <v>528</v>
      </c>
      <c r="B39" s="2056"/>
      <c r="C39" s="69"/>
      <c r="D39" s="66"/>
      <c r="E39" s="66"/>
      <c r="F39" s="76"/>
      <c r="G39" s="66"/>
      <c r="H39" s="53"/>
      <c r="I39" s="2055" t="s">
        <v>528</v>
      </c>
      <c r="J39" s="2056"/>
      <c r="K39" s="2056"/>
      <c r="L39" s="2056"/>
      <c r="M39" s="2056"/>
      <c r="N39" s="64"/>
      <c r="O39" s="69"/>
      <c r="P39" s="69"/>
      <c r="Q39" s="75"/>
      <c r="R39" s="69"/>
      <c r="S39" s="53"/>
      <c r="T39" s="69" t="s">
        <v>528</v>
      </c>
      <c r="U39" s="48"/>
      <c r="V39" s="69"/>
      <c r="W39" s="47"/>
      <c r="X39" s="75"/>
      <c r="Y39" s="43"/>
      <c r="Z39" s="43"/>
      <c r="AA39" s="44"/>
    </row>
    <row r="40" spans="1:27" ht="13.5" customHeight="1" x14ac:dyDescent="0.2">
      <c r="A40" s="2063" t="s">
        <v>2062</v>
      </c>
      <c r="B40" s="2064"/>
      <c r="C40" s="2065"/>
      <c r="D40" s="2065"/>
      <c r="E40" s="2065"/>
      <c r="F40" s="2066"/>
      <c r="G40" s="2066"/>
      <c r="H40" s="2067"/>
      <c r="I40" s="2088"/>
      <c r="J40" s="2089"/>
      <c r="K40" s="2089"/>
      <c r="L40" s="2089"/>
      <c r="M40" s="2089"/>
      <c r="N40" s="2089"/>
      <c r="O40" s="2089"/>
      <c r="P40" s="2089"/>
      <c r="Q40" s="2089"/>
      <c r="R40" s="2089"/>
      <c r="S40" s="2090"/>
      <c r="T40" s="2088"/>
      <c r="U40" s="2142"/>
      <c r="V40" s="2089"/>
      <c r="W40" s="2089"/>
      <c r="X40" s="2089"/>
      <c r="Y40" s="2089"/>
      <c r="Z40" s="2089"/>
      <c r="AA40" s="209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7" t="s">
        <v>2064</v>
      </c>
      <c r="B42" s="2069"/>
      <c r="C42" s="2070"/>
      <c r="D42" s="2068" t="s">
        <v>2065</v>
      </c>
      <c r="E42" s="2069"/>
      <c r="F42" s="2069"/>
      <c r="G42" s="2069"/>
      <c r="H42" s="2070"/>
      <c r="I42" s="2052"/>
      <c r="J42" s="2053"/>
      <c r="K42" s="2053"/>
      <c r="L42" s="2053"/>
      <c r="M42" s="2053"/>
      <c r="N42" s="2053"/>
      <c r="O42" s="2054"/>
      <c r="P42" s="2087"/>
      <c r="Q42" s="2053"/>
      <c r="R42" s="2053"/>
      <c r="S42" s="2054"/>
      <c r="T42" s="2052"/>
      <c r="U42" s="2053"/>
      <c r="V42" s="2053"/>
      <c r="W42" s="2054"/>
      <c r="X42" s="2087"/>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1"/>
      <c r="B3" s="1294"/>
      <c r="C3" s="1295"/>
      <c r="D3" s="1296" t="s">
        <v>254</v>
      </c>
      <c r="E3" s="1295"/>
      <c r="F3" s="1296" t="s">
        <v>255</v>
      </c>
    </row>
    <row r="4" spans="1:8" ht="13.7" customHeight="1" x14ac:dyDescent="0.2">
      <c r="A4" s="579" t="s">
        <v>1145</v>
      </c>
      <c r="B4" s="1721">
        <f>'Revenues 9-14'!C5</f>
        <v>3806486</v>
      </c>
      <c r="C4" s="1722"/>
      <c r="D4" s="1723">
        <f>B4-C4</f>
        <v>3806486</v>
      </c>
      <c r="E4" s="1722">
        <v>3979458</v>
      </c>
      <c r="F4" s="1723">
        <f>E4-C4</f>
        <v>3979458</v>
      </c>
    </row>
    <row r="5" spans="1:8" ht="13.7" customHeight="1" x14ac:dyDescent="0.2">
      <c r="A5" s="579" t="s">
        <v>865</v>
      </c>
      <c r="B5" s="1724">
        <f>'Revenues 9-14'!D5</f>
        <v>624262</v>
      </c>
      <c r="C5" s="1664"/>
      <c r="D5" s="1725">
        <f t="shared" ref="D5:D18" si="0">B5-C5</f>
        <v>624262</v>
      </c>
      <c r="E5" s="1664">
        <v>652659</v>
      </c>
      <c r="F5" s="1725">
        <f>E5-C5</f>
        <v>652659</v>
      </c>
    </row>
    <row r="6" spans="1:8" ht="13.7" customHeight="1" x14ac:dyDescent="0.2">
      <c r="A6" s="579" t="s">
        <v>408</v>
      </c>
      <c r="B6" s="1724">
        <f>'Revenues 9-14'!E5</f>
        <v>1152152</v>
      </c>
      <c r="C6" s="1664"/>
      <c r="D6" s="1725">
        <f t="shared" si="0"/>
        <v>1152152</v>
      </c>
      <c r="E6" s="1664">
        <v>1204337</v>
      </c>
      <c r="F6" s="1725">
        <f t="shared" ref="F6:F18" si="1">E6-C6</f>
        <v>1204337</v>
      </c>
    </row>
    <row r="7" spans="1:8" ht="13.7" customHeight="1" x14ac:dyDescent="0.2">
      <c r="A7" s="579" t="s">
        <v>154</v>
      </c>
      <c r="B7" s="1724">
        <f>'Revenues 9-14'!F5</f>
        <v>236154</v>
      </c>
      <c r="C7" s="1664"/>
      <c r="D7" s="1725">
        <f t="shared" si="0"/>
        <v>236154</v>
      </c>
      <c r="E7" s="1664">
        <v>242302</v>
      </c>
      <c r="F7" s="1725">
        <f t="shared" si="1"/>
        <v>242302</v>
      </c>
    </row>
    <row r="8" spans="1:8" ht="13.7" customHeight="1" x14ac:dyDescent="0.2">
      <c r="A8" s="579" t="s">
        <v>1169</v>
      </c>
      <c r="B8" s="1724">
        <f>'Revenues 9-14'!G5</f>
        <v>12124</v>
      </c>
      <c r="C8" s="1664"/>
      <c r="D8" s="1725">
        <f t="shared" si="0"/>
        <v>12124</v>
      </c>
      <c r="E8" s="1664">
        <v>12887</v>
      </c>
      <c r="F8" s="1725">
        <f t="shared" si="1"/>
        <v>12887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27226</v>
      </c>
      <c r="C10" s="1664"/>
      <c r="D10" s="1725">
        <f t="shared" si="0"/>
        <v>27226</v>
      </c>
      <c r="E10" s="1664">
        <v>28905</v>
      </c>
      <c r="F10" s="1725">
        <f t="shared" si="1"/>
        <v>28905</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47609</v>
      </c>
      <c r="C14" s="1664"/>
      <c r="D14" s="1725">
        <f t="shared" si="0"/>
        <v>47609</v>
      </c>
      <c r="E14" s="1664">
        <v>52117</v>
      </c>
      <c r="F14" s="1725">
        <f t="shared" si="1"/>
        <v>52117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297289</v>
      </c>
      <c r="C16" s="1664"/>
      <c r="D16" s="1725">
        <f t="shared" si="0"/>
        <v>297289</v>
      </c>
      <c r="E16" s="1664">
        <v>315635</v>
      </c>
      <c r="F16" s="1725">
        <f t="shared" si="1"/>
        <v>315635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6203302</v>
      </c>
      <c r="C19" s="1726">
        <f>SUM(C4:C18)</f>
        <v>0</v>
      </c>
      <c r="D19" s="1726">
        <f>SUM(D4:D18)</f>
        <v>6203302</v>
      </c>
      <c r="E19" s="1726">
        <f>SUM(E4:E18)</f>
        <v>6488300</v>
      </c>
      <c r="F19" s="1726">
        <f>SUM(F4:F18)</f>
        <v>6488300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625</v>
      </c>
      <c r="B1" s="2320"/>
      <c r="C1" s="585"/>
    </row>
    <row r="2" spans="1:7" ht="33.75" x14ac:dyDescent="0.2">
      <c r="A2" s="2327" t="s">
        <v>1779</v>
      </c>
      <c r="B2" s="232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9" t="s">
        <v>1104</v>
      </c>
      <c r="B3" s="2330"/>
      <c r="C3" s="2323"/>
      <c r="D3" s="2324"/>
      <c r="E3" s="2324"/>
      <c r="F3" s="2325"/>
    </row>
    <row r="4" spans="1:7" ht="12.75" customHeight="1" thickBot="1" x14ac:dyDescent="0.25">
      <c r="A4" s="2317" t="s">
        <v>626</v>
      </c>
      <c r="B4" s="2318"/>
      <c r="C4" s="1656"/>
      <c r="D4" s="1656"/>
      <c r="E4" s="1656"/>
      <c r="F4" s="1732">
        <f>SUM(C4+D4)-E4</f>
        <v>0</v>
      </c>
    </row>
    <row r="5" spans="1:7" ht="15.75" customHeight="1" thickTop="1" x14ac:dyDescent="0.2">
      <c r="A5" s="2321" t="s">
        <v>1101</v>
      </c>
      <c r="B5" s="2316"/>
      <c r="C5" s="2310"/>
      <c r="D5" s="2311"/>
      <c r="E5" s="2311"/>
      <c r="F5" s="231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3" t="s">
        <v>627</v>
      </c>
      <c r="B15" s="2314"/>
      <c r="C15" s="1732">
        <f>SUM(C6:C14)</f>
        <v>0</v>
      </c>
      <c r="D15" s="1732">
        <f>SUM(D6:D14)</f>
        <v>0</v>
      </c>
      <c r="E15" s="1732">
        <f>SUM(E6:E14)</f>
        <v>0</v>
      </c>
      <c r="F15" s="1732">
        <f>SUM(F6:F14)</f>
        <v>0</v>
      </c>
      <c r="G15" s="473"/>
    </row>
    <row r="16" spans="1:7" s="197" customFormat="1" ht="15.75" customHeight="1" thickTop="1" x14ac:dyDescent="0.2">
      <c r="A16" s="2326" t="s">
        <v>1102</v>
      </c>
      <c r="B16" s="2316"/>
      <c r="C16" s="2310"/>
      <c r="D16" s="2311"/>
      <c r="E16" s="2311"/>
      <c r="F16" s="2312"/>
    </row>
    <row r="17" spans="1:11" ht="12.75" customHeight="1" thickBot="1" x14ac:dyDescent="0.25">
      <c r="A17" s="2308" t="s">
        <v>64</v>
      </c>
      <c r="B17" s="2309"/>
      <c r="C17" s="1733"/>
      <c r="D17" s="1664"/>
      <c r="E17" s="1733"/>
      <c r="F17" s="1732">
        <f>SUM(C17+D17)-E17</f>
        <v>0</v>
      </c>
    </row>
    <row r="18" spans="1:11" ht="12.75" customHeight="1" thickTop="1" thickBot="1" x14ac:dyDescent="0.25">
      <c r="A18" s="2308" t="s">
        <v>6</v>
      </c>
      <c r="B18" s="2309"/>
      <c r="C18" s="1733"/>
      <c r="D18" s="1664"/>
      <c r="E18" s="1733"/>
      <c r="F18" s="1732">
        <f>SUM(C18+D18)-E18</f>
        <v>0</v>
      </c>
    </row>
    <row r="19" spans="1:11" ht="12.75" customHeight="1" thickTop="1" thickBot="1" x14ac:dyDescent="0.25">
      <c r="A19" s="2308" t="s">
        <v>385</v>
      </c>
      <c r="B19" s="2309"/>
      <c r="C19" s="1733"/>
      <c r="D19" s="1664"/>
      <c r="E19" s="1733"/>
      <c r="F19" s="1732">
        <f>SUM(C19+D19)-E19</f>
        <v>0</v>
      </c>
    </row>
    <row r="20" spans="1:11" ht="12.75" customHeight="1" thickTop="1" thickBot="1" x14ac:dyDescent="0.25">
      <c r="A20" s="2308" t="s">
        <v>445</v>
      </c>
      <c r="B20" s="2309"/>
      <c r="C20" s="1733"/>
      <c r="D20" s="1664"/>
      <c r="E20" s="1733"/>
      <c r="F20" s="1732">
        <f>SUM(C20+D20)-E20</f>
        <v>0</v>
      </c>
    </row>
    <row r="21" spans="1:11" ht="14.25" thickTop="1" thickBot="1" x14ac:dyDescent="0.25">
      <c r="A21" s="2313" t="s">
        <v>628</v>
      </c>
      <c r="B21" s="2314"/>
      <c r="C21" s="1732">
        <f>SUM(C17:C20)</f>
        <v>0</v>
      </c>
      <c r="D21" s="1732">
        <f>SUM(D17:D20)</f>
        <v>0</v>
      </c>
      <c r="E21" s="1732">
        <f>SUM(E17:E20)</f>
        <v>0</v>
      </c>
      <c r="F21" s="1732">
        <f>SUM(F17:F20)</f>
        <v>0</v>
      </c>
      <c r="G21" s="473"/>
    </row>
    <row r="22" spans="1:11" ht="15.75" customHeight="1" thickTop="1" x14ac:dyDescent="0.2">
      <c r="A22" s="2315" t="s">
        <v>1103</v>
      </c>
      <c r="B22" s="2316"/>
      <c r="C22" s="2310"/>
      <c r="D22" s="2311"/>
      <c r="E22" s="2311"/>
      <c r="F22" s="2312"/>
    </row>
    <row r="23" spans="1:11" ht="13.5" thickBot="1" x14ac:dyDescent="0.25">
      <c r="A23" s="2317" t="s">
        <v>629</v>
      </c>
      <c r="B23" s="2318"/>
      <c r="C23" s="1656"/>
      <c r="D23" s="1656"/>
      <c r="E23" s="1656"/>
      <c r="F23" s="1732">
        <f>SUM(C23+D23)-E23</f>
        <v>0</v>
      </c>
      <c r="G23" s="473"/>
    </row>
    <row r="24" spans="1:11" ht="15.75" customHeight="1" thickTop="1" x14ac:dyDescent="0.2">
      <c r="A24" s="2315" t="s">
        <v>2006</v>
      </c>
      <c r="B24" s="2316"/>
      <c r="C24" s="2310"/>
      <c r="D24" s="2311"/>
      <c r="E24" s="2311"/>
      <c r="F24" s="2312"/>
    </row>
    <row r="25" spans="1:11" ht="13.5" thickBot="1" x14ac:dyDescent="0.25">
      <c r="A25" s="2317" t="s">
        <v>2007</v>
      </c>
      <c r="B25" s="2318"/>
      <c r="C25" s="1656"/>
      <c r="D25" s="1656"/>
      <c r="E25" s="1656"/>
      <c r="F25" s="1732">
        <f>SUM(C25+D25)-E25</f>
        <v>0</v>
      </c>
      <c r="G25" s="473"/>
    </row>
    <row r="26" spans="1:11" ht="15.75" customHeight="1" thickTop="1" x14ac:dyDescent="0.2">
      <c r="A26" s="2321" t="s">
        <v>652</v>
      </c>
      <c r="B26" s="2316"/>
      <c r="C26" s="589"/>
      <c r="D26" s="589"/>
      <c r="E26" s="589"/>
      <c r="F26" s="590"/>
    </row>
    <row r="27" spans="1:11" ht="13.5" thickBot="1" x14ac:dyDescent="0.25">
      <c r="A27" s="2313" t="s">
        <v>1061</v>
      </c>
      <c r="B27" s="2314"/>
      <c r="C27" s="1664"/>
      <c r="D27" s="1664"/>
      <c r="E27" s="1664"/>
      <c r="F27" s="1732">
        <f>SUM(C27+D27)-E27</f>
        <v>0</v>
      </c>
      <c r="G27" s="473"/>
    </row>
    <row r="28" spans="1:11" ht="7.5" customHeight="1" thickTop="1" x14ac:dyDescent="0.2">
      <c r="A28" s="489"/>
    </row>
    <row r="29" spans="1:11" ht="23.25" customHeight="1" x14ac:dyDescent="0.2">
      <c r="A29" s="2319" t="s">
        <v>578</v>
      </c>
      <c r="B29" s="232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41609</v>
      </c>
      <c r="C31" s="1734">
        <v>1000000</v>
      </c>
      <c r="D31" s="1735">
        <v>1</v>
      </c>
      <c r="E31" s="1734">
        <v>245000</v>
      </c>
      <c r="F31" s="1734"/>
      <c r="G31" s="1734"/>
      <c r="H31" s="1734">
        <v>175000</v>
      </c>
      <c r="I31" s="1736">
        <f>((E31+F31)-H31)+G31</f>
        <v>70000</v>
      </c>
      <c r="J31" s="1734">
        <v>0</v>
      </c>
      <c r="K31" s="596"/>
    </row>
    <row r="32" spans="1:11" ht="12" customHeight="1" x14ac:dyDescent="0.2">
      <c r="A32" s="594" t="s">
        <v>2069</v>
      </c>
      <c r="B32" s="595">
        <v>42398</v>
      </c>
      <c r="C32" s="1734">
        <v>7360000</v>
      </c>
      <c r="D32" s="1735">
        <v>3</v>
      </c>
      <c r="E32" s="1734">
        <v>5525000</v>
      </c>
      <c r="F32" s="1734"/>
      <c r="G32" s="1734"/>
      <c r="H32" s="1734">
        <v>815000</v>
      </c>
      <c r="I32" s="1736">
        <f>((E32+F32)-H32)+G32</f>
        <v>4710000</v>
      </c>
      <c r="J32" s="1734">
        <v>4707524</v>
      </c>
      <c r="K32" s="596"/>
    </row>
    <row r="33" spans="1:11" ht="12" customHeight="1" x14ac:dyDescent="0.2">
      <c r="A33" s="594" t="s">
        <v>2070</v>
      </c>
      <c r="B33" s="595">
        <v>43097</v>
      </c>
      <c r="C33" s="1734">
        <v>465000</v>
      </c>
      <c r="D33" s="1735">
        <v>3</v>
      </c>
      <c r="E33" s="1734">
        <v>415000</v>
      </c>
      <c r="F33" s="1734"/>
      <c r="G33" s="1734"/>
      <c r="H33" s="1734">
        <v>50000</v>
      </c>
      <c r="I33" s="1736">
        <f t="shared" ref="I33:I48" si="1">((E33+F33)-H33)+G33</f>
        <v>365000</v>
      </c>
      <c r="J33" s="1734">
        <v>365000</v>
      </c>
      <c r="K33" s="596"/>
    </row>
    <row r="34" spans="1:11" ht="12" customHeight="1" x14ac:dyDescent="0.2">
      <c r="A34" s="594" t="s">
        <v>2071</v>
      </c>
      <c r="B34" s="595">
        <v>43530</v>
      </c>
      <c r="C34" s="1734">
        <v>630000</v>
      </c>
      <c r="D34" s="1735">
        <v>1</v>
      </c>
      <c r="E34" s="1734">
        <v>630000</v>
      </c>
      <c r="F34" s="1734"/>
      <c r="G34" s="1734"/>
      <c r="H34" s="1734"/>
      <c r="I34" s="1736">
        <f t="shared" si="1"/>
        <v>630000</v>
      </c>
      <c r="J34" s="1734">
        <v>630000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9455000</v>
      </c>
      <c r="D49" s="1742"/>
      <c r="E49" s="1736">
        <f t="shared" ref="E49:J49" si="2">SUM(E31:E48)</f>
        <v>6815000</v>
      </c>
      <c r="F49" s="1736">
        <f t="shared" si="2"/>
        <v>0</v>
      </c>
      <c r="G49" s="1736">
        <f t="shared" si="2"/>
        <v>0</v>
      </c>
      <c r="H49" s="1736">
        <f t="shared" si="2"/>
        <v>1040000</v>
      </c>
      <c r="I49" s="1736">
        <f t="shared" si="2"/>
        <v>5775000</v>
      </c>
      <c r="J49" s="1736">
        <f t="shared" si="2"/>
        <v>5702524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c r="G52" s="2305"/>
      <c r="H52" s="596"/>
      <c r="I52" s="596"/>
      <c r="J52" s="600"/>
    </row>
    <row r="53" spans="1:11" ht="11.25" customHeight="1" x14ac:dyDescent="0.2">
      <c r="A53" s="604" t="s">
        <v>907</v>
      </c>
      <c r="B53" s="605" t="s">
        <v>945</v>
      </c>
      <c r="C53" s="600"/>
      <c r="D53" s="597"/>
      <c r="E53" s="603" t="s">
        <v>494</v>
      </c>
      <c r="F53" s="2306"/>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4" sqref="G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1" t="s">
        <v>851</v>
      </c>
      <c r="B1" s="2332"/>
      <c r="C1" s="2332"/>
      <c r="D1" s="2332"/>
      <c r="E1" s="2332"/>
      <c r="F1" s="2332"/>
      <c r="G1" s="2333"/>
      <c r="H1" s="1298"/>
      <c r="I1" s="614"/>
      <c r="J1" s="400"/>
    </row>
    <row r="2" spans="1:11" ht="26.25" x14ac:dyDescent="0.2">
      <c r="A2" s="2350" t="s">
        <v>1658</v>
      </c>
      <c r="B2" s="2351"/>
      <c r="C2" s="2351"/>
      <c r="D2" s="2351"/>
      <c r="E2" s="2352"/>
      <c r="F2" s="615" t="s">
        <v>898</v>
      </c>
      <c r="G2" s="616" t="s">
        <v>1655</v>
      </c>
      <c r="H2" s="616" t="s">
        <v>407</v>
      </c>
      <c r="I2" s="616" t="s">
        <v>1148</v>
      </c>
      <c r="J2" s="616" t="s">
        <v>1789</v>
      </c>
      <c r="K2" s="616" t="s">
        <v>137</v>
      </c>
    </row>
    <row r="3" spans="1:11" x14ac:dyDescent="0.2">
      <c r="A3" s="2353" t="str">
        <f>"Cash Basis Fund Balance as of July 1, "&amp;'AFR20'!E2-1</f>
        <v>Cash Basis Fund Balance as of July 1, 2019</v>
      </c>
      <c r="B3" s="2354"/>
      <c r="C3" s="2354"/>
      <c r="D3" s="2354"/>
      <c r="E3" s="2355"/>
      <c r="F3" s="617"/>
      <c r="G3" s="1744">
        <v>0</v>
      </c>
      <c r="H3" s="1744">
        <v>0</v>
      </c>
      <c r="I3" s="1744">
        <v>0</v>
      </c>
      <c r="J3" s="1745">
        <v>0</v>
      </c>
      <c r="K3" s="1745">
        <v>0</v>
      </c>
    </row>
    <row r="4" spans="1:11" x14ac:dyDescent="0.2">
      <c r="A4" s="2356" t="s">
        <v>366</v>
      </c>
      <c r="B4" s="2357"/>
      <c r="C4" s="2357"/>
      <c r="D4" s="2357"/>
      <c r="E4" s="2303"/>
      <c r="F4" s="620"/>
      <c r="G4" s="1746"/>
      <c r="H4" s="1747"/>
      <c r="I4" s="1746"/>
      <c r="J4" s="1748"/>
      <c r="K4" s="1748"/>
    </row>
    <row r="5" spans="1:11" x14ac:dyDescent="0.2">
      <c r="A5" s="2334" t="s">
        <v>1060</v>
      </c>
      <c r="B5" s="2335"/>
      <c r="C5" s="2335"/>
      <c r="D5" s="2335"/>
      <c r="E5" s="2336"/>
      <c r="F5" s="622" t="s">
        <v>843</v>
      </c>
      <c r="G5" s="1749"/>
      <c r="H5" s="1744">
        <v>47609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5300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10829</v>
      </c>
    </row>
    <row r="10" spans="1:11" x14ac:dyDescent="0.2">
      <c r="A10" s="2334" t="s">
        <v>1790</v>
      </c>
      <c r="B10" s="2335"/>
      <c r="C10" s="2335"/>
      <c r="D10" s="2335"/>
      <c r="E10" s="2337"/>
      <c r="F10" s="633" t="s">
        <v>857</v>
      </c>
      <c r="G10" s="1753"/>
      <c r="H10" s="1754">
        <v>583998</v>
      </c>
      <c r="I10" s="1744"/>
      <c r="J10" s="1745"/>
      <c r="K10" s="1745"/>
    </row>
    <row r="11" spans="1:11" x14ac:dyDescent="0.2">
      <c r="A11" s="2334" t="s">
        <v>159</v>
      </c>
      <c r="B11" s="2335"/>
      <c r="C11" s="2335"/>
      <c r="D11" s="2335"/>
      <c r="E11" s="2336"/>
      <c r="F11" s="622" t="s">
        <v>847</v>
      </c>
      <c r="G11" s="1749"/>
      <c r="H11" s="1744"/>
      <c r="I11" s="1744"/>
      <c r="J11" s="1745"/>
      <c r="K11" s="1751"/>
    </row>
    <row r="12" spans="1:11" ht="13.5" thickBot="1" x14ac:dyDescent="0.25">
      <c r="A12" s="2361" t="s">
        <v>899</v>
      </c>
      <c r="B12" s="2362"/>
      <c r="C12" s="2362"/>
      <c r="D12" s="2362"/>
      <c r="E12" s="2363"/>
      <c r="F12" s="1433"/>
      <c r="G12" s="1755">
        <f>SUM(G5:G11)</f>
        <v>0</v>
      </c>
      <c r="H12" s="1755">
        <f>SUM(H5:H11)</f>
        <v>631607</v>
      </c>
      <c r="I12" s="1755">
        <f>SUM(I5:I11)</f>
        <v>0</v>
      </c>
      <c r="J12" s="1755">
        <f>SUM(J5:J11)</f>
        <v>0</v>
      </c>
      <c r="K12" s="1755">
        <f>SUM(K5:K11)</f>
        <v>16129</v>
      </c>
    </row>
    <row r="13" spans="1:11" ht="13.5" thickTop="1" x14ac:dyDescent="0.2">
      <c r="A13" s="2358" t="s">
        <v>367</v>
      </c>
      <c r="B13" s="2359"/>
      <c r="C13" s="2359"/>
      <c r="D13" s="2359"/>
      <c r="E13" s="2360"/>
      <c r="F13" s="634"/>
      <c r="G13" s="1756"/>
      <c r="H13" s="1757"/>
      <c r="I13" s="1758"/>
      <c r="J13" s="1758"/>
      <c r="K13" s="1758"/>
    </row>
    <row r="14" spans="1:11" x14ac:dyDescent="0.2">
      <c r="A14" s="2341" t="s">
        <v>453</v>
      </c>
      <c r="B14" s="2341"/>
      <c r="C14" s="2341"/>
      <c r="D14" s="2341"/>
      <c r="E14" s="2342"/>
      <c r="F14" s="635" t="s">
        <v>849</v>
      </c>
      <c r="G14" s="1753"/>
      <c r="H14" s="1744">
        <v>631607</v>
      </c>
      <c r="I14" s="1749"/>
      <c r="J14" s="1751"/>
      <c r="K14" s="1745">
        <v>16129</v>
      </c>
    </row>
    <row r="15" spans="1:11" x14ac:dyDescent="0.2">
      <c r="A15" s="2335" t="s">
        <v>4</v>
      </c>
      <c r="B15" s="2335"/>
      <c r="C15" s="2335"/>
      <c r="D15" s="2335"/>
      <c r="E15" s="2336"/>
      <c r="F15" s="635" t="s">
        <v>850</v>
      </c>
      <c r="G15" s="1749"/>
      <c r="H15" s="1744"/>
      <c r="I15" s="1744"/>
      <c r="J15" s="1745"/>
      <c r="K15" s="1745"/>
    </row>
    <row r="16" spans="1:11" x14ac:dyDescent="0.2">
      <c r="A16" s="2335" t="s">
        <v>295</v>
      </c>
      <c r="B16" s="2335"/>
      <c r="C16" s="2335"/>
      <c r="D16" s="2335"/>
      <c r="E16" s="2336"/>
      <c r="F16" s="635" t="s">
        <v>917</v>
      </c>
      <c r="G16" s="1750"/>
      <c r="H16" s="1746"/>
      <c r="I16" s="1746"/>
      <c r="J16" s="1748"/>
      <c r="K16" s="1748"/>
    </row>
    <row r="17" spans="1:15" x14ac:dyDescent="0.2">
      <c r="A17" s="2368" t="s">
        <v>929</v>
      </c>
      <c r="B17" s="2368"/>
      <c r="C17" s="2368"/>
      <c r="D17" s="2368"/>
      <c r="E17" s="2369"/>
      <c r="F17" s="636"/>
      <c r="G17" s="1759"/>
      <c r="H17" s="1760"/>
      <c r="I17" s="1760"/>
      <c r="J17" s="1761"/>
      <c r="K17" s="1762"/>
    </row>
    <row r="18" spans="1:15" x14ac:dyDescent="0.2">
      <c r="A18" s="2345" t="s">
        <v>365</v>
      </c>
      <c r="B18" s="2346"/>
      <c r="C18" s="2346"/>
      <c r="D18" s="2346"/>
      <c r="E18" s="2347"/>
      <c r="F18" s="635" t="s">
        <v>926</v>
      </c>
      <c r="G18" s="1753"/>
      <c r="H18" s="1753"/>
      <c r="I18" s="1753"/>
      <c r="J18" s="1745"/>
      <c r="K18" s="1763"/>
    </row>
    <row r="19" spans="1:15" ht="21.75" customHeight="1" x14ac:dyDescent="0.2">
      <c r="A19" s="2343" t="s">
        <v>1786</v>
      </c>
      <c r="B19" s="2343"/>
      <c r="C19" s="2343"/>
      <c r="D19" s="2343"/>
      <c r="E19" s="2344"/>
      <c r="F19" s="635" t="s">
        <v>927</v>
      </c>
      <c r="G19" s="1753"/>
      <c r="H19" s="1753"/>
      <c r="I19" s="1753"/>
      <c r="J19" s="1745"/>
      <c r="K19" s="1763"/>
    </row>
    <row r="20" spans="1:15" x14ac:dyDescent="0.2">
      <c r="A20" s="2345" t="s">
        <v>1791</v>
      </c>
      <c r="B20" s="2346"/>
      <c r="C20" s="2346"/>
      <c r="D20" s="2346"/>
      <c r="E20" s="2347"/>
      <c r="F20" s="635" t="s">
        <v>928</v>
      </c>
      <c r="G20" s="1753"/>
      <c r="H20" s="1753"/>
      <c r="I20" s="1753"/>
      <c r="J20" s="1745"/>
      <c r="K20" s="1763"/>
    </row>
    <row r="21" spans="1:15" ht="13.5" thickBot="1" x14ac:dyDescent="0.25">
      <c r="A21" s="2364" t="s">
        <v>633</v>
      </c>
      <c r="B21" s="2364"/>
      <c r="C21" s="2364"/>
      <c r="D21" s="2364"/>
      <c r="E21" s="2364"/>
      <c r="F21" s="1434"/>
      <c r="G21" s="1760"/>
      <c r="H21" s="1764"/>
      <c r="I21" s="1764"/>
      <c r="J21" s="1765">
        <f>SUM(J18:J20)</f>
        <v>0</v>
      </c>
      <c r="K21" s="1761"/>
    </row>
    <row r="22" spans="1:15" ht="13.5" thickTop="1" x14ac:dyDescent="0.2">
      <c r="A22" s="2335" t="s">
        <v>1792</v>
      </c>
      <c r="B22" s="2335"/>
      <c r="C22" s="2335"/>
      <c r="D22" s="2335"/>
      <c r="E22" s="2336"/>
      <c r="F22" s="635" t="s">
        <v>857</v>
      </c>
      <c r="G22" s="1753"/>
      <c r="H22" s="1744"/>
      <c r="I22" s="1744"/>
      <c r="J22" s="1766"/>
      <c r="K22" s="1745"/>
    </row>
    <row r="23" spans="1:15" ht="13.5" thickBot="1" x14ac:dyDescent="0.25">
      <c r="A23" s="2365" t="s">
        <v>900</v>
      </c>
      <c r="B23" s="2364"/>
      <c r="C23" s="2364"/>
      <c r="D23" s="2364"/>
      <c r="E23" s="2364"/>
      <c r="F23" s="1436"/>
      <c r="G23" s="1755">
        <f>SUM(G14:G16,G21,G22)</f>
        <v>0</v>
      </c>
      <c r="H23" s="1755">
        <f>SUM(H14:H16,H21,H22)</f>
        <v>631607</v>
      </c>
      <c r="I23" s="1755">
        <f>SUM(I14:I16,I21,I22)</f>
        <v>0</v>
      </c>
      <c r="J23" s="1755">
        <f>SUM(J14:J16,J21,J22)</f>
        <v>0</v>
      </c>
      <c r="K23" s="1755">
        <f>SUM(K14:K16,K21,K22)</f>
        <v>16129</v>
      </c>
      <c r="M23" s="1846"/>
      <c r="N23" s="1846"/>
      <c r="O23" s="1846"/>
    </row>
    <row r="24" spans="1:15" ht="14.25" thickTop="1" thickBot="1" x14ac:dyDescent="0.25">
      <c r="A24" s="2366" t="str">
        <f>"Ending Cash Basis Fund Balance as of June 30, "&amp;'AFR20'!E2</f>
        <v>Ending Cash Basis Fund Balance as of June 30, 2020</v>
      </c>
      <c r="B24" s="2367"/>
      <c r="C24" s="2367"/>
      <c r="D24" s="2367"/>
      <c r="E24" s="236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8"/>
      <c r="I31" s="2339"/>
      <c r="J31" s="2339"/>
      <c r="K31" s="2339"/>
    </row>
    <row r="32" spans="1:15" x14ac:dyDescent="0.2">
      <c r="A32" s="649"/>
      <c r="B32" s="232"/>
      <c r="C32" s="232"/>
      <c r="D32" s="232"/>
      <c r="E32" s="645"/>
      <c r="F32" s="651" t="s">
        <v>537</v>
      </c>
      <c r="G32" s="618"/>
      <c r="H32" s="2340"/>
      <c r="I32" s="2339"/>
      <c r="J32" s="2339"/>
      <c r="K32" s="2339"/>
    </row>
    <row r="33" spans="1:11" ht="1.5" customHeight="1" x14ac:dyDescent="0.2">
      <c r="A33" s="652" t="s">
        <v>1159</v>
      </c>
      <c r="B33" s="341"/>
      <c r="C33" s="341"/>
      <c r="D33" s="341"/>
      <c r="E33" s="341"/>
      <c r="F33" s="341"/>
      <c r="G33" s="653"/>
      <c r="H33" s="2340"/>
      <c r="I33" s="2339"/>
      <c r="J33" s="2339"/>
      <c r="K33" s="233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48"/>
      <c r="C41" s="2348"/>
      <c r="D41" s="2348"/>
      <c r="E41" s="2348"/>
      <c r="F41" s="234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1875</v>
      </c>
      <c r="B1" s="2373"/>
      <c r="C1" s="2374"/>
      <c r="D1" s="666"/>
      <c r="E1" s="667"/>
      <c r="F1" s="667"/>
      <c r="G1" s="668"/>
      <c r="H1" s="669"/>
      <c r="I1" s="670"/>
      <c r="J1" s="2370"/>
      <c r="K1" s="2371"/>
      <c r="L1" s="237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51845</v>
      </c>
      <c r="D5" s="1770"/>
      <c r="E5" s="1770"/>
      <c r="F5" s="1765">
        <f>(C5+D5)-E5</f>
        <v>51845</v>
      </c>
      <c r="G5" s="676"/>
      <c r="H5" s="680"/>
      <c r="I5" s="680"/>
      <c r="J5" s="680"/>
      <c r="K5" s="637"/>
      <c r="L5" s="1442">
        <f>F5-K5</f>
        <v>51845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17529342</v>
      </c>
      <c r="D8" s="1771">
        <v>676057</v>
      </c>
      <c r="E8" s="1771"/>
      <c r="F8" s="1765">
        <f>(C8+D8)-E8</f>
        <v>18205399</v>
      </c>
      <c r="G8" s="681">
        <v>50</v>
      </c>
      <c r="H8" s="619">
        <v>6587004</v>
      </c>
      <c r="I8" s="619">
        <v>329887</v>
      </c>
      <c r="J8" s="619"/>
      <c r="K8" s="1442">
        <f>(H8+I8)-J8</f>
        <v>6916891</v>
      </c>
      <c r="L8" s="1442">
        <f>F8-K8</f>
        <v>11288508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2921350</v>
      </c>
      <c r="D10" s="1772"/>
      <c r="E10" s="1772"/>
      <c r="F10" s="1773">
        <f>(C10+D10)-E10</f>
        <v>2921350</v>
      </c>
      <c r="G10" s="681">
        <v>20</v>
      </c>
      <c r="H10" s="683">
        <v>1654249</v>
      </c>
      <c r="I10" s="683">
        <v>145896</v>
      </c>
      <c r="J10" s="683"/>
      <c r="K10" s="1442">
        <f>(H10+I10)-J10</f>
        <v>1800145</v>
      </c>
      <c r="L10" s="1442">
        <f>F10-K10</f>
        <v>1121205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871732</v>
      </c>
      <c r="D12" s="1771">
        <v>51769</v>
      </c>
      <c r="E12" s="1771">
        <v>29943</v>
      </c>
      <c r="F12" s="1765">
        <f>(C12+D12)-E12</f>
        <v>893558</v>
      </c>
      <c r="G12" s="681">
        <v>10</v>
      </c>
      <c r="H12" s="619">
        <v>658316</v>
      </c>
      <c r="I12" s="619">
        <v>46857</v>
      </c>
      <c r="J12" s="619">
        <v>29943</v>
      </c>
      <c r="K12" s="1442">
        <f>(H12+I12)-J12</f>
        <v>675230</v>
      </c>
      <c r="L12" s="1442">
        <f>F12-K12</f>
        <v>218328</v>
      </c>
    </row>
    <row r="13" spans="1:14" ht="14.25" thickTop="1" thickBot="1" x14ac:dyDescent="0.25">
      <c r="A13" s="684" t="s">
        <v>1112</v>
      </c>
      <c r="B13" s="679">
        <v>252</v>
      </c>
      <c r="C13" s="1771">
        <v>48241</v>
      </c>
      <c r="D13" s="1771">
        <v>24737</v>
      </c>
      <c r="E13" s="1771">
        <v>1179</v>
      </c>
      <c r="F13" s="1765">
        <f>(C13+D13)-E13</f>
        <v>71799</v>
      </c>
      <c r="G13" s="681">
        <v>5</v>
      </c>
      <c r="H13" s="619">
        <v>47737</v>
      </c>
      <c r="I13" s="619">
        <v>5244</v>
      </c>
      <c r="J13" s="619">
        <v>1179</v>
      </c>
      <c r="K13" s="1442">
        <f>(H13+I13)-J13</f>
        <v>51802</v>
      </c>
      <c r="L13" s="1442">
        <f>F13-K13</f>
        <v>19997</v>
      </c>
    </row>
    <row r="14" spans="1:14" ht="14.25" thickTop="1" thickBot="1" x14ac:dyDescent="0.25">
      <c r="A14" s="684" t="s">
        <v>1113</v>
      </c>
      <c r="B14" s="679">
        <v>253</v>
      </c>
      <c r="C14" s="1745"/>
      <c r="D14" s="1745">
        <v>3574</v>
      </c>
      <c r="E14" s="1745"/>
      <c r="F14" s="1765">
        <f>(C14+D14)-E14</f>
        <v>3574</v>
      </c>
      <c r="G14" s="681">
        <v>3</v>
      </c>
      <c r="H14" s="619"/>
      <c r="I14" s="619">
        <v>1191</v>
      </c>
      <c r="J14" s="619"/>
      <c r="K14" s="1442">
        <f>(H14+I14)-J14</f>
        <v>1191</v>
      </c>
      <c r="L14" s="1442">
        <f>F14-K14</f>
        <v>2383</v>
      </c>
    </row>
    <row r="15" spans="1:14" ht="15" customHeight="1" thickTop="1" thickBot="1" x14ac:dyDescent="0.25">
      <c r="A15" s="1366" t="s">
        <v>525</v>
      </c>
      <c r="B15" s="1365">
        <v>260</v>
      </c>
      <c r="C15" s="1771">
        <v>164197</v>
      </c>
      <c r="D15" s="1771"/>
      <c r="E15" s="1771">
        <v>164197</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21586707</v>
      </c>
      <c r="D16" s="1765">
        <f>SUM(D3,D5:D6,D8:D10,D12:D15)</f>
        <v>756137</v>
      </c>
      <c r="E16" s="1765">
        <f>SUM(E3,E5:E6,E8:E10,E12:E15)</f>
        <v>195319</v>
      </c>
      <c r="F16" s="1765">
        <f>SUM(F3,F5:F6,F8:F10,F12:F15)</f>
        <v>22147525</v>
      </c>
      <c r="G16" s="681"/>
      <c r="H16" s="1435">
        <f>SUM(H3,H6,H8:H10,H12:H14,)</f>
        <v>8947306</v>
      </c>
      <c r="I16" s="1435">
        <f>SUM(I3,I6,I8:I10,I12:I14,)</f>
        <v>529075</v>
      </c>
      <c r="J16" s="1435">
        <f>SUM(J3,J6,J8:J10,J12:J14,)</f>
        <v>31122</v>
      </c>
      <c r="K16" s="1435">
        <f>(H16+I16)-J16</f>
        <v>9445259</v>
      </c>
      <c r="L16" s="1435">
        <f>F16-K16</f>
        <v>12702266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529075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22" colorId="8" zoomScale="110" zoomScaleNormal="110" workbookViewId="0">
      <selection activeCell="J170" sqref="J17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8377018</v>
      </c>
      <c r="G8" s="701"/>
    </row>
    <row r="9" spans="1:9" x14ac:dyDescent="0.2">
      <c r="A9" s="705" t="s">
        <v>457</v>
      </c>
      <c r="B9" s="706" t="s">
        <v>1848</v>
      </c>
      <c r="C9" s="707"/>
      <c r="D9" s="705" t="s">
        <v>498</v>
      </c>
      <c r="E9" s="704"/>
      <c r="F9" s="1775">
        <f>'Expenditures 15-22'!K151</f>
        <v>622361</v>
      </c>
      <c r="G9" s="708"/>
    </row>
    <row r="10" spans="1:9" x14ac:dyDescent="0.2">
      <c r="A10" s="705" t="s">
        <v>496</v>
      </c>
      <c r="B10" s="706" t="s">
        <v>1849</v>
      </c>
      <c r="C10" s="707"/>
      <c r="D10" s="705" t="s">
        <v>498</v>
      </c>
      <c r="E10" s="704"/>
      <c r="F10" s="1775">
        <f>'Expenditures 15-22'!K174</f>
        <v>1157163</v>
      </c>
      <c r="G10" s="708"/>
    </row>
    <row r="11" spans="1:9" x14ac:dyDescent="0.2">
      <c r="A11" s="705" t="s">
        <v>458</v>
      </c>
      <c r="B11" s="706" t="s">
        <v>1850</v>
      </c>
      <c r="C11" s="707"/>
      <c r="D11" s="705" t="s">
        <v>498</v>
      </c>
      <c r="E11" s="704"/>
      <c r="F11" s="1775">
        <f>'Expenditures 15-22'!K210</f>
        <v>518773</v>
      </c>
      <c r="G11" s="708"/>
    </row>
    <row r="12" spans="1:9" x14ac:dyDescent="0.2">
      <c r="A12" s="705" t="s">
        <v>459</v>
      </c>
      <c r="B12" s="706" t="s">
        <v>1851</v>
      </c>
      <c r="C12" s="707"/>
      <c r="D12" s="705" t="s">
        <v>498</v>
      </c>
      <c r="E12" s="704"/>
      <c r="F12" s="1775">
        <f>'Expenditures 15-22'!K295</f>
        <v>330673</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11005988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192288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33682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188858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195712</v>
      </c>
      <c r="G53" s="701"/>
    </row>
    <row r="54" spans="1:7" x14ac:dyDescent="0.2">
      <c r="A54" s="705" t="s">
        <v>456</v>
      </c>
      <c r="B54" s="705" t="s">
        <v>1459</v>
      </c>
      <c r="C54" s="724" t="s">
        <v>975</v>
      </c>
      <c r="D54" s="720" t="s">
        <v>1086</v>
      </c>
      <c r="E54" s="704"/>
      <c r="F54" s="1782">
        <f>'Expenditures 15-22'!G114</f>
        <v>71962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29454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1040000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27564</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27423</v>
      </c>
      <c r="G67" s="701"/>
    </row>
    <row r="68" spans="1:9" x14ac:dyDescent="0.2">
      <c r="A68" s="705" t="s">
        <v>459</v>
      </c>
      <c r="B68" s="705" t="s">
        <v>1462</v>
      </c>
      <c r="C68" s="721" t="str">
        <f>'Expenditures 15-22'!B218</f>
        <v>1225</v>
      </c>
      <c r="D68" s="727" t="str">
        <f>'Expenditures 15-22'!A218</f>
        <v>Special Education Programs - Pre-K</v>
      </c>
      <c r="E68" s="704"/>
      <c r="F68" s="1782">
        <f>'Expenditures 15-22'!K218</f>
        <v>2676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1809619</v>
      </c>
      <c r="G77" s="701"/>
    </row>
    <row r="78" spans="1:9" s="728" customFormat="1" ht="12" customHeight="1" thickTop="1" thickBot="1" x14ac:dyDescent="0.25">
      <c r="A78" s="1450"/>
      <c r="B78" s="1448"/>
      <c r="C78" s="1445"/>
      <c r="D78" s="1449" t="s">
        <v>2012</v>
      </c>
      <c r="E78" s="1447"/>
      <c r="F78" s="1788">
        <f>(F14-F77)</f>
        <v>9196369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984.1</v>
      </c>
      <c r="G79" s="733"/>
      <c r="H79" s="705"/>
      <c r="I79" s="705"/>
    </row>
    <row r="80" spans="1:9" s="728" customFormat="1" ht="12" customHeight="1" thickBot="1" x14ac:dyDescent="0.25">
      <c r="A80" s="1452"/>
      <c r="B80" s="1448"/>
      <c r="C80" s="1445"/>
      <c r="D80" s="1449" t="s">
        <v>2013</v>
      </c>
      <c r="E80" s="1447" t="s">
        <v>952</v>
      </c>
      <c r="F80" s="1790">
        <f>IF(F79&gt;0,F78/F79," Complete Line 79")</f>
        <v>9344.953764861295</v>
      </c>
      <c r="G80" s="705"/>
    </row>
    <row r="81" spans="1:7" s="728" customFormat="1" ht="8.25" customHeight="1" thickTop="1" x14ac:dyDescent="0.2">
      <c r="A81" s="734"/>
      <c r="B81" s="705"/>
      <c r="C81" s="707"/>
      <c r="D81" s="735"/>
      <c r="E81" s="704"/>
      <c r="F81" s="1791"/>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213310</v>
      </c>
      <c r="G95" s="745"/>
    </row>
    <row r="96" spans="1:7" x14ac:dyDescent="0.2">
      <c r="A96" s="741" t="s">
        <v>139</v>
      </c>
      <c r="B96" s="741" t="s">
        <v>174</v>
      </c>
      <c r="C96" s="743">
        <v>1700</v>
      </c>
      <c r="D96" s="751" t="str">
        <f>'Revenues 9-14'!A82</f>
        <v>Total District/School Activity Income</v>
      </c>
      <c r="E96" s="739"/>
      <c r="F96" s="1793">
        <f>SUM('Revenues 9-14'!C82,'Revenues 9-14'!D82)</f>
        <v>59836</v>
      </c>
      <c r="G96" s="745"/>
    </row>
    <row r="97" spans="1:7" x14ac:dyDescent="0.2">
      <c r="A97" s="741" t="s">
        <v>456</v>
      </c>
      <c r="B97" s="741" t="s">
        <v>175</v>
      </c>
      <c r="C97" s="743">
        <f>'Revenues 9-14'!B84</f>
        <v>1811</v>
      </c>
      <c r="D97" s="744" t="str">
        <f>'Revenues 9-14'!A84</f>
        <v>Rentals - Regular Textbooks</v>
      </c>
      <c r="E97" s="739"/>
      <c r="F97" s="1793">
        <f>'Revenues 9-14'!C84</f>
        <v>149121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319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5290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5595</v>
      </c>
      <c r="G104" s="745"/>
    </row>
    <row r="105" spans="1:7" x14ac:dyDescent="0.2">
      <c r="A105" s="741" t="s">
        <v>456</v>
      </c>
      <c r="B105" s="741" t="s">
        <v>803</v>
      </c>
      <c r="C105" s="743">
        <f>'Revenues 9-14'!B106</f>
        <v>1993</v>
      </c>
      <c r="D105" s="744" t="str">
        <f>'Revenues 9-14'!A106</f>
        <v>Other Local Fees (Describe &amp; Itemize)</v>
      </c>
      <c r="E105" s="739"/>
      <c r="F105" s="1793">
        <f>('Revenues 9-14'!C106)</f>
        <v>9295</v>
      </c>
      <c r="G105" s="745"/>
    </row>
    <row r="106" spans="1:7" x14ac:dyDescent="0.2">
      <c r="A106" s="741" t="s">
        <v>500</v>
      </c>
      <c r="B106" s="741" t="s">
        <v>1910</v>
      </c>
      <c r="C106" s="746">
        <v>3100</v>
      </c>
      <c r="D106" s="752" t="str">
        <f>'Revenues 9-14'!A132</f>
        <v>Total Special Education</v>
      </c>
      <c r="E106" s="739"/>
      <c r="F106" s="1793">
        <f>SUM('Revenues 9-14'!C132:D132,'Revenues 9-14'!F132)</f>
        <v>120879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21844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413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10829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275048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4880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60013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42976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110420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12311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9498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8090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48116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296458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1514541</v>
      </c>
    </row>
    <row r="176" spans="1:7" ht="12" customHeight="1" x14ac:dyDescent="0.2">
      <c r="A176" s="1443"/>
      <c r="B176" s="1453"/>
      <c r="C176" s="1454"/>
      <c r="D176" s="1455" t="s">
        <v>2014</v>
      </c>
      <c r="E176" s="1456"/>
      <c r="F176" s="1793">
        <f>'PCTC-OEPP 27-28'!F78-F175</f>
        <v>7681828</v>
      </c>
    </row>
    <row r="177" spans="1:9" ht="12" customHeight="1" x14ac:dyDescent="0.2">
      <c r="A177" s="1443"/>
      <c r="B177" s="1453"/>
      <c r="C177" s="1454"/>
      <c r="D177" s="1455" t="s">
        <v>1794</v>
      </c>
      <c r="E177" s="1456"/>
      <c r="F177" s="1793">
        <f>'Cap Outlay Deprec 26'!I18</f>
        <v>529075</v>
      </c>
    </row>
    <row r="178" spans="1:9" ht="12" customHeight="1" x14ac:dyDescent="0.2">
      <c r="A178" s="1443"/>
      <c r="B178" s="1453"/>
      <c r="C178" s="1454"/>
      <c r="D178" s="1455" t="s">
        <v>2015</v>
      </c>
      <c r="E178" s="1456"/>
      <c r="F178" s="1793">
        <f>F176+F177</f>
        <v>8210903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984.1</v>
      </c>
      <c r="G179" s="763"/>
      <c r="I179" s="701"/>
    </row>
    <row r="180" spans="1:9" ht="12" customHeight="1" thickBot="1" x14ac:dyDescent="0.25">
      <c r="A180" s="1443"/>
      <c r="B180" s="1457"/>
      <c r="C180" s="1454"/>
      <c r="D180" s="1455" t="s">
        <v>2017</v>
      </c>
      <c r="E180" s="1456" t="s">
        <v>1528</v>
      </c>
      <c r="F180" s="1798">
        <f>F178/F179</f>
        <v>8343.5656945432365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8"/>
  <sheetViews>
    <sheetView showGridLines="0" zoomScaleNormal="100" workbookViewId="0">
      <selection activeCell="E8" sqref="E8"/>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89" t="s">
        <v>1795</v>
      </c>
      <c r="B4" s="2390"/>
      <c r="C4" s="2390"/>
      <c r="D4" s="2390"/>
      <c r="E4" s="2390"/>
      <c r="F4" s="2391"/>
    </row>
    <row r="5" spans="1:6" x14ac:dyDescent="0.25">
      <c r="A5" s="2392"/>
      <c r="B5" s="2393"/>
      <c r="C5" s="2393"/>
      <c r="D5" s="2393"/>
      <c r="E5" s="2393"/>
      <c r="F5" s="2394"/>
    </row>
    <row r="6" spans="1:6" ht="18.75" x14ac:dyDescent="0.25">
      <c r="A6" s="1867" t="s">
        <v>1796</v>
      </c>
      <c r="B6" s="1868"/>
      <c r="C6" s="1869"/>
      <c r="D6" s="1869"/>
      <c r="E6" s="1869"/>
      <c r="F6" s="1870"/>
    </row>
    <row r="7" spans="1:6" ht="47.25" customHeight="1" x14ac:dyDescent="0.25">
      <c r="A7" s="2395" t="s">
        <v>1985</v>
      </c>
      <c r="B7" s="2396"/>
      <c r="C7" s="2396"/>
      <c r="D7" s="2396"/>
      <c r="E7" s="2396"/>
      <c r="F7" s="2397"/>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98" t="s">
        <v>1981</v>
      </c>
      <c r="B10" s="2399"/>
      <c r="C10" s="2399"/>
      <c r="D10" s="2399"/>
      <c r="E10" s="2399"/>
      <c r="F10" s="2400"/>
    </row>
    <row r="11" spans="1:6" ht="33" customHeight="1" x14ac:dyDescent="0.25">
      <c r="A11" s="2395" t="s">
        <v>1986</v>
      </c>
      <c r="B11" s="2396"/>
      <c r="C11" s="2396"/>
      <c r="D11" s="2396"/>
      <c r="E11" s="2396"/>
      <c r="F11" s="2397"/>
    </row>
    <row r="12" spans="1:6" ht="15" customHeight="1" x14ac:dyDescent="0.25">
      <c r="A12" s="1873" t="s">
        <v>1982</v>
      </c>
      <c r="B12" s="1874"/>
      <c r="C12" s="1875"/>
      <c r="D12" s="1875"/>
      <c r="E12" s="1875"/>
      <c r="F12" s="1876"/>
    </row>
    <row r="13" spans="1:6" ht="17.25" customHeight="1" x14ac:dyDescent="0.25">
      <c r="A13" s="2395" t="s">
        <v>1983</v>
      </c>
      <c r="B13" s="2396"/>
      <c r="C13" s="2396"/>
      <c r="D13" s="2396"/>
      <c r="E13" s="2396"/>
      <c r="F13" s="2397"/>
    </row>
    <row r="14" spans="1:6" ht="15" customHeight="1" x14ac:dyDescent="0.25">
      <c r="A14" s="1873" t="s">
        <v>1800</v>
      </c>
      <c r="B14" s="1874"/>
      <c r="C14" s="1875"/>
      <c r="D14" s="1875"/>
      <c r="E14" s="1875"/>
      <c r="F14" s="1876"/>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ht="30" x14ac:dyDescent="0.25">
      <c r="A18" s="2038" t="s">
        <v>2089</v>
      </c>
      <c r="B18" s="1907">
        <v>102200300</v>
      </c>
      <c r="C18" s="2039" t="s">
        <v>2091</v>
      </c>
      <c r="D18" s="1885">
        <v>34495</v>
      </c>
      <c r="E18" s="1905" t="str">
        <f t="shared" ref="E18:E24" si="0">IF(D18&lt;25000,D18,"25,000")</f>
        <v>25,000</v>
      </c>
      <c r="F18" s="1905">
        <f t="shared" ref="F18:F24" si="1">IF(D18&gt;=25000,(D18-E18),"0")</f>
        <v>9495</v>
      </c>
      <c r="G18" s="1886"/>
    </row>
    <row r="19" spans="1:7" x14ac:dyDescent="0.25">
      <c r="A19" s="2038" t="s">
        <v>2090</v>
      </c>
      <c r="B19" s="1907">
        <v>202540300</v>
      </c>
      <c r="C19" s="2039" t="s">
        <v>2092</v>
      </c>
      <c r="D19" s="1885">
        <v>50418</v>
      </c>
      <c r="E19" s="1905" t="str">
        <f t="shared" si="0"/>
        <v>25,000</v>
      </c>
      <c r="F19" s="1905">
        <f t="shared" si="1"/>
        <v>25418</v>
      </c>
    </row>
    <row r="20" spans="1:7" x14ac:dyDescent="0.25">
      <c r="A20" s="2047" t="s">
        <v>2115</v>
      </c>
      <c r="B20" s="1907">
        <v>101000600</v>
      </c>
      <c r="C20" s="2048" t="s">
        <v>2116</v>
      </c>
      <c r="D20" s="1885">
        <v>188858</v>
      </c>
      <c r="E20" s="1905" t="str">
        <f t="shared" si="0"/>
        <v>25,000</v>
      </c>
      <c r="F20" s="1905">
        <f t="shared" si="1"/>
        <v>163858</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8"/>
      <c r="C25" s="1888"/>
      <c r="D25" s="1885"/>
      <c r="E25" s="1905">
        <f t="shared" ref="E25:E27" si="2">IF(D25&lt;25000,D25,"25,000")</f>
        <v>0</v>
      </c>
      <c r="F25" s="1905" t="str">
        <f t="shared" ref="F25:F27" si="3">IF(D25&gt;=25000,(D25-E25),"0")</f>
        <v>0</v>
      </c>
    </row>
    <row r="26" spans="1:7" x14ac:dyDescent="0.25">
      <c r="A26" s="1887"/>
      <c r="B26" s="1908"/>
      <c r="C26" s="1888"/>
      <c r="D26" s="1885"/>
      <c r="E26" s="1905">
        <f t="shared" si="2"/>
        <v>0</v>
      </c>
      <c r="F26" s="1905" t="str">
        <f t="shared" si="3"/>
        <v>0</v>
      </c>
    </row>
    <row r="27" spans="1:7" x14ac:dyDescent="0.25">
      <c r="A27" s="1887"/>
      <c r="B27" s="1909"/>
      <c r="C27" s="1888"/>
      <c r="D27" s="1885"/>
      <c r="E27" s="1905">
        <f t="shared" si="2"/>
        <v>0</v>
      </c>
      <c r="F27" s="1905" t="str">
        <f t="shared" si="3"/>
        <v>0</v>
      </c>
    </row>
    <row r="28" spans="1:7" x14ac:dyDescent="0.25">
      <c r="A28" s="1889" t="s">
        <v>155</v>
      </c>
      <c r="B28" s="1910"/>
      <c r="C28" s="1890"/>
      <c r="D28" s="1891">
        <f>SUM(D18:D27)</f>
        <v>273771</v>
      </c>
      <c r="E28" s="1892">
        <f>SUM(E18:E27)</f>
        <v>0</v>
      </c>
      <c r="F28" s="1893">
        <f>SUM(F18:F27)</f>
        <v>198771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6" colorId="8" zoomScale="110" zoomScaleNormal="110" workbookViewId="0">
      <selection activeCell="E6" sqref="E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60013</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801">
        <v>22092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6629300</v>
      </c>
      <c r="F19" s="1802"/>
      <c r="G19" s="1804">
        <f>'Expenditures 15-22'!K33-SUM('Expenditures 15-22'!G33,'Expenditures 15-22'!I33)+'Expenditures 15-22'!D229</f>
        <v>6629300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160528</v>
      </c>
      <c r="F21" s="1805"/>
      <c r="G21" s="1808">
        <f>'Expenditures 15-22'!K42-SUM('Expenditures 15-22'!G42,'Expenditures 15-22'!I42)+'Expenditures 15-22'!K120-SUM('Expenditures 15-22'!G120,'Expenditures 15-22'!I120)+'Expenditures 15-22'!K180-SUM('Expenditures 15-22'!G180,'Expenditures 15-22'!I180)+'Expenditures 15-22'!D238</f>
        <v>160528</v>
      </c>
      <c r="H21" s="817"/>
      <c r="I21" s="157"/>
    </row>
    <row r="22" spans="1:9" s="542" customFormat="1" ht="12" customHeight="1" x14ac:dyDescent="0.2">
      <c r="A22" s="824" t="s">
        <v>560</v>
      </c>
      <c r="B22" s="825"/>
      <c r="C22" s="823">
        <v>2200</v>
      </c>
      <c r="D22" s="1805"/>
      <c r="E22" s="1807">
        <f>'Expenditures 15-22'!K47-SUM('Expenditures 15-22'!G47,'Expenditures 15-22'!I47)+'Expenditures 15-22'!D243</f>
        <v>84460</v>
      </c>
      <c r="F22" s="1805"/>
      <c r="G22" s="1808">
        <f>'Expenditures 15-22'!K47-SUM('Expenditures 15-22'!G47,'Expenditures 15-22'!I47)+'Expenditures 15-22'!D243</f>
        <v>84460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368469</v>
      </c>
      <c r="F23" s="1805"/>
      <c r="G23" s="1807">
        <f>'Expenditures 15-22'!K53-SUM('Expenditures 15-22'!G53,'Expenditures 15-22'!I53)+'Expenditures 15-22'!D257+'Expenditures 15-22'!K330-SUM('Expenditures 15-22'!G330,'Expenditures 15-22'!I330)</f>
        <v>368469</v>
      </c>
      <c r="H23" s="817"/>
      <c r="I23" s="157"/>
    </row>
    <row r="24" spans="1:9" s="542" customFormat="1" ht="12" customHeight="1" x14ac:dyDescent="0.2">
      <c r="A24" s="824" t="s">
        <v>562</v>
      </c>
      <c r="B24" s="825"/>
      <c r="C24" s="823">
        <v>2400</v>
      </c>
      <c r="D24" s="1805"/>
      <c r="E24" s="1807">
        <f>'Expenditures 15-22'!K57-SUM('Expenditures 15-22'!G57,'Expenditures 15-22'!I57)+'Expenditures 15-22'!D261</f>
        <v>550511</v>
      </c>
      <c r="F24" s="1805"/>
      <c r="G24" s="1808">
        <f>'Expenditures 15-22'!K57-SUM('Expenditures 15-22'!G57,'Expenditures 15-22'!I57)+'Expenditures 15-22'!D261</f>
        <v>550511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92732</v>
      </c>
      <c r="E27" s="1807">
        <f>E8</f>
        <v>0</v>
      </c>
      <c r="F27" s="1807">
        <f>'Expenditures 15-22'!K60-SUM('Expenditures 15-22'!G60,'Expenditures 15-22'!I60)+'Expenditures 15-22'!D264-E8</f>
        <v>92732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795642</v>
      </c>
      <c r="F28" s="1809">
        <f>'Expenditures 15-22'!K61-SUM('Expenditures 15-22'!G61,'Expenditures 15-22'!I61)+'Expenditures 15-22'!K124-SUM('Expenditures 15-22'!G124,'Expenditures 15-22'!I124)+'Expenditures 15-22'!D266-E9</f>
        <v>795642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522670</v>
      </c>
      <c r="F29" s="1805"/>
      <c r="G29" s="1808">
        <f>'Expenditures 15-22'!K62-SUM('Expenditures 15-22'!G62,'Expenditures 15-22'!I62)+'Expenditures 15-22'!K125-SUM('Expenditures 15-22'!G125,'Expenditures 15-22'!I125)+'Expenditures 15-22'!K182-SUM('Expenditures 15-22'!G182,'Expenditures 15-22'!I182)+'Expenditures 15-22'!D267</f>
        <v>522670</v>
      </c>
      <c r="H29" s="815"/>
    </row>
    <row r="30" spans="1:9" ht="12" customHeight="1" x14ac:dyDescent="0.2">
      <c r="A30" s="824" t="s">
        <v>100</v>
      </c>
      <c r="B30" s="827"/>
      <c r="C30" s="823">
        <v>2560</v>
      </c>
      <c r="D30" s="1805"/>
      <c r="E30" s="1807">
        <f>'Expenditures 15-22'!K63-SUM('Expenditures 15-22'!G63,'Expenditures 15-22'!I63)+'Expenditures 15-22'!D268-E10</f>
        <v>233331</v>
      </c>
      <c r="F30" s="1805"/>
      <c r="G30" s="1807">
        <f>'Expenditures 15-22'!K63-SUM('Expenditures 15-22'!G63,'Expenditures 15-22'!I63)+'Expenditures 15-22'!D268-E10</f>
        <v>233331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29'!F28</f>
        <v>-198771</v>
      </c>
      <c r="F40" s="1805"/>
      <c r="G40" s="1809">
        <f>-'Contracts Paid in CY 29'!F28</f>
        <v>-198771</v>
      </c>
    </row>
    <row r="41" spans="1:7" ht="12" customHeight="1" x14ac:dyDescent="0.2">
      <c r="A41" s="828" t="s">
        <v>155</v>
      </c>
      <c r="B41" s="829"/>
      <c r="C41" s="830"/>
      <c r="D41" s="1809">
        <f>SUM(D19:D39)</f>
        <v>92732</v>
      </c>
      <c r="E41" s="1809">
        <f>SUM(E19:E40)</f>
        <v>9146140</v>
      </c>
      <c r="F41" s="1809">
        <f>SUM(F19:F39)</f>
        <v>888374</v>
      </c>
      <c r="G41" s="1809">
        <f>SUM(G19:G40)</f>
        <v>8350498</v>
      </c>
    </row>
    <row r="42" spans="1:7" x14ac:dyDescent="0.2">
      <c r="A42" s="817"/>
      <c r="B42" s="157"/>
      <c r="C42" s="831"/>
      <c r="D42" s="2404" t="s">
        <v>519</v>
      </c>
      <c r="E42" s="2405"/>
      <c r="F42" s="832" t="s">
        <v>520</v>
      </c>
      <c r="G42" s="833"/>
    </row>
    <row r="43" spans="1:7" ht="12" customHeight="1" x14ac:dyDescent="0.2">
      <c r="A43" s="817"/>
      <c r="B43" s="157"/>
      <c r="C43" s="831"/>
      <c r="D43" s="1458" t="s">
        <v>470</v>
      </c>
      <c r="E43" s="1810">
        <f>D41</f>
        <v>92732</v>
      </c>
      <c r="F43" s="1458" t="s">
        <v>470</v>
      </c>
      <c r="G43" s="1810">
        <f>F41</f>
        <v>888374</v>
      </c>
    </row>
    <row r="44" spans="1:7" ht="12" customHeight="1" x14ac:dyDescent="0.2">
      <c r="A44" s="817"/>
      <c r="B44" s="157"/>
      <c r="C44" s="831"/>
      <c r="D44" s="1458" t="s">
        <v>471</v>
      </c>
      <c r="E44" s="1810">
        <f>E41</f>
        <v>9146140</v>
      </c>
      <c r="F44" s="1458" t="s">
        <v>471</v>
      </c>
      <c r="G44" s="1810">
        <f>G41</f>
        <v>8350498</v>
      </c>
    </row>
    <row r="45" spans="1:7" ht="12" customHeight="1" x14ac:dyDescent="0.2">
      <c r="A45" s="817"/>
      <c r="B45" s="157"/>
      <c r="C45" s="157"/>
      <c r="D45" s="1459" t="s">
        <v>999</v>
      </c>
      <c r="E45" s="1811">
        <f>(E43/E44)</f>
        <v>1.0138921993321772E-2</v>
      </c>
      <c r="F45" s="1459" t="s">
        <v>999</v>
      </c>
      <c r="G45" s="1811">
        <f>(G43/G44)</f>
        <v>0.10638575088575555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0" sqref="F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3" t="s">
        <v>1363</v>
      </c>
      <c r="B1" s="2423"/>
      <c r="C1" s="2423"/>
      <c r="D1" s="2423"/>
      <c r="E1" s="2423"/>
      <c r="F1" s="242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4" t="s">
        <v>1529</v>
      </c>
      <c r="B5" s="2425"/>
      <c r="C5" s="2426"/>
      <c r="D5" s="2426"/>
      <c r="E5" s="2426"/>
      <c r="F5" s="2426"/>
      <c r="G5" s="1507"/>
      <c r="L5" s="1507"/>
      <c r="M5" s="1855"/>
      <c r="N5" s="1855"/>
      <c r="O5" s="1855"/>
    </row>
    <row r="6" spans="1:15" ht="12" customHeight="1" x14ac:dyDescent="0.25">
      <c r="A6" s="1480"/>
      <c r="B6" s="1481"/>
      <c r="C6" s="2427" t="str">
        <f>COVER!A17</f>
        <v xml:space="preserve"> Tremont CUSD 702</v>
      </c>
      <c r="D6" s="2427"/>
      <c r="E6" s="2427"/>
      <c r="F6" s="1482"/>
      <c r="G6" s="1507"/>
      <c r="L6" s="1507"/>
      <c r="M6" s="1855"/>
      <c r="N6" s="1855"/>
      <c r="O6" s="1855"/>
    </row>
    <row r="7" spans="1:15" ht="11.25" customHeight="1" thickBot="1" x14ac:dyDescent="0.3">
      <c r="A7" s="1480"/>
      <c r="B7" s="1481"/>
      <c r="C7" s="2428">
        <f>COVER!A13</f>
        <v>53090702026</v>
      </c>
      <c r="D7" s="2428"/>
      <c r="E7" s="242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9"/>
      <c r="D35" s="2429"/>
      <c r="E35" s="2429"/>
      <c r="F35" s="2430"/>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15"/>
      <c r="B38" s="2416"/>
      <c r="C38" s="2416"/>
      <c r="D38" s="2416"/>
      <c r="E38" s="2416"/>
      <c r="F38" s="2417"/>
    </row>
    <row r="39" spans="1:15" ht="4.5" hidden="1" customHeight="1" x14ac:dyDescent="0.2">
      <c r="A39" s="1502"/>
      <c r="B39" s="1502"/>
      <c r="C39" s="1502"/>
      <c r="D39" s="1502"/>
      <c r="E39" s="1502"/>
      <c r="F39" s="1502"/>
    </row>
    <row r="40" spans="1:15" s="1499" customFormat="1" ht="12" customHeight="1" x14ac:dyDescent="0.25">
      <c r="A40" s="1503" t="s">
        <v>1375</v>
      </c>
      <c r="B40" s="1504"/>
      <c r="C40" s="2418"/>
      <c r="D40" s="2418"/>
      <c r="E40" s="2418"/>
      <c r="F40" s="2419"/>
      <c r="H40" s="1508"/>
      <c r="I40" s="1508"/>
      <c r="J40" s="1508"/>
      <c r="K40" s="1508"/>
    </row>
    <row r="41" spans="1:15" s="1499" customFormat="1" ht="12" customHeight="1" x14ac:dyDescent="0.25">
      <c r="A41" s="2420"/>
      <c r="B41" s="2421"/>
      <c r="C41" s="2421"/>
      <c r="D41" s="2421"/>
      <c r="E41" s="2421"/>
      <c r="F41" s="2422"/>
      <c r="H41" s="1508"/>
      <c r="I41" s="1508"/>
      <c r="J41" s="1508"/>
      <c r="K41" s="1508"/>
    </row>
    <row r="42" spans="1:15" s="1499" customFormat="1" ht="12" customHeight="1" x14ac:dyDescent="0.25">
      <c r="A42" s="2420"/>
      <c r="B42" s="2421"/>
      <c r="C42" s="2421"/>
      <c r="D42" s="2421"/>
      <c r="E42" s="2421"/>
      <c r="F42" s="2422"/>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2" sqref="I12"/>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49" t="str">
        <f>COVER!A17</f>
        <v xml:space="preserve"> Tremont CUSD 702</v>
      </c>
      <c r="K6" s="2449"/>
      <c r="L6" s="2463"/>
      <c r="M6" s="838"/>
      <c r="N6" s="1997"/>
    </row>
    <row r="7" spans="1:14" x14ac:dyDescent="0.2">
      <c r="A7" s="2464" t="s">
        <v>864</v>
      </c>
      <c r="B7" s="2465"/>
      <c r="C7" s="2465"/>
      <c r="D7" s="2465"/>
      <c r="E7" s="2466"/>
      <c r="F7" s="839"/>
      <c r="G7" s="838"/>
      <c r="H7" s="838"/>
      <c r="I7" s="1923" t="s">
        <v>369</v>
      </c>
      <c r="J7" s="2451">
        <f>COVER!A13</f>
        <v>53090702026</v>
      </c>
      <c r="K7" s="2451"/>
      <c r="L7" s="2451"/>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67" t="s">
        <v>478</v>
      </c>
      <c r="B11" s="2468"/>
      <c r="C11" s="2469"/>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261497</v>
      </c>
      <c r="F12" s="1941"/>
      <c r="G12" s="1967">
        <f>G68</f>
        <v>0</v>
      </c>
      <c r="H12" s="1943">
        <f t="shared" ref="H12:H18" si="0">SUM(E12:G12)</f>
        <v>261497</v>
      </c>
      <c r="I12" s="1942">
        <v>215547</v>
      </c>
      <c r="J12" s="1941"/>
      <c r="K12" s="1942"/>
      <c r="L12" s="1943">
        <f t="shared" ref="L12:L18" si="1">SUM(I12:K12)</f>
        <v>215547</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70" t="s">
        <v>7</v>
      </c>
      <c r="C18" s="2471"/>
      <c r="D18" s="2472"/>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261497</v>
      </c>
      <c r="F19" s="1949">
        <f t="shared" si="2"/>
        <v>0</v>
      </c>
      <c r="G19" s="1949">
        <f t="shared" ref="G19" si="3">SUM(G12:G17)-G18</f>
        <v>0</v>
      </c>
      <c r="H19" s="1949">
        <f t="shared" si="2"/>
        <v>261497</v>
      </c>
      <c r="I19" s="1949">
        <f t="shared" si="2"/>
        <v>215547</v>
      </c>
      <c r="J19" s="1949">
        <f t="shared" si="2"/>
        <v>0</v>
      </c>
      <c r="K19" s="1949">
        <f t="shared" si="2"/>
        <v>0</v>
      </c>
      <c r="L19" s="1949">
        <f t="shared" si="2"/>
        <v>215547</v>
      </c>
      <c r="M19" s="838"/>
      <c r="N19" s="1997"/>
    </row>
    <row r="20" spans="1:14" ht="13.5" thickTop="1" x14ac:dyDescent="0.2">
      <c r="A20" s="2002">
        <v>9</v>
      </c>
      <c r="B20" s="2473" t="s">
        <v>2021</v>
      </c>
      <c r="C20" s="2473"/>
      <c r="D20" s="2474"/>
      <c r="E20" s="1950"/>
      <c r="F20" s="1950"/>
      <c r="G20" s="1950"/>
      <c r="H20" s="1950"/>
      <c r="I20" s="1950"/>
      <c r="J20" s="1950"/>
      <c r="K20" s="1950"/>
      <c r="L20" s="1951">
        <f>IF(AND(H19&gt;0,L19&gt;0),(((L19-H19)/H19)),"Enter Budget Data")</f>
        <v>-0.17571903310554232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75"/>
      <c r="D27" s="2475"/>
      <c r="E27" s="843"/>
      <c r="F27" s="2476"/>
      <c r="G27" s="2476"/>
      <c r="H27" s="2476"/>
      <c r="I27" s="838"/>
      <c r="J27" s="838"/>
      <c r="K27" s="838"/>
      <c r="L27" s="838"/>
      <c r="M27" s="838"/>
      <c r="N27" s="1997"/>
    </row>
    <row r="28" spans="1:14" x14ac:dyDescent="0.2">
      <c r="A28" s="1996"/>
      <c r="B28" s="2006"/>
      <c r="C28" s="1956" t="s">
        <v>1026</v>
      </c>
      <c r="D28" s="844"/>
      <c r="E28" s="1957"/>
      <c r="F28" s="2477" t="s">
        <v>1492</v>
      </c>
      <c r="G28" s="2477"/>
      <c r="H28" s="2477"/>
      <c r="I28" s="838"/>
      <c r="J28" s="838"/>
      <c r="K28" s="838"/>
      <c r="L28" s="838"/>
      <c r="M28" s="838"/>
      <c r="N28" s="1997"/>
    </row>
    <row r="29" spans="1:14" x14ac:dyDescent="0.2">
      <c r="A29" s="1996"/>
      <c r="B29" s="2006"/>
      <c r="C29" s="2478"/>
      <c r="D29" s="2478"/>
      <c r="E29" s="845"/>
      <c r="F29" s="2478"/>
      <c r="G29" s="2478"/>
      <c r="H29" s="2478"/>
      <c r="I29" s="838"/>
      <c r="J29" s="838"/>
      <c r="K29" s="838"/>
      <c r="L29" s="838"/>
      <c r="M29" s="838"/>
      <c r="N29" s="1997"/>
    </row>
    <row r="30" spans="1:14" x14ac:dyDescent="0.2">
      <c r="A30" s="1996"/>
      <c r="B30" s="2006"/>
      <c r="C30" s="1959" t="s">
        <v>1544</v>
      </c>
      <c r="D30" s="838"/>
      <c r="E30" s="1958"/>
      <c r="F30" s="2462" t="s">
        <v>1493</v>
      </c>
      <c r="G30" s="2462"/>
      <c r="H30" s="2462"/>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9" t="s">
        <v>2024</v>
      </c>
      <c r="D34" s="2440"/>
      <c r="E34" s="2440"/>
      <c r="F34" s="2440"/>
      <c r="G34" s="2440"/>
      <c r="H34" s="2440"/>
      <c r="I34" s="2440"/>
      <c r="J34" s="2440"/>
      <c r="K34" s="2015"/>
      <c r="L34" s="838"/>
      <c r="M34" s="838"/>
      <c r="N34" s="1997"/>
    </row>
    <row r="35" spans="1:14" x14ac:dyDescent="0.2">
      <c r="A35" s="1996"/>
      <c r="B35" s="838"/>
      <c r="C35" s="2440"/>
      <c r="D35" s="2440"/>
      <c r="E35" s="2440"/>
      <c r="F35" s="2440"/>
      <c r="G35" s="2440"/>
      <c r="H35" s="2440"/>
      <c r="I35" s="2440"/>
      <c r="J35" s="2440"/>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9" t="s">
        <v>2025</v>
      </c>
      <c r="D37" s="2440"/>
      <c r="E37" s="2440"/>
      <c r="F37" s="2440"/>
      <c r="G37" s="2440"/>
      <c r="H37" s="2440"/>
      <c r="I37" s="2440"/>
      <c r="J37" s="2440"/>
      <c r="K37" s="2015"/>
      <c r="L37" s="2017"/>
      <c r="M37" s="838"/>
      <c r="N37" s="1997"/>
    </row>
    <row r="38" spans="1:14" x14ac:dyDescent="0.2">
      <c r="A38" s="1996"/>
      <c r="B38" s="838"/>
      <c r="C38" s="2440"/>
      <c r="D38" s="2440"/>
      <c r="E38" s="2440"/>
      <c r="F38" s="2440"/>
      <c r="G38" s="2440"/>
      <c r="H38" s="2440"/>
      <c r="I38" s="2440"/>
      <c r="J38" s="2440"/>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1" t="s">
        <v>2026</v>
      </c>
      <c r="D40" s="2442"/>
      <c r="E40" s="2442"/>
      <c r="F40" s="2442"/>
      <c r="G40" s="2442"/>
      <c r="H40" s="2442"/>
      <c r="I40" s="2442"/>
      <c r="J40" s="2442"/>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49" t="str">
        <f>J6</f>
        <v xml:space="preserve"> Tremont CUSD 702</v>
      </c>
      <c r="M52" s="2449"/>
      <c r="N52" s="2450"/>
    </row>
    <row r="53" spans="1:14" x14ac:dyDescent="0.2">
      <c r="A53" s="1981"/>
      <c r="B53" s="1982"/>
      <c r="C53" s="1982"/>
      <c r="D53" s="1982"/>
      <c r="E53" s="1982"/>
      <c r="F53" s="1982"/>
      <c r="G53" s="1982"/>
      <c r="H53" s="1982"/>
      <c r="I53" s="1982"/>
      <c r="J53" s="1982"/>
      <c r="K53" s="1923" t="s">
        <v>369</v>
      </c>
      <c r="L53" s="2451">
        <f>J7</f>
        <v>53090702026</v>
      </c>
      <c r="M53" s="2451"/>
      <c r="N53" s="2452"/>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3"/>
      <c r="B55" s="2454"/>
      <c r="C55" s="2454"/>
      <c r="D55" s="1969"/>
      <c r="E55" s="1969"/>
      <c r="F55" s="1969"/>
      <c r="G55" s="2455" t="s">
        <v>2030</v>
      </c>
      <c r="H55" s="2455"/>
      <c r="I55" s="2455"/>
      <c r="J55" s="2455"/>
      <c r="K55" s="2455"/>
      <c r="L55" s="2455"/>
      <c r="M55" s="2455"/>
      <c r="N55" s="2456"/>
    </row>
    <row r="56" spans="1:14" ht="63.75" x14ac:dyDescent="0.2">
      <c r="A56" s="2457" t="s">
        <v>2031</v>
      </c>
      <c r="B56" s="2458"/>
      <c r="C56" s="2459"/>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0" t="s">
        <v>296</v>
      </c>
      <c r="B57" s="2461"/>
      <c r="C57" s="2461"/>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7" t="s">
        <v>2041</v>
      </c>
      <c r="B58" s="2438"/>
      <c r="C58" s="2438"/>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31" t="s">
        <v>297</v>
      </c>
      <c r="B59" s="2432"/>
      <c r="C59" s="2432"/>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31" t="s">
        <v>236</v>
      </c>
      <c r="B60" s="2432"/>
      <c r="C60" s="2432"/>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31" t="s">
        <v>697</v>
      </c>
      <c r="B61" s="2432"/>
      <c r="C61" s="2432"/>
      <c r="D61" s="1966">
        <v>2365</v>
      </c>
      <c r="E61" s="1976">
        <f>'Expenditures 15-22'!K323</f>
        <v>0</v>
      </c>
      <c r="F61" s="1971"/>
      <c r="G61" s="2030"/>
      <c r="H61" s="2031"/>
      <c r="I61" s="2031"/>
      <c r="J61" s="2031"/>
      <c r="K61" s="2031"/>
      <c r="L61" s="2031"/>
      <c r="M61" s="2031"/>
      <c r="N61" s="1974">
        <f t="shared" si="4"/>
        <v>0</v>
      </c>
    </row>
    <row r="62" spans="1:14" ht="24" customHeight="1" x14ac:dyDescent="0.2">
      <c r="A62" s="2431" t="s">
        <v>237</v>
      </c>
      <c r="B62" s="2432"/>
      <c r="C62" s="2432"/>
      <c r="D62" s="1966">
        <v>2366</v>
      </c>
      <c r="E62" s="1976">
        <f>'Expenditures 15-22'!K324</f>
        <v>0</v>
      </c>
      <c r="F62" s="1971"/>
      <c r="G62" s="2030"/>
      <c r="H62" s="2031"/>
      <c r="I62" s="2031"/>
      <c r="J62" s="2031"/>
      <c r="K62" s="2031"/>
      <c r="L62" s="2031"/>
      <c r="M62" s="2031"/>
      <c r="N62" s="1974">
        <f t="shared" si="4"/>
        <v>0</v>
      </c>
    </row>
    <row r="63" spans="1:14" ht="24" customHeight="1" x14ac:dyDescent="0.2">
      <c r="A63" s="2437" t="s">
        <v>1022</v>
      </c>
      <c r="B63" s="2438"/>
      <c r="C63" s="2438"/>
      <c r="D63" s="1966">
        <v>2367</v>
      </c>
      <c r="E63" s="1976">
        <f>'Expenditures 15-22'!K325</f>
        <v>0</v>
      </c>
      <c r="F63" s="1971"/>
      <c r="G63" s="2030"/>
      <c r="H63" s="2031"/>
      <c r="I63" s="2031"/>
      <c r="J63" s="2031"/>
      <c r="K63" s="2031"/>
      <c r="L63" s="2031"/>
      <c r="M63" s="2031"/>
      <c r="N63" s="1974">
        <f t="shared" si="4"/>
        <v>0</v>
      </c>
    </row>
    <row r="64" spans="1:14" ht="24" customHeight="1" x14ac:dyDescent="0.2">
      <c r="A64" s="2431" t="s">
        <v>1023</v>
      </c>
      <c r="B64" s="2432"/>
      <c r="C64" s="2432"/>
      <c r="D64" s="1966">
        <v>2368</v>
      </c>
      <c r="E64" s="1976">
        <f>'Expenditures 15-22'!K326</f>
        <v>0</v>
      </c>
      <c r="F64" s="1971"/>
      <c r="G64" s="2030"/>
      <c r="H64" s="2031"/>
      <c r="I64" s="2031"/>
      <c r="J64" s="2031"/>
      <c r="K64" s="2031"/>
      <c r="L64" s="2031"/>
      <c r="M64" s="2031"/>
      <c r="N64" s="1974">
        <f t="shared" si="4"/>
        <v>0</v>
      </c>
    </row>
    <row r="65" spans="1:14" ht="24" customHeight="1" x14ac:dyDescent="0.2">
      <c r="A65" s="2431" t="s">
        <v>965</v>
      </c>
      <c r="B65" s="2432"/>
      <c r="C65" s="2432"/>
      <c r="D65" s="1966">
        <v>2369</v>
      </c>
      <c r="E65" s="1976">
        <f>'Expenditures 15-22'!K327</f>
        <v>0</v>
      </c>
      <c r="F65" s="1971"/>
      <c r="G65" s="2030"/>
      <c r="H65" s="2031"/>
      <c r="I65" s="2031"/>
      <c r="J65" s="2031"/>
      <c r="K65" s="2031"/>
      <c r="L65" s="2031"/>
      <c r="M65" s="2031"/>
      <c r="N65" s="1974">
        <f t="shared" si="4"/>
        <v>0</v>
      </c>
    </row>
    <row r="66" spans="1:14" ht="24" customHeight="1" x14ac:dyDescent="0.2">
      <c r="A66" s="2431" t="s">
        <v>469</v>
      </c>
      <c r="B66" s="2432"/>
      <c r="C66" s="2432"/>
      <c r="D66" s="1966">
        <v>2371</v>
      </c>
      <c r="E66" s="1976">
        <f>'Expenditures 15-22'!K328</f>
        <v>0</v>
      </c>
      <c r="F66" s="1971"/>
      <c r="G66" s="2030"/>
      <c r="H66" s="2031"/>
      <c r="I66" s="2031"/>
      <c r="J66" s="2031"/>
      <c r="K66" s="2031"/>
      <c r="L66" s="2031"/>
      <c r="M66" s="2031"/>
      <c r="N66" s="1974">
        <f t="shared" si="4"/>
        <v>0</v>
      </c>
    </row>
    <row r="67" spans="1:14" ht="24.75" customHeight="1" x14ac:dyDescent="0.2">
      <c r="A67" s="2433" t="s">
        <v>2042</v>
      </c>
      <c r="B67" s="2434"/>
      <c r="C67" s="2434"/>
      <c r="D67" s="1968">
        <v>2372</v>
      </c>
      <c r="E67" s="1977">
        <f>'Expenditures 15-22'!K329</f>
        <v>0</v>
      </c>
      <c r="F67" s="1971"/>
      <c r="G67" s="2032"/>
      <c r="H67" s="2033"/>
      <c r="I67" s="2033"/>
      <c r="J67" s="2033"/>
      <c r="K67" s="2033"/>
      <c r="L67" s="2033"/>
      <c r="M67" s="2033"/>
      <c r="N67" s="1974">
        <f t="shared" si="4"/>
        <v>0</v>
      </c>
    </row>
    <row r="68" spans="1:14" x14ac:dyDescent="0.2">
      <c r="A68" s="2435" t="s">
        <v>1151</v>
      </c>
      <c r="B68" s="2436"/>
      <c r="C68" s="2436"/>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topLeftCell="A10" zoomScale="110" zoomScaleNormal="110" workbookViewId="0">
      <selection activeCell="B1" sqref="B1"/>
    </sheetView>
  </sheetViews>
  <sheetFormatPr defaultColWidth="9.140625" defaultRowHeight="12.75" x14ac:dyDescent="0.2"/>
  <cols>
    <col min="1" max="1" width="3" style="307" customWidth="1"/>
    <col min="2" max="2" width="12.85546875" style="307" customWidth="1"/>
    <col min="3" max="3" width="3.140625" style="307" customWidth="1"/>
    <col min="4" max="16384" width="9.140625" style="307"/>
  </cols>
  <sheetData>
    <row r="2" spans="1:3" x14ac:dyDescent="0.2">
      <c r="A2" s="366" t="s">
        <v>256</v>
      </c>
    </row>
    <row r="3" spans="1:3" x14ac:dyDescent="0.2">
      <c r="A3" s="307" t="s">
        <v>257</v>
      </c>
    </row>
    <row r="5" spans="1:3" x14ac:dyDescent="0.2">
      <c r="A5" s="847"/>
    </row>
    <row r="6" spans="1:3" x14ac:dyDescent="0.2">
      <c r="A6" s="2034" t="s">
        <v>2073</v>
      </c>
    </row>
    <row r="7" spans="1:3" x14ac:dyDescent="0.2">
      <c r="A7" s="847"/>
      <c r="B7" s="2035">
        <v>5073</v>
      </c>
      <c r="C7" s="307" t="s">
        <v>2074</v>
      </c>
    </row>
    <row r="8" spans="1:3" x14ac:dyDescent="0.2">
      <c r="A8" s="847"/>
    </row>
    <row r="9" spans="1:3" x14ac:dyDescent="0.2">
      <c r="A9" s="2034" t="s">
        <v>2117</v>
      </c>
    </row>
    <row r="10" spans="1:3" x14ac:dyDescent="0.2">
      <c r="A10" s="848"/>
      <c r="B10" s="2035">
        <v>9295</v>
      </c>
      <c r="C10" s="307" t="s">
        <v>2075</v>
      </c>
    </row>
    <row r="11" spans="1:3" x14ac:dyDescent="0.2">
      <c r="A11" s="848"/>
    </row>
    <row r="12" spans="1:3" x14ac:dyDescent="0.2">
      <c r="A12" s="2034" t="s">
        <v>2118</v>
      </c>
    </row>
    <row r="13" spans="1:3" x14ac:dyDescent="0.2">
      <c r="A13" s="848"/>
      <c r="B13" s="2035">
        <v>1720</v>
      </c>
      <c r="C13" s="307" t="s">
        <v>2077</v>
      </c>
    </row>
    <row r="14" spans="1:3" x14ac:dyDescent="0.2">
      <c r="A14" s="848"/>
    </row>
    <row r="15" spans="1:3" x14ac:dyDescent="0.2">
      <c r="A15" s="848"/>
      <c r="B15" s="2035">
        <v>127</v>
      </c>
      <c r="C15" s="307" t="s">
        <v>2076</v>
      </c>
    </row>
    <row r="16" spans="1:3" x14ac:dyDescent="0.2">
      <c r="A16" s="848"/>
    </row>
    <row r="17" spans="1:3" x14ac:dyDescent="0.2">
      <c r="A17" s="2034" t="s">
        <v>2078</v>
      </c>
    </row>
    <row r="18" spans="1:3" x14ac:dyDescent="0.2">
      <c r="A18" s="848"/>
      <c r="B18" s="2035">
        <v>4880</v>
      </c>
      <c r="C18" s="307" t="s">
        <v>2079</v>
      </c>
    </row>
    <row r="19" spans="1:3" x14ac:dyDescent="0.2">
      <c r="A19" s="848"/>
    </row>
    <row r="20" spans="1:3" x14ac:dyDescent="0.2">
      <c r="A20" s="2034" t="s">
        <v>2080</v>
      </c>
    </row>
    <row r="21" spans="1:3" x14ac:dyDescent="0.2">
      <c r="A21" s="848"/>
      <c r="B21" s="2035">
        <v>2717</v>
      </c>
      <c r="C21" s="307" t="s">
        <v>2083</v>
      </c>
    </row>
    <row r="22" spans="1:3" x14ac:dyDescent="0.2">
      <c r="A22" s="848"/>
    </row>
    <row r="23" spans="1:3" x14ac:dyDescent="0.2">
      <c r="A23" s="2034" t="s">
        <v>2081</v>
      </c>
    </row>
    <row r="24" spans="1:3" x14ac:dyDescent="0.2">
      <c r="A24" s="848"/>
      <c r="B24" s="2035">
        <v>1000</v>
      </c>
      <c r="C24" s="307" t="s">
        <v>2082</v>
      </c>
    </row>
    <row r="25" spans="1:3" x14ac:dyDescent="0.2">
      <c r="A25" s="848"/>
    </row>
    <row r="26" spans="1:3" x14ac:dyDescent="0.2">
      <c r="A26" s="2034" t="s">
        <v>2084</v>
      </c>
    </row>
    <row r="27" spans="1:3" x14ac:dyDescent="0.2">
      <c r="A27" s="848"/>
      <c r="B27" s="2035">
        <v>122731</v>
      </c>
      <c r="C27" s="307" t="s">
        <v>2085</v>
      </c>
    </row>
    <row r="28" spans="1:3" x14ac:dyDescent="0.2">
      <c r="A28" s="848"/>
      <c r="B28" s="2036">
        <v>38051</v>
      </c>
      <c r="C28" s="307" t="s">
        <v>2086</v>
      </c>
    </row>
    <row r="29" spans="1:3" x14ac:dyDescent="0.2">
      <c r="A29" s="848"/>
      <c r="B29" s="2036">
        <v>422216</v>
      </c>
      <c r="C29" s="307" t="s">
        <v>2087</v>
      </c>
    </row>
    <row r="30" spans="1:3" x14ac:dyDescent="0.2">
      <c r="A30" s="848"/>
      <c r="B30" s="2036">
        <v>1000</v>
      </c>
      <c r="C30" s="307" t="s">
        <v>2088</v>
      </c>
    </row>
    <row r="31" spans="1:3" ht="13.5" thickBot="1" x14ac:dyDescent="0.25">
      <c r="A31" s="848"/>
      <c r="B31" s="2037">
        <f>SUM(B27:B30)</f>
        <v>583998</v>
      </c>
    </row>
    <row r="32" spans="1:3" ht="13.5" thickTop="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Tremont CUSD 702</v>
      </c>
    </row>
    <row r="65" spans="2:2" x14ac:dyDescent="0.2">
      <c r="B65" s="849">
        <f>COVER!A13</f>
        <v>53090702026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D21" sqref="D2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9" t="s">
        <v>1665</v>
      </c>
      <c r="B18" s="247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6</xdr:row>
                <xdr:rowOff>0</xdr:rowOff>
              </from>
              <to>
                <xdr:col>1</xdr:col>
                <xdr:colOff>1019175</xdr:colOff>
                <xdr:row>11</xdr:row>
                <xdr:rowOff>47625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autoPict="0" r:id="rId7">
            <anchor moveWithCells="1">
              <from>
                <xdr:col>1</xdr:col>
                <xdr:colOff>2238375</xdr:colOff>
                <xdr:row>5</xdr:row>
                <xdr:rowOff>85725</xdr:rowOff>
              </from>
              <to>
                <xdr:col>1</xdr:col>
                <xdr:colOff>3152775</xdr:colOff>
                <xdr:row>10</xdr:row>
                <xdr:rowOff>152400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1972</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7661454</v>
      </c>
      <c r="C8" s="1813">
        <f>'Acct Summary 7-8'!D8</f>
        <v>679149</v>
      </c>
      <c r="D8" s="1813">
        <f>'Acct Summary 7-8'!F8</f>
        <v>511670</v>
      </c>
      <c r="E8" s="1813">
        <f>'Acct Summary 7-8'!I8</f>
        <v>33849</v>
      </c>
      <c r="F8" s="1813">
        <f>SUM(B8:E8)</f>
        <v>8886122</v>
      </c>
    </row>
    <row r="9" spans="1:8" s="858" customFormat="1" ht="14.25" customHeight="1" thickBot="1" x14ac:dyDescent="0.25">
      <c r="A9" s="857" t="s">
        <v>1353</v>
      </c>
      <c r="B9" s="1814">
        <f>'Acct Summary 7-8'!C17</f>
        <v>8377018</v>
      </c>
      <c r="C9" s="1814">
        <f>'Acct Summary 7-8'!D17</f>
        <v>622361</v>
      </c>
      <c r="D9" s="1814">
        <f>'Acct Summary 7-8'!F17</f>
        <v>518773</v>
      </c>
      <c r="E9" s="1813"/>
      <c r="F9" s="1813">
        <f>SUM(B9:E9)</f>
        <v>9518152</v>
      </c>
    </row>
    <row r="10" spans="1:8" s="858" customFormat="1" ht="14.25" thickTop="1" thickBot="1" x14ac:dyDescent="0.25">
      <c r="A10" s="859" t="s">
        <v>1354</v>
      </c>
      <c r="B10" s="1815">
        <f>(B8-B9)</f>
        <v>-715564</v>
      </c>
      <c r="C10" s="1815">
        <f>(C8-C9)</f>
        <v>56788</v>
      </c>
      <c r="D10" s="1815">
        <f>(D8-D9)</f>
        <v>-7103</v>
      </c>
      <c r="E10" s="1814">
        <f>(E8-E9)</f>
        <v>33849</v>
      </c>
      <c r="F10" s="1816">
        <f>SUM(F8-F9)</f>
        <v>-632030</v>
      </c>
    </row>
    <row r="11" spans="1:8" s="858" customFormat="1" ht="14.25" thickTop="1" thickBot="1" x14ac:dyDescent="0.25">
      <c r="A11" s="860" t="s">
        <v>1903</v>
      </c>
      <c r="B11" s="1817">
        <f>'Acct Summary 7-8'!C81</f>
        <v>407037</v>
      </c>
      <c r="C11" s="1817">
        <f>'Acct Summary 7-8'!D81</f>
        <v>613621</v>
      </c>
      <c r="D11" s="1817">
        <f>'Acct Summary 7-8'!F81</f>
        <v>111444</v>
      </c>
      <c r="E11" s="1817">
        <f>'Acct Summary 7-8'!I81</f>
        <v>779936</v>
      </c>
      <c r="F11" s="1818">
        <f>SUM(B11:E11)</f>
        <v>1912038</v>
      </c>
    </row>
    <row r="12" spans="1:8" ht="16.5" customHeight="1" thickTop="1" x14ac:dyDescent="0.2">
      <c r="A12" s="861"/>
      <c r="B12" s="862"/>
      <c r="C12" s="2484" t="str">
        <f>IF(AND(F10&lt;0,F11&gt;=0,ABS(F10*3)&gt;ABS(F11)),A16,IF(AND(F10&lt;0,F11&gt;0,ABS(F10*3)&lt;=ABS(F11)),A17,IF(AND(F10&lt;0,F11&lt;0),A16,IF(F11=0,A19,A18))))</f>
        <v>Unbalanced -  however, a deficit reduction plan is not required at this time.</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29'!$D$28&gt;0,"OK","PLEASE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53090702026</v>
      </c>
      <c r="E2" s="1542">
        <v>2020</v>
      </c>
      <c r="F2" s="1542">
        <v>1</v>
      </c>
      <c r="G2" s="1898">
        <v>101000300</v>
      </c>
    </row>
    <row r="3" spans="1:7" ht="15" x14ac:dyDescent="0.25">
      <c r="A3" t="s">
        <v>950</v>
      </c>
      <c r="B3" s="135" t="str">
        <f>COVER!A15</f>
        <v>Tazewell</v>
      </c>
      <c r="E3" s="1830" t="s">
        <v>1971</v>
      </c>
      <c r="F3" s="1830" t="s">
        <v>1970</v>
      </c>
      <c r="G3" s="1898">
        <v>101000400</v>
      </c>
    </row>
    <row r="4" spans="1:7" ht="15" x14ac:dyDescent="0.25">
      <c r="A4" t="s">
        <v>1000</v>
      </c>
      <c r="B4" s="135" t="str">
        <f>COVER!A17</f>
        <v xml:space="preserve"> Tremont CUSD 702</v>
      </c>
      <c r="E4" s="1828">
        <v>44119</v>
      </c>
      <c r="F4" s="1829">
        <v>44151</v>
      </c>
      <c r="G4" s="1898">
        <v>101000600</v>
      </c>
    </row>
    <row r="5" spans="1:7" ht="15" x14ac:dyDescent="0.25">
      <c r="A5" t="s">
        <v>699</v>
      </c>
      <c r="B5" s="135" t="str">
        <f>COVER!A38</f>
        <v>Sean Berry</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f>COVER!T23</f>
        <v>65.027017999999998</v>
      </c>
      <c r="G15" s="1898">
        <v>402100400</v>
      </c>
    </row>
    <row r="16" spans="1:7" ht="15" x14ac:dyDescent="0.25">
      <c r="A16" t="s">
        <v>419</v>
      </c>
      <c r="B16" s="135" t="str">
        <f>COVER!T13</f>
        <v>Koch Consultants, Ltd.</v>
      </c>
      <c r="G16" s="1898">
        <v>402100600</v>
      </c>
    </row>
    <row r="17" spans="1:7" ht="15" x14ac:dyDescent="0.25">
      <c r="A17" t="s">
        <v>878</v>
      </c>
      <c r="B17" s="135" t="str">
        <f>COVER!T15</f>
        <v>Nathan D. Koch</v>
      </c>
      <c r="G17" s="1898">
        <v>402100800</v>
      </c>
    </row>
    <row r="18" spans="1:7" ht="15" x14ac:dyDescent="0.25">
      <c r="A18" t="s">
        <v>1140</v>
      </c>
      <c r="B18" s="135" t="str">
        <f>COVER!T17</f>
        <v>PO Box 1400</v>
      </c>
      <c r="G18" s="1898">
        <v>102200300</v>
      </c>
    </row>
    <row r="19" spans="1:7" ht="15" x14ac:dyDescent="0.25">
      <c r="A19" t="s">
        <v>880</v>
      </c>
      <c r="B19" s="135" t="str">
        <f>COVER!T25</f>
        <v>nate@kochconsultants.com</v>
      </c>
      <c r="G19" s="1898">
        <v>102200400</v>
      </c>
    </row>
    <row r="20" spans="1:7" ht="15" x14ac:dyDescent="0.25">
      <c r="A20" t="s">
        <v>881</v>
      </c>
      <c r="B20" s="135" t="str">
        <f>COVER!T19</f>
        <v>Tremont</v>
      </c>
      <c r="G20" s="1898">
        <v>102200600</v>
      </c>
    </row>
    <row r="21" spans="1:7" ht="15" x14ac:dyDescent="0.25">
      <c r="A21" t="s">
        <v>476</v>
      </c>
      <c r="B21" s="135" t="str">
        <f>COVER!X19</f>
        <v>IL</v>
      </c>
      <c r="G21" s="1898">
        <v>102200800</v>
      </c>
    </row>
    <row r="22" spans="1:7" ht="15" x14ac:dyDescent="0.25">
      <c r="A22" t="s">
        <v>882</v>
      </c>
      <c r="B22" s="135">
        <f>COVER!Z19</f>
        <v>61568</v>
      </c>
      <c r="G22" s="1898">
        <v>102300300</v>
      </c>
    </row>
    <row r="23" spans="1:7" ht="15" x14ac:dyDescent="0.25">
      <c r="A23" t="s">
        <v>1142</v>
      </c>
      <c r="B23" s="135" t="str">
        <f>COVER!T21</f>
        <v>309-267-3796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t="str">
        <f>'Aud Quest 2'!H53</f>
        <v>00/00/1998</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445</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407037</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407037</v>
      </c>
      <c r="D92" s="2" t="str">
        <f t="shared" si="0"/>
        <v>Error?</v>
      </c>
      <c r="G92" s="1898">
        <v>102640600</v>
      </c>
    </row>
    <row r="93" spans="1:7" ht="15" x14ac:dyDescent="0.25">
      <c r="A93" s="5">
        <v>32</v>
      </c>
      <c r="B93" s="1832">
        <f>'Assets-Liab 5-6'!C41</f>
        <v>407037</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124262</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613621</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563621</v>
      </c>
      <c r="D123" s="2" t="str">
        <f t="shared" si="0"/>
        <v>Error?</v>
      </c>
      <c r="G123" s="1898">
        <v>203000400</v>
      </c>
    </row>
    <row r="124" spans="1:7" ht="15" x14ac:dyDescent="0.25">
      <c r="A124" s="5">
        <v>63</v>
      </c>
      <c r="B124" s="1832">
        <f>'Assets-Liab 5-6'!D41</f>
        <v>613621</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33</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72476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72476</v>
      </c>
      <c r="D140" s="2" t="str">
        <f t="shared" si="1"/>
        <v>Error?</v>
      </c>
    </row>
    <row r="141" spans="1:7" x14ac:dyDescent="0.2">
      <c r="A141" s="5">
        <v>80</v>
      </c>
      <c r="B141" s="1832">
        <f>'Assets-Liab 5-6'!E41</f>
        <v>72476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111444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111444</v>
      </c>
      <c r="D170" s="2" t="str">
        <f t="shared" si="1"/>
        <v>Error?</v>
      </c>
    </row>
    <row r="171" spans="1:4" x14ac:dyDescent="0.2">
      <c r="A171" s="5">
        <v>110</v>
      </c>
      <c r="B171" s="1832">
        <f>'Assets-Liab 5-6'!F41</f>
        <v>111444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129235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129235</v>
      </c>
      <c r="D189" s="2" t="str">
        <f t="shared" si="1"/>
        <v>Error?</v>
      </c>
    </row>
    <row r="190" spans="1:4" x14ac:dyDescent="0.2">
      <c r="A190" s="5">
        <v>129</v>
      </c>
      <c r="B190" s="1832">
        <f>'Assets-Liab 5-6'!G41</f>
        <v>129235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207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9648</v>
      </c>
      <c r="C211" s="2" t="s">
        <v>569</v>
      </c>
      <c r="D211" s="2" t="str">
        <f t="shared" si="2"/>
        <v>Error?</v>
      </c>
    </row>
    <row r="212" spans="1:4" x14ac:dyDescent="0.2">
      <c r="A212" s="5">
        <v>151</v>
      </c>
      <c r="B212" s="1832">
        <f>'Assets-Liab 5-6'!H39</f>
        <v>-9441</v>
      </c>
      <c r="D212" s="2" t="str">
        <f t="shared" si="2"/>
        <v>Error?</v>
      </c>
    </row>
    <row r="213" spans="1:4" x14ac:dyDescent="0.2">
      <c r="A213" s="12">
        <v>152</v>
      </c>
      <c r="B213" s="1832">
        <f>'Assets-Liab 5-6'!H41</f>
        <v>207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51845</v>
      </c>
      <c r="D273" s="2" t="str">
        <f t="shared" si="3"/>
        <v>Error?</v>
      </c>
    </row>
    <row r="274" spans="1:4" x14ac:dyDescent="0.2">
      <c r="A274" s="5">
        <v>213</v>
      </c>
      <c r="B274" s="1832">
        <f>'Assets-Liab 5-6'!M17</f>
        <v>18205399</v>
      </c>
      <c r="D274" s="2" t="str">
        <f t="shared" si="3"/>
        <v>Error?</v>
      </c>
    </row>
    <row r="275" spans="1:4" x14ac:dyDescent="0.2">
      <c r="A275" s="5">
        <v>214</v>
      </c>
      <c r="B275" s="1832">
        <f>'Assets-Liab 5-6'!M18</f>
        <v>2921350</v>
      </c>
      <c r="D275" s="2" t="str">
        <f t="shared" si="3"/>
        <v>Error?</v>
      </c>
    </row>
    <row r="276" spans="1:4" x14ac:dyDescent="0.2">
      <c r="A276" s="5">
        <v>215</v>
      </c>
      <c r="B276" s="1832">
        <f>'Assets-Liab 5-6'!M19</f>
        <v>968931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22147525</v>
      </c>
      <c r="C279" s="2" t="s">
        <v>569</v>
      </c>
      <c r="D279" s="2" t="str">
        <f t="shared" si="3"/>
        <v>Error?</v>
      </c>
    </row>
    <row r="280" spans="1:4" x14ac:dyDescent="0.2">
      <c r="A280" s="5">
        <v>219</v>
      </c>
      <c r="B280" s="1832">
        <f>'Assets-Liab 5-6'!M40</f>
        <v>22147525</v>
      </c>
      <c r="D280" s="2" t="str">
        <f t="shared" si="3"/>
        <v>Error?</v>
      </c>
    </row>
    <row r="281" spans="1:4" x14ac:dyDescent="0.2">
      <c r="A281" s="5">
        <v>220</v>
      </c>
      <c r="B281" s="1832">
        <f>'Assets-Liab 5-6'!M41</f>
        <v>22147525</v>
      </c>
      <c r="C281" s="2" t="s">
        <v>569</v>
      </c>
      <c r="D281" s="2" t="str">
        <f t="shared" si="3"/>
        <v>Error?</v>
      </c>
    </row>
    <row r="282" spans="1:4" x14ac:dyDescent="0.2">
      <c r="A282" s="5">
        <v>221</v>
      </c>
      <c r="B282" s="1832">
        <f>'Assets-Liab 5-6'!N21</f>
        <v>72476</v>
      </c>
      <c r="D282" s="2" t="str">
        <f t="shared" si="3"/>
        <v>Error?</v>
      </c>
    </row>
    <row r="283" spans="1:4" x14ac:dyDescent="0.2">
      <c r="A283" s="5">
        <v>222</v>
      </c>
      <c r="B283" s="1832">
        <f>'Assets-Liab 5-6'!N22</f>
        <v>5702524</v>
      </c>
      <c r="D283" s="2" t="str">
        <f t="shared" si="3"/>
        <v>Error?</v>
      </c>
    </row>
    <row r="284" spans="1:4" x14ac:dyDescent="0.2">
      <c r="A284" s="5">
        <v>223</v>
      </c>
      <c r="B284" s="1832">
        <f>'Assets-Liab 5-6'!N23</f>
        <v>5775000</v>
      </c>
      <c r="C284" s="2" t="s">
        <v>569</v>
      </c>
      <c r="D284" s="2" t="str">
        <f t="shared" si="3"/>
        <v>Error?</v>
      </c>
    </row>
    <row r="285" spans="1:4" x14ac:dyDescent="0.2">
      <c r="A285" s="5">
        <v>224</v>
      </c>
      <c r="B285" s="1832">
        <f>'Assets-Liab 5-6'!N36</f>
        <v>5775000</v>
      </c>
      <c r="D285" s="2" t="str">
        <f t="shared" si="3"/>
        <v>Error?</v>
      </c>
    </row>
    <row r="286" spans="1:4" x14ac:dyDescent="0.2">
      <c r="A286" s="10">
        <v>225</v>
      </c>
      <c r="B286" s="1832"/>
      <c r="D286" s="2" t="str">
        <f t="shared" si="3"/>
        <v>OK</v>
      </c>
    </row>
    <row r="287" spans="1:4" x14ac:dyDescent="0.2">
      <c r="A287" s="5">
        <v>226</v>
      </c>
      <c r="B287" s="1832">
        <f>'Assets-Liab 5-6'!N37</f>
        <v>5775000</v>
      </c>
      <c r="C287" s="2" t="s">
        <v>569</v>
      </c>
      <c r="D287" s="2" t="str">
        <f t="shared" si="3"/>
        <v>Error?</v>
      </c>
    </row>
    <row r="288" spans="1:4" x14ac:dyDescent="0.2">
      <c r="A288" s="5">
        <v>227</v>
      </c>
      <c r="B288" s="1832">
        <f>'Assets-Liab 5-6'!N41</f>
        <v>5775000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6623</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3248784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207291</v>
      </c>
      <c r="D717" s="2" t="str">
        <f t="shared" si="10"/>
        <v>Error?</v>
      </c>
    </row>
    <row r="718" spans="1:4" x14ac:dyDescent="0.2">
      <c r="A718" s="5">
        <v>657</v>
      </c>
      <c r="B718" s="1832">
        <f>'Expenditures 15-22'!C14</f>
        <v>243648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5215653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131178</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131178</v>
      </c>
      <c r="C727" s="2" t="s">
        <v>569</v>
      </c>
      <c r="D727" s="2" t="str">
        <f t="shared" si="10"/>
        <v>Error?</v>
      </c>
    </row>
    <row r="728" spans="1:4" x14ac:dyDescent="0.2">
      <c r="A728" s="5">
        <v>667</v>
      </c>
      <c r="B728" s="1832">
        <f>'Expenditures 15-22'!C44</f>
        <v>3230</v>
      </c>
      <c r="D728" s="2" t="str">
        <f t="shared" si="10"/>
        <v>Error?</v>
      </c>
    </row>
    <row r="729" spans="1:4" x14ac:dyDescent="0.2">
      <c r="A729" s="5">
        <v>668</v>
      </c>
      <c r="B729" s="1832">
        <f>'Expenditures 15-22'!C45</f>
        <v>21375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24605</v>
      </c>
      <c r="C731" s="2" t="s">
        <v>569</v>
      </c>
      <c r="D731" s="2" t="str">
        <f t="shared" si="10"/>
        <v>Error?</v>
      </c>
    </row>
    <row r="732" spans="1:4" x14ac:dyDescent="0.2">
      <c r="A732" s="5">
        <v>671</v>
      </c>
      <c r="B732" s="1832">
        <f>'Expenditures 15-22'!C49</f>
        <v>5500</v>
      </c>
      <c r="D732" s="2" t="str">
        <f t="shared" si="10"/>
        <v>Error?</v>
      </c>
    </row>
    <row r="733" spans="1:4" x14ac:dyDescent="0.2">
      <c r="A733" s="5">
        <v>672</v>
      </c>
      <c r="B733" s="1832">
        <f>'Expenditures 15-22'!C50</f>
        <v>224520</v>
      </c>
      <c r="D733" s="2" t="str">
        <f t="shared" si="10"/>
        <v>Error?</v>
      </c>
    </row>
    <row r="734" spans="1:4" x14ac:dyDescent="0.2">
      <c r="A734" s="5">
        <v>673</v>
      </c>
      <c r="B734" s="1832">
        <f>'Expenditures 15-22'!C53</f>
        <v>230020</v>
      </c>
      <c r="C734" s="2" t="s">
        <v>569</v>
      </c>
      <c r="D734" s="2" t="str">
        <f t="shared" si="10"/>
        <v>Error?</v>
      </c>
    </row>
    <row r="735" spans="1:4" x14ac:dyDescent="0.2">
      <c r="A735" s="5">
        <v>674</v>
      </c>
      <c r="B735" s="1832">
        <f>'Expenditures 15-22'!C55</f>
        <v>451077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451077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53342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112178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165520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1002400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6218053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389198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26551</v>
      </c>
      <c r="D775" s="2" t="str">
        <f t="shared" si="11"/>
        <v>Error?</v>
      </c>
    </row>
    <row r="776" spans="1:4" x14ac:dyDescent="0.2">
      <c r="A776" s="5">
        <v>715</v>
      </c>
      <c r="B776" s="1832">
        <f>'Expenditures 15-22'!D14</f>
        <v>16833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631424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22328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22328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10567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10567</v>
      </c>
      <c r="C789" s="2" t="s">
        <v>569</v>
      </c>
      <c r="D789" s="2" t="str">
        <f t="shared" si="11"/>
        <v>Error?</v>
      </c>
    </row>
    <row r="790" spans="1:4" x14ac:dyDescent="0.2">
      <c r="A790" s="5">
        <v>729</v>
      </c>
      <c r="B790" s="1832">
        <f>'Expenditures 15-22'!D49</f>
        <v>10</v>
      </c>
      <c r="D790" s="2" t="str">
        <f t="shared" si="11"/>
        <v>Error?</v>
      </c>
    </row>
    <row r="791" spans="1:4" x14ac:dyDescent="0.2">
      <c r="A791" s="5">
        <v>730</v>
      </c>
      <c r="B791" s="1832">
        <f>'Expenditures 15-22'!D50</f>
        <v>28018</v>
      </c>
      <c r="D791" s="2" t="str">
        <f t="shared" si="11"/>
        <v>Error?</v>
      </c>
    </row>
    <row r="792" spans="1:4" x14ac:dyDescent="0.2">
      <c r="A792" s="5">
        <v>731</v>
      </c>
      <c r="B792" s="1832">
        <f>'Expenditures 15-22'!D53</f>
        <v>28028</v>
      </c>
      <c r="C792" s="2" t="s">
        <v>569</v>
      </c>
      <c r="D792" s="2" t="str">
        <f t="shared" si="11"/>
        <v>Error?</v>
      </c>
    </row>
    <row r="793" spans="1:4" x14ac:dyDescent="0.2">
      <c r="A793" s="5">
        <v>732</v>
      </c>
      <c r="B793" s="1832">
        <f>'Expenditures 15-22'!D55</f>
        <v>59695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59695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6643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6571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13214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133832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765256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227420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100</v>
      </c>
      <c r="D833" s="2" t="str">
        <f t="shared" si="12"/>
        <v>Error?</v>
      </c>
    </row>
    <row r="834" spans="1:4" x14ac:dyDescent="0.2">
      <c r="A834" s="5">
        <v>773</v>
      </c>
      <c r="B834" s="1832">
        <f>'Expenditures 15-22'!E14</f>
        <v>32281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273873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2506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2506</v>
      </c>
      <c r="C843" s="2" t="s">
        <v>569</v>
      </c>
      <c r="D843" s="2" t="str">
        <f t="shared" si="12"/>
        <v>Error?</v>
      </c>
    </row>
    <row r="844" spans="1:4" x14ac:dyDescent="0.2">
      <c r="A844" s="5">
        <v>783</v>
      </c>
      <c r="B844" s="1832">
        <f>'Expenditures 15-22'!E44</f>
        <v>6066</v>
      </c>
      <c r="D844" s="2" t="str">
        <f t="shared" si="12"/>
        <v>Error?</v>
      </c>
    </row>
    <row r="845" spans="1:4" x14ac:dyDescent="0.2">
      <c r="A845" s="5">
        <v>784</v>
      </c>
      <c r="B845" s="1832">
        <f>'Expenditures 15-22'!E45</f>
        <v>7194</v>
      </c>
      <c r="D845" s="2" t="str">
        <f t="shared" si="12"/>
        <v>Error?</v>
      </c>
    </row>
    <row r="846" spans="1:4" x14ac:dyDescent="0.2">
      <c r="A846" s="5">
        <v>785</v>
      </c>
      <c r="B846" s="1832">
        <f>'Expenditures 15-22'!E46</f>
        <v>31723</v>
      </c>
      <c r="D846" s="2" t="str">
        <f t="shared" si="12"/>
        <v>Error?</v>
      </c>
    </row>
    <row r="847" spans="1:4" x14ac:dyDescent="0.2">
      <c r="A847" s="5">
        <v>786</v>
      </c>
      <c r="B847" s="1832">
        <f>'Expenditures 15-22'!E47</f>
        <v>44983</v>
      </c>
      <c r="C847" s="2" t="s">
        <v>569</v>
      </c>
      <c r="D847" s="2" t="str">
        <f t="shared" si="12"/>
        <v>Error?</v>
      </c>
    </row>
    <row r="848" spans="1:4" x14ac:dyDescent="0.2">
      <c r="A848" s="5">
        <v>787</v>
      </c>
      <c r="B848" s="1832">
        <f>'Expenditures 15-22'!E49</f>
        <v>85495</v>
      </c>
      <c r="D848" s="2" t="str">
        <f t="shared" si="12"/>
        <v>Error?</v>
      </c>
    </row>
    <row r="849" spans="1:4" x14ac:dyDescent="0.2">
      <c r="A849" s="5">
        <v>788</v>
      </c>
      <c r="B849" s="1832">
        <f>'Expenditures 15-22'!E50</f>
        <v>6512</v>
      </c>
      <c r="D849" s="2" t="str">
        <f t="shared" si="12"/>
        <v>Error?</v>
      </c>
    </row>
    <row r="850" spans="1:4" x14ac:dyDescent="0.2">
      <c r="A850" s="5">
        <v>789</v>
      </c>
      <c r="B850" s="1832">
        <f>'Expenditures 15-22'!E53</f>
        <v>92007</v>
      </c>
      <c r="C850" s="2" t="s">
        <v>569</v>
      </c>
      <c r="D850" s="2" t="str">
        <f t="shared" si="12"/>
        <v>Error?</v>
      </c>
    </row>
    <row r="851" spans="1:4" x14ac:dyDescent="0.2">
      <c r="A851" s="5">
        <v>790</v>
      </c>
      <c r="B851" s="1832">
        <f>'Expenditures 15-22'!E55</f>
        <v>8564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8564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3290</v>
      </c>
      <c r="D855" s="2" t="str">
        <f t="shared" si="12"/>
        <v>Error?</v>
      </c>
    </row>
    <row r="856" spans="1:4" x14ac:dyDescent="0.2">
      <c r="A856" s="5">
        <v>795</v>
      </c>
      <c r="B856" s="1832">
        <f>'Expenditures 15-22'!E61</f>
        <v>184755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1974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190019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338079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666883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88710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2174</v>
      </c>
      <c r="D891" s="2" t="str">
        <f t="shared" si="12"/>
        <v>Error?</v>
      </c>
    </row>
    <row r="892" spans="1:4" x14ac:dyDescent="0.2">
      <c r="A892" s="5">
        <v>831</v>
      </c>
      <c r="B892" s="1832">
        <f>'Expenditures 15-22'!F14</f>
        <v>18705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131056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71</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2717</v>
      </c>
      <c r="D900" s="2" t="str">
        <f t="shared" si="13"/>
        <v>Error?</v>
      </c>
    </row>
    <row r="901" spans="1:4" x14ac:dyDescent="0.2">
      <c r="A901" s="5">
        <v>840</v>
      </c>
      <c r="B901" s="1832">
        <f>'Expenditures 15-22'!F42</f>
        <v>2788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1019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1019</v>
      </c>
      <c r="C905" s="2" t="s">
        <v>569</v>
      </c>
      <c r="D905" s="2" t="str">
        <f t="shared" si="13"/>
        <v>Error?</v>
      </c>
    </row>
    <row r="906" spans="1:4" x14ac:dyDescent="0.2">
      <c r="A906" s="5">
        <v>845</v>
      </c>
      <c r="B906" s="1832">
        <f>'Expenditures 15-22'!F49</f>
        <v>402</v>
      </c>
      <c r="D906" s="2" t="str">
        <f t="shared" si="13"/>
        <v>Error?</v>
      </c>
    </row>
    <row r="907" spans="1:4" x14ac:dyDescent="0.2">
      <c r="A907" s="5">
        <v>846</v>
      </c>
      <c r="B907" s="1832">
        <f>'Expenditures 15-22'!F50</f>
        <v>2447</v>
      </c>
      <c r="D907" s="2" t="str">
        <f t="shared" si="13"/>
        <v>Error?</v>
      </c>
    </row>
    <row r="908" spans="1:4" x14ac:dyDescent="0.2">
      <c r="A908" s="5">
        <v>847</v>
      </c>
      <c r="B908" s="1832">
        <f>'Expenditures 15-22'!F53</f>
        <v>2849</v>
      </c>
      <c r="C908" s="2" t="s">
        <v>569</v>
      </c>
      <c r="D908" s="2" t="str">
        <f t="shared" si="13"/>
        <v>Error?</v>
      </c>
    </row>
    <row r="909" spans="1:4" x14ac:dyDescent="0.2">
      <c r="A909" s="5">
        <v>848</v>
      </c>
      <c r="B909" s="1832">
        <f>'Expenditures 15-22'!F55</f>
        <v>1598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1598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19299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154740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174039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182293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313349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63362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6388</v>
      </c>
      <c r="D949" s="2" t="str">
        <f t="shared" si="13"/>
        <v>Error?</v>
      </c>
    </row>
    <row r="950" spans="1:4" x14ac:dyDescent="0.2">
      <c r="A950" s="5">
        <v>889</v>
      </c>
      <c r="B950" s="1832">
        <f>'Expenditures 15-22'!G14</f>
        <v>1465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71962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71962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907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9686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199451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417</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417</v>
      </c>
      <c r="C1024" s="2" t="s">
        <v>569</v>
      </c>
      <c r="D1024" s="2" t="str">
        <f t="shared" si="15"/>
        <v>Error?</v>
      </c>
    </row>
    <row r="1025" spans="1:4" x14ac:dyDescent="0.2">
      <c r="A1025" s="5">
        <v>964</v>
      </c>
      <c r="B1025" s="1832">
        <f>'Expenditures 15-22'!H55</f>
        <v>726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726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140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140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1283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140781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341515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4018381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242504</v>
      </c>
      <c r="C1105" s="2" t="s">
        <v>569</v>
      </c>
      <c r="D1105" s="2" t="str">
        <f t="shared" si="16"/>
        <v>Error?</v>
      </c>
    </row>
    <row r="1106" spans="1:4" x14ac:dyDescent="0.2">
      <c r="A1106" s="5">
        <v>1045</v>
      </c>
      <c r="B1106" s="1832">
        <f>'Expenditures 15-22'!K14</f>
        <v>322618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6523419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156083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2717</v>
      </c>
      <c r="C1114" s="2" t="s">
        <v>569</v>
      </c>
      <c r="D1114" s="2" t="str">
        <f t="shared" si="16"/>
        <v>Error?</v>
      </c>
    </row>
    <row r="1115" spans="1:4" x14ac:dyDescent="0.2">
      <c r="A1115" s="5">
        <v>1054</v>
      </c>
      <c r="B1115" s="1832">
        <f>'Expenditures 15-22'!K42</f>
        <v>158800</v>
      </c>
      <c r="C1115" s="2" t="s">
        <v>569</v>
      </c>
      <c r="D1115" s="2" t="str">
        <f t="shared" si="16"/>
        <v>Error?</v>
      </c>
    </row>
    <row r="1116" spans="1:4" x14ac:dyDescent="0.2">
      <c r="A1116" s="5">
        <v>1055</v>
      </c>
      <c r="B1116" s="1832">
        <f>'Expenditures 15-22'!K44</f>
        <v>9296</v>
      </c>
      <c r="C1116" s="2" t="s">
        <v>569</v>
      </c>
      <c r="D1116" s="2" t="str">
        <f t="shared" si="16"/>
        <v>Error?</v>
      </c>
    </row>
    <row r="1117" spans="1:4" x14ac:dyDescent="0.2">
      <c r="A1117" s="5">
        <v>1056</v>
      </c>
      <c r="B1117" s="1832">
        <f>'Expenditures 15-22'!K45</f>
        <v>40155</v>
      </c>
      <c r="C1117" s="2" t="s">
        <v>569</v>
      </c>
      <c r="D1117" s="2" t="str">
        <f t="shared" si="16"/>
        <v>Error?</v>
      </c>
    </row>
    <row r="1118" spans="1:4" x14ac:dyDescent="0.2">
      <c r="A1118" s="5">
        <v>1057</v>
      </c>
      <c r="B1118" s="1832">
        <f>'Expenditures 15-22'!K46</f>
        <v>31723</v>
      </c>
      <c r="C1118" s="2" t="s">
        <v>569</v>
      </c>
      <c r="D1118" s="2" t="str">
        <f t="shared" si="16"/>
        <v>Error?</v>
      </c>
    </row>
    <row r="1119" spans="1:4" x14ac:dyDescent="0.2">
      <c r="A1119" s="5">
        <v>1058</v>
      </c>
      <c r="B1119" s="1832">
        <f>'Expenditures 15-22'!K47</f>
        <v>81174</v>
      </c>
      <c r="C1119" s="2" t="s">
        <v>569</v>
      </c>
      <c r="D1119" s="2" t="str">
        <f t="shared" si="16"/>
        <v>Error?</v>
      </c>
    </row>
    <row r="1120" spans="1:4" x14ac:dyDescent="0.2">
      <c r="A1120" s="5">
        <v>1059</v>
      </c>
      <c r="B1120" s="1832">
        <f>'Expenditures 15-22'!K49</f>
        <v>91824</v>
      </c>
      <c r="C1120" s="2" t="s">
        <v>569</v>
      </c>
      <c r="D1120" s="2" t="str">
        <f t="shared" si="16"/>
        <v>Error?</v>
      </c>
    </row>
    <row r="1121" spans="1:4" x14ac:dyDescent="0.2">
      <c r="A1121" s="5">
        <v>1060</v>
      </c>
      <c r="B1121" s="1832">
        <f>'Expenditures 15-22'!K50</f>
        <v>261497</v>
      </c>
      <c r="C1121" s="2" t="s">
        <v>569</v>
      </c>
      <c r="D1121" s="2" t="str">
        <f t="shared" si="16"/>
        <v>Error?</v>
      </c>
    </row>
    <row r="1122" spans="1:4" x14ac:dyDescent="0.2">
      <c r="A1122" s="5">
        <v>1061</v>
      </c>
      <c r="B1122" s="1832">
        <f>'Expenditures 15-22'!K53</f>
        <v>353321</v>
      </c>
      <c r="C1122" s="2" t="s">
        <v>569</v>
      </c>
      <c r="D1122" s="2" t="str">
        <f t="shared" si="16"/>
        <v>Error?</v>
      </c>
    </row>
    <row r="1123" spans="1:4" x14ac:dyDescent="0.2">
      <c r="A1123" s="5">
        <v>1062</v>
      </c>
      <c r="B1123" s="1832">
        <f>'Expenditures 15-22'!K55</f>
        <v>521660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521660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82714</v>
      </c>
      <c r="C1127" s="2" t="s">
        <v>569</v>
      </c>
      <c r="D1127" s="2" t="str">
        <f t="shared" si="16"/>
        <v>Error?</v>
      </c>
    </row>
    <row r="1128" spans="1:4" x14ac:dyDescent="0.2">
      <c r="A1128" s="5">
        <v>1067</v>
      </c>
      <c r="B1128" s="1832">
        <f>'Expenditures 15-22'!K61</f>
        <v>184755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275463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542932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1657887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195712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8377018</v>
      </c>
      <c r="C1152" s="2" t="s">
        <v>569</v>
      </c>
      <c r="D1152" s="2" t="str">
        <f t="shared" si="17"/>
        <v>Error?</v>
      </c>
    </row>
    <row r="1153" spans="1:4" x14ac:dyDescent="0.2">
      <c r="A1153" s="5">
        <v>1092</v>
      </c>
      <c r="B1153" s="1832">
        <f>'Expenditures 15-22'!K115</f>
        <v>-715564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26477</v>
      </c>
      <c r="D1220" s="2" t="str">
        <f t="shared" si="18"/>
        <v>Error?</v>
      </c>
    </row>
    <row r="1221" spans="1:4" x14ac:dyDescent="0.2">
      <c r="A1221" s="5">
        <v>1160</v>
      </c>
      <c r="B1221" s="1832">
        <f>'Expenditures 15-22'!C124</f>
        <v>264106</v>
      </c>
      <c r="D1221" s="2" t="str">
        <f t="shared" si="18"/>
        <v>Error?</v>
      </c>
    </row>
    <row r="1222" spans="1:4" x14ac:dyDescent="0.2">
      <c r="A1222" s="10">
        <v>1161</v>
      </c>
      <c r="B1222" s="1832"/>
      <c r="D1222" s="2" t="str">
        <f t="shared" si="18"/>
        <v>OK</v>
      </c>
    </row>
    <row r="1223" spans="1:4" x14ac:dyDescent="0.2">
      <c r="A1223" s="5">
        <v>1162</v>
      </c>
      <c r="B1223" s="1832">
        <f>'Expenditures 15-22'!C127</f>
        <v>290583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290583</v>
      </c>
      <c r="C1225" s="2" t="s">
        <v>569</v>
      </c>
      <c r="D1225" s="2" t="str">
        <f t="shared" si="18"/>
        <v>Error?</v>
      </c>
    </row>
    <row r="1226" spans="1:4" x14ac:dyDescent="0.2">
      <c r="A1226" s="5">
        <v>1165</v>
      </c>
      <c r="B1226" s="1832">
        <f>'Expenditures 15-22'!C151</f>
        <v>290583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31752</v>
      </c>
      <c r="D1229" s="2" t="str">
        <f t="shared" si="18"/>
        <v>Error?</v>
      </c>
    </row>
    <row r="1230" spans="1:4" x14ac:dyDescent="0.2">
      <c r="A1230" s="10">
        <v>1169</v>
      </c>
      <c r="B1230" s="1832"/>
      <c r="D1230" s="2" t="str">
        <f t="shared" si="18"/>
        <v>OK</v>
      </c>
    </row>
    <row r="1231" spans="1:4" x14ac:dyDescent="0.2">
      <c r="A1231" s="5">
        <v>1170</v>
      </c>
      <c r="B1231" s="1832">
        <f>'Expenditures 15-22'!D127</f>
        <v>31752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31752</v>
      </c>
      <c r="C1233" s="2" t="s">
        <v>569</v>
      </c>
      <c r="D1233" s="2" t="str">
        <f t="shared" si="18"/>
        <v>Error?</v>
      </c>
    </row>
    <row r="1234" spans="1:4" x14ac:dyDescent="0.2">
      <c r="A1234" s="5">
        <v>1173</v>
      </c>
      <c r="B1234" s="1832">
        <f>'Expenditures 15-22'!D151</f>
        <v>31752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203443</v>
      </c>
      <c r="D1237" s="2" t="str">
        <f t="shared" si="18"/>
        <v>Error?</v>
      </c>
    </row>
    <row r="1238" spans="1:4" x14ac:dyDescent="0.2">
      <c r="A1238" s="10">
        <v>1177</v>
      </c>
      <c r="B1238" s="1832"/>
      <c r="D1238" s="2" t="str">
        <f t="shared" si="18"/>
        <v>OK</v>
      </c>
    </row>
    <row r="1239" spans="1:4" x14ac:dyDescent="0.2">
      <c r="A1239" s="5">
        <v>1178</v>
      </c>
      <c r="B1239" s="1832">
        <f>'Expenditures 15-22'!E127</f>
        <v>203443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203443</v>
      </c>
      <c r="C1241" s="2" t="s">
        <v>569</v>
      </c>
      <c r="D1241" s="2" t="str">
        <f t="shared" si="18"/>
        <v>Error?</v>
      </c>
    </row>
    <row r="1242" spans="1:4" x14ac:dyDescent="0.2">
      <c r="A1242" s="5">
        <v>1181</v>
      </c>
      <c r="B1242" s="1832">
        <f>'Expenditures 15-22'!E151</f>
        <v>203443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67129</v>
      </c>
      <c r="D1245" s="2" t="str">
        <f t="shared" si="18"/>
        <v>Error?</v>
      </c>
    </row>
    <row r="1246" spans="1:4" x14ac:dyDescent="0.2">
      <c r="A1246" s="10">
        <v>1185</v>
      </c>
      <c r="B1246" s="1832"/>
      <c r="D1246" s="2" t="str">
        <f t="shared" si="18"/>
        <v>OK</v>
      </c>
    </row>
    <row r="1247" spans="1:4" x14ac:dyDescent="0.2">
      <c r="A1247" s="5">
        <v>1186</v>
      </c>
      <c r="B1247" s="1832">
        <f>'Expenditures 15-22'!F127</f>
        <v>67129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67129</v>
      </c>
      <c r="C1249" s="2" t="s">
        <v>569</v>
      </c>
      <c r="D1249" s="2" t="str">
        <f t="shared" si="18"/>
        <v>Error?</v>
      </c>
    </row>
    <row r="1250" spans="1:4" x14ac:dyDescent="0.2">
      <c r="A1250" s="5">
        <v>1189</v>
      </c>
      <c r="B1250" s="1832">
        <f>'Expenditures 15-22'!F151</f>
        <v>67129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28634</v>
      </c>
      <c r="D1252" s="2" t="str">
        <f t="shared" si="18"/>
        <v>Error?</v>
      </c>
    </row>
    <row r="1253" spans="1:4" x14ac:dyDescent="0.2">
      <c r="A1253" s="5">
        <v>1192</v>
      </c>
      <c r="B1253" s="1832">
        <f>'Expenditures 15-22'!G124</f>
        <v>820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29454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29454</v>
      </c>
      <c r="C1258" s="2" t="s">
        <v>569</v>
      </c>
      <c r="D1258" s="2" t="str">
        <f t="shared" si="18"/>
        <v>Error?</v>
      </c>
    </row>
    <row r="1259" spans="1:4" x14ac:dyDescent="0.2">
      <c r="A1259" s="5">
        <v>1198</v>
      </c>
      <c r="B1259" s="1832">
        <f>'Expenditures 15-22'!G151</f>
        <v>29454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55111</v>
      </c>
      <c r="C1275" s="2" t="s">
        <v>569</v>
      </c>
      <c r="D1275" s="2" t="str">
        <f t="shared" si="18"/>
        <v>Error?</v>
      </c>
    </row>
    <row r="1276" spans="1:4" x14ac:dyDescent="0.2">
      <c r="A1276" s="5">
        <v>1215</v>
      </c>
      <c r="B1276" s="1832">
        <f>'Expenditures 15-22'!K124</f>
        <v>567250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622361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622361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622361</v>
      </c>
      <c r="C1288" s="2" t="s">
        <v>569</v>
      </c>
      <c r="D1288" s="2" t="str">
        <f t="shared" si="19"/>
        <v>Error?</v>
      </c>
    </row>
    <row r="1289" spans="1:4" x14ac:dyDescent="0.2">
      <c r="A1289" s="5">
        <v>1228</v>
      </c>
      <c r="B1289" s="1832">
        <f>'Expenditures 15-22'!K152</f>
        <v>56788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116163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1040000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1157163</v>
      </c>
      <c r="C1317" s="2" t="s">
        <v>569</v>
      </c>
      <c r="D1317" s="2" t="str">
        <f t="shared" si="19"/>
        <v>Error?</v>
      </c>
    </row>
    <row r="1318" spans="1:4" x14ac:dyDescent="0.2">
      <c r="A1318" s="5">
        <v>1257</v>
      </c>
      <c r="B1318" s="1832">
        <f>'Expenditures 15-22'!H174</f>
        <v>1157163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116163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1040000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1157163</v>
      </c>
      <c r="C1331" s="2" t="s">
        <v>569</v>
      </c>
      <c r="D1331" s="2" t="str">
        <f t="shared" si="19"/>
        <v>Error?</v>
      </c>
    </row>
    <row r="1332" spans="1:4" x14ac:dyDescent="0.2">
      <c r="A1332" s="5">
        <v>1271</v>
      </c>
      <c r="B1332" s="1832">
        <f>'Expenditures 15-22'!K174</f>
        <v>1157163</v>
      </c>
      <c r="C1332" s="2" t="s">
        <v>569</v>
      </c>
      <c r="D1332" s="2" t="str">
        <f t="shared" si="19"/>
        <v>Error?</v>
      </c>
    </row>
    <row r="1333" spans="1:4" x14ac:dyDescent="0.2">
      <c r="A1333" s="5">
        <v>1272</v>
      </c>
      <c r="B1333" s="1832">
        <f>'Expenditures 15-22'!K175</f>
        <v>-3219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219200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219200</v>
      </c>
      <c r="C1339" s="2" t="s">
        <v>569</v>
      </c>
      <c r="D1339" s="2" t="str">
        <f t="shared" si="19"/>
        <v>Error?</v>
      </c>
    </row>
    <row r="1340" spans="1:4" x14ac:dyDescent="0.2">
      <c r="A1340" s="5">
        <v>1279</v>
      </c>
      <c r="B1340" s="1832">
        <f>'Expenditures 15-22'!C210</f>
        <v>219200</v>
      </c>
      <c r="C1340" s="2" t="s">
        <v>569</v>
      </c>
      <c r="D1340" s="2" t="str">
        <f t="shared" si="19"/>
        <v>Error?</v>
      </c>
    </row>
    <row r="1341" spans="1:4" x14ac:dyDescent="0.2">
      <c r="A1341" s="5">
        <v>1280</v>
      </c>
      <c r="B1341" s="1832">
        <f>'Expenditures 15-22'!D182</f>
        <v>30559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30559</v>
      </c>
      <c r="C1345" s="2" t="s">
        <v>569</v>
      </c>
      <c r="D1345" s="2" t="str">
        <f t="shared" si="20"/>
        <v>Error?</v>
      </c>
    </row>
    <row r="1346" spans="1:4" x14ac:dyDescent="0.2">
      <c r="A1346" s="5">
        <v>1285</v>
      </c>
      <c r="B1346" s="1832">
        <f>'Expenditures 15-22'!D210</f>
        <v>30559</v>
      </c>
      <c r="C1346" s="2" t="s">
        <v>569</v>
      </c>
      <c r="D1346" s="2" t="str">
        <f t="shared" si="20"/>
        <v>Error?</v>
      </c>
    </row>
    <row r="1347" spans="1:4" x14ac:dyDescent="0.2">
      <c r="A1347" s="5">
        <v>1286</v>
      </c>
      <c r="B1347" s="1832">
        <f>'Expenditures 15-22'!E182</f>
        <v>192146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192146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192146</v>
      </c>
      <c r="C1353" s="2" t="s">
        <v>569</v>
      </c>
      <c r="D1353" s="2" t="str">
        <f t="shared" si="20"/>
        <v>Error?</v>
      </c>
    </row>
    <row r="1354" spans="1:4" x14ac:dyDescent="0.2">
      <c r="A1354" s="5">
        <v>1293</v>
      </c>
      <c r="B1354" s="1832">
        <f>'Expenditures 15-22'!F182</f>
        <v>49304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49304</v>
      </c>
      <c r="C1358" s="2" t="s">
        <v>569</v>
      </c>
      <c r="D1358" s="2" t="str">
        <f t="shared" si="20"/>
        <v>Error?</v>
      </c>
    </row>
    <row r="1359" spans="1:4" x14ac:dyDescent="0.2">
      <c r="A1359" s="5">
        <v>1298</v>
      </c>
      <c r="B1359" s="1832">
        <f>'Expenditures 15-22'!F210</f>
        <v>49304</v>
      </c>
      <c r="C1359" s="2" t="s">
        <v>569</v>
      </c>
      <c r="D1359" s="2" t="str">
        <f t="shared" si="20"/>
        <v>Error?</v>
      </c>
    </row>
    <row r="1360" spans="1:4" x14ac:dyDescent="0.2">
      <c r="A1360" s="5">
        <v>1299</v>
      </c>
      <c r="B1360" s="1832">
        <f>'Expenditures 15-22'!G182</f>
        <v>27564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27564</v>
      </c>
      <c r="C1364" s="2" t="s">
        <v>569</v>
      </c>
      <c r="D1364" s="2" t="str">
        <f t="shared" si="20"/>
        <v>Error?</v>
      </c>
    </row>
    <row r="1365" spans="1:4" x14ac:dyDescent="0.2">
      <c r="A1365" s="5">
        <v>1304</v>
      </c>
      <c r="B1365" s="1832">
        <f>'Expenditures 15-22'!G210</f>
        <v>27564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518773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518773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518773</v>
      </c>
      <c r="C1388" s="2" t="s">
        <v>569</v>
      </c>
      <c r="D1388" s="2" t="str">
        <f t="shared" si="20"/>
        <v>Error?</v>
      </c>
    </row>
    <row r="1389" spans="1:4" x14ac:dyDescent="0.2">
      <c r="A1389" s="5">
        <v>1328</v>
      </c>
      <c r="B1389" s="1832">
        <f>'Expenditures 15-22'!K211</f>
        <v>-7103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2887</v>
      </c>
      <c r="D1407" s="2" t="str">
        <f t="shared" ref="D1407:D1470" si="21">IF(ISBLANK(B1407),"OK",IF(A1407-B1407=0,"OK","Error?"))</f>
        <v>Error?</v>
      </c>
    </row>
    <row r="1408" spans="1:4" x14ac:dyDescent="0.2">
      <c r="A1408" s="5">
        <v>1347</v>
      </c>
      <c r="B1408" s="1832">
        <f>'Expenditures 15-22'!D223</f>
        <v>7800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177843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1728</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1728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3286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3286</v>
      </c>
      <c r="C1421" s="2" t="s">
        <v>569</v>
      </c>
      <c r="D1421" s="2" t="str">
        <f t="shared" si="21"/>
        <v>Error?</v>
      </c>
    </row>
    <row r="1422" spans="1:4" x14ac:dyDescent="0.2">
      <c r="A1422" s="5">
        <v>1361</v>
      </c>
      <c r="B1422" s="1832">
        <f>'Expenditures 15-22'!D245</f>
        <v>788</v>
      </c>
      <c r="D1422" s="2" t="str">
        <f t="shared" si="21"/>
        <v>Error?</v>
      </c>
    </row>
    <row r="1423" spans="1:4" x14ac:dyDescent="0.2">
      <c r="A1423" s="5">
        <v>1362</v>
      </c>
      <c r="B1423" s="1832">
        <f>'Expenditures 15-22'!D246</f>
        <v>14360</v>
      </c>
      <c r="D1423" s="2" t="str">
        <f t="shared" si="21"/>
        <v>Error?</v>
      </c>
    </row>
    <row r="1424" spans="1:4" x14ac:dyDescent="0.2">
      <c r="A1424" s="5">
        <v>1363</v>
      </c>
      <c r="B1424" s="1832">
        <f>'Expenditures 15-22'!D257</f>
        <v>15148</v>
      </c>
      <c r="C1424" s="2" t="s">
        <v>569</v>
      </c>
      <c r="D1424" s="2" t="str">
        <f t="shared" si="21"/>
        <v>Error?</v>
      </c>
    </row>
    <row r="1425" spans="1:4" x14ac:dyDescent="0.2">
      <c r="A1425" s="5">
        <v>1364</v>
      </c>
      <c r="B1425" s="1832">
        <f>'Expenditures 15-22'!D259</f>
        <v>28851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28851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10018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44457</v>
      </c>
      <c r="D1431" s="2" t="str">
        <f t="shared" si="21"/>
        <v>Error?</v>
      </c>
    </row>
    <row r="1432" spans="1:4" x14ac:dyDescent="0.2">
      <c r="A1432" s="5">
        <v>1371</v>
      </c>
      <c r="B1432" s="1832">
        <f>'Expenditures 15-22'!D267</f>
        <v>31461</v>
      </c>
      <c r="D1432" s="2" t="str">
        <f t="shared" si="21"/>
        <v>Error?</v>
      </c>
    </row>
    <row r="1433" spans="1:4" x14ac:dyDescent="0.2">
      <c r="A1433" s="5">
        <v>1372</v>
      </c>
      <c r="B1433" s="1832">
        <f>'Expenditures 15-22'!D268</f>
        <v>17881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103817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152830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330673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2887</v>
      </c>
      <c r="C1471" s="2" t="s">
        <v>569</v>
      </c>
      <c r="D1471" s="2" t="str">
        <f t="shared" ref="D1471:D1534" si="22">IF(ISBLANK(B1471),"OK",IF(A1471-B1471=0,"OK","Error?"))</f>
        <v>Error?</v>
      </c>
    </row>
    <row r="1472" spans="1:4" x14ac:dyDescent="0.2">
      <c r="A1472" s="5">
        <v>1411</v>
      </c>
      <c r="B1472" s="1832">
        <f>'Expenditures 15-22'!K223</f>
        <v>7800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177843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1728</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1728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3286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3286</v>
      </c>
      <c r="C1485" s="2" t="s">
        <v>569</v>
      </c>
      <c r="D1485" s="2" t="str">
        <f t="shared" si="22"/>
        <v>Error?</v>
      </c>
    </row>
    <row r="1486" spans="1:4" x14ac:dyDescent="0.2">
      <c r="A1486" s="5">
        <v>1425</v>
      </c>
      <c r="B1486" s="1832">
        <f>'Expenditures 15-22'!K245</f>
        <v>788</v>
      </c>
      <c r="C1486" s="2" t="s">
        <v>569</v>
      </c>
      <c r="D1486" s="2" t="str">
        <f t="shared" si="22"/>
        <v>Error?</v>
      </c>
    </row>
    <row r="1487" spans="1:4" x14ac:dyDescent="0.2">
      <c r="A1487" s="5">
        <v>1426</v>
      </c>
      <c r="B1487" s="1832">
        <f>'Expenditures 15-22'!K246</f>
        <v>14360</v>
      </c>
      <c r="C1487" s="2" t="s">
        <v>569</v>
      </c>
      <c r="D1487" s="2" t="str">
        <f t="shared" si="22"/>
        <v>Error?</v>
      </c>
    </row>
    <row r="1488" spans="1:4" x14ac:dyDescent="0.2">
      <c r="A1488" s="5">
        <v>1427</v>
      </c>
      <c r="B1488" s="1832">
        <f>'Expenditures 15-22'!K257</f>
        <v>15148</v>
      </c>
      <c r="C1488" s="2" t="s">
        <v>569</v>
      </c>
      <c r="D1488" s="2" t="str">
        <f t="shared" si="22"/>
        <v>Error?</v>
      </c>
    </row>
    <row r="1489" spans="1:4" x14ac:dyDescent="0.2">
      <c r="A1489" s="5">
        <v>1428</v>
      </c>
      <c r="B1489" s="1832">
        <f>'Expenditures 15-22'!K259</f>
        <v>28851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28851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10018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44457</v>
      </c>
      <c r="C1495" s="2" t="s">
        <v>569</v>
      </c>
      <c r="D1495" s="2" t="str">
        <f t="shared" si="22"/>
        <v>Error?</v>
      </c>
    </row>
    <row r="1496" spans="1:4" x14ac:dyDescent="0.2">
      <c r="A1496" s="5">
        <v>1435</v>
      </c>
      <c r="B1496" s="1832">
        <f>'Expenditures 15-22'!K267</f>
        <v>31461</v>
      </c>
      <c r="C1496" s="2" t="s">
        <v>569</v>
      </c>
      <c r="D1496" s="2" t="str">
        <f t="shared" si="22"/>
        <v>Error?</v>
      </c>
    </row>
    <row r="1497" spans="1:4" x14ac:dyDescent="0.2">
      <c r="A1497" s="5">
        <v>1436</v>
      </c>
      <c r="B1497" s="1832">
        <f>'Expenditures 15-22'!K268</f>
        <v>17881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103817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152830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330673</v>
      </c>
      <c r="C1517" s="2" t="s">
        <v>569</v>
      </c>
      <c r="D1517" s="2" t="str">
        <f t="shared" si="22"/>
        <v>Error?</v>
      </c>
    </row>
    <row r="1518" spans="1:4" x14ac:dyDescent="0.2">
      <c r="A1518" s="5">
        <v>1457</v>
      </c>
      <c r="B1518" s="1832">
        <f>'Expenditures 15-22'!K296</f>
        <v>19762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462825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462825</v>
      </c>
      <c r="C1547" s="2" t="s">
        <v>569</v>
      </c>
      <c r="D1547" s="2" t="str">
        <f t="shared" si="23"/>
        <v>Error?</v>
      </c>
    </row>
    <row r="1548" spans="1:4" x14ac:dyDescent="0.2">
      <c r="A1548" s="5">
        <v>1487</v>
      </c>
      <c r="B1548" s="1832">
        <f>'Expenditures 15-22'!G312</f>
        <v>462825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462825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462825</v>
      </c>
      <c r="C1559" s="2" t="s">
        <v>569</v>
      </c>
      <c r="D1559" s="2" t="str">
        <f t="shared" si="23"/>
        <v>Error?</v>
      </c>
    </row>
    <row r="1560" spans="1:4" x14ac:dyDescent="0.2">
      <c r="A1560" s="5">
        <v>1499</v>
      </c>
      <c r="B1560" s="1832">
        <f>'Expenditures 15-22'!K312</f>
        <v>462825</v>
      </c>
      <c r="C1560" s="2" t="s">
        <v>569</v>
      </c>
      <c r="D1560" s="2" t="str">
        <f t="shared" si="23"/>
        <v>Error?</v>
      </c>
    </row>
    <row r="1561" spans="1:4" x14ac:dyDescent="0.2">
      <c r="A1561" s="5">
        <v>1500</v>
      </c>
      <c r="B1561" s="1832">
        <f>'Expenditures 15-22'!K313</f>
        <v>-462382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1145978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407037</v>
      </c>
      <c r="C1630" s="2" t="s">
        <v>569</v>
      </c>
      <c r="D1630" s="2" t="str">
        <f t="shared" si="24"/>
        <v>Error?</v>
      </c>
    </row>
    <row r="1631" spans="1:4" x14ac:dyDescent="0.2">
      <c r="A1631" s="5">
        <v>1570</v>
      </c>
      <c r="B1631" s="1832">
        <f>'Acct Summary 7-8'!D79</f>
        <v>536833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613621</v>
      </c>
      <c r="C1644" s="2" t="s">
        <v>569</v>
      </c>
      <c r="D1644" s="2" t="str">
        <f t="shared" si="24"/>
        <v>Error?</v>
      </c>
    </row>
    <row r="1645" spans="1:4" x14ac:dyDescent="0.2">
      <c r="A1645" s="5">
        <v>1584</v>
      </c>
      <c r="B1645" s="1832">
        <f>'Acct Summary 7-8'!E79</f>
        <v>75695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72476</v>
      </c>
      <c r="C1658" s="2" t="s">
        <v>569</v>
      </c>
      <c r="D1658" s="2" t="str">
        <f t="shared" si="24"/>
        <v>Error?</v>
      </c>
    </row>
    <row r="1659" spans="1:4" x14ac:dyDescent="0.2">
      <c r="A1659" s="5">
        <v>1598</v>
      </c>
      <c r="B1659" s="1832">
        <f>'Acct Summary 7-8'!F79</f>
        <v>108547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111444</v>
      </c>
      <c r="C1672" s="2" t="s">
        <v>569</v>
      </c>
      <c r="D1672" s="2" t="str">
        <f t="shared" si="25"/>
        <v>Error?</v>
      </c>
    </row>
    <row r="1673" spans="1:4" x14ac:dyDescent="0.2">
      <c r="A1673" s="5">
        <v>1612</v>
      </c>
      <c r="B1673" s="1832">
        <f>'Acct Summary 7-8'!G79</f>
        <v>109473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129235</v>
      </c>
      <c r="C1686" s="2" t="s">
        <v>569</v>
      </c>
      <c r="D1686" s="2" t="str">
        <f t="shared" si="25"/>
        <v>Error?</v>
      </c>
    </row>
    <row r="1687" spans="1:4" x14ac:dyDescent="0.2">
      <c r="A1687" s="5">
        <v>1626</v>
      </c>
      <c r="B1687" s="1832">
        <f>'Acct Summary 7-8'!H79</f>
        <v>452941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-9441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3806486</v>
      </c>
      <c r="C1744" s="2" t="s">
        <v>569</v>
      </c>
      <c r="D1744" s="2" t="str">
        <f t="shared" si="26"/>
        <v>Error?</v>
      </c>
    </row>
    <row r="1745" spans="1:5" x14ac:dyDescent="0.2">
      <c r="A1745" s="5">
        <v>1684</v>
      </c>
      <c r="B1745" s="1832">
        <f>'Tax Sched 23'!B5</f>
        <v>624262</v>
      </c>
      <c r="C1745" s="2" t="s">
        <v>569</v>
      </c>
      <c r="D1745" s="2" t="str">
        <f t="shared" si="26"/>
        <v>Error?</v>
      </c>
    </row>
    <row r="1746" spans="1:5" x14ac:dyDescent="0.2">
      <c r="A1746" s="5">
        <v>1685</v>
      </c>
      <c r="B1746" s="1832">
        <f>'Tax Sched 23'!B6</f>
        <v>1152152</v>
      </c>
      <c r="C1746" s="2" t="s">
        <v>569</v>
      </c>
      <c r="D1746" s="2" t="str">
        <f t="shared" si="26"/>
        <v>Error?</v>
      </c>
    </row>
    <row r="1747" spans="1:5" x14ac:dyDescent="0.2">
      <c r="A1747" s="5">
        <v>1686</v>
      </c>
      <c r="B1747" s="1832">
        <f>'Tax Sched 23'!B7</f>
        <v>236154</v>
      </c>
      <c r="C1747" s="2" t="s">
        <v>569</v>
      </c>
      <c r="D1747" s="2" t="str">
        <f t="shared" si="26"/>
        <v>Error?</v>
      </c>
    </row>
    <row r="1748" spans="1:5" x14ac:dyDescent="0.2">
      <c r="A1748" s="5">
        <v>1687</v>
      </c>
      <c r="B1748" s="1832">
        <f>'Tax Sched 23'!B8</f>
        <v>12124</v>
      </c>
      <c r="C1748" s="2" t="s">
        <v>569</v>
      </c>
      <c r="D1748" s="2" t="str">
        <f t="shared" si="26"/>
        <v>Error?</v>
      </c>
    </row>
    <row r="1749" spans="1:5" x14ac:dyDescent="0.2">
      <c r="A1749" s="5">
        <v>1688</v>
      </c>
      <c r="B1749" s="1832">
        <f>'Tax Sched 23'!B10</f>
        <v>27226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47609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6203302</v>
      </c>
      <c r="C1759" s="2" t="s">
        <v>569</v>
      </c>
      <c r="D1759" s="2" t="str">
        <f t="shared" si="26"/>
        <v>Error?</v>
      </c>
    </row>
    <row r="1760" spans="1:5" x14ac:dyDescent="0.2">
      <c r="A1760" s="5">
        <v>1699</v>
      </c>
      <c r="B1760" s="1832">
        <f>'Tax Sched 23'!D4</f>
        <v>3806486</v>
      </c>
      <c r="C1760" s="2" t="s">
        <v>569</v>
      </c>
      <c r="D1760" s="2" t="str">
        <f t="shared" si="26"/>
        <v>Error?</v>
      </c>
    </row>
    <row r="1761" spans="1:7" x14ac:dyDescent="0.2">
      <c r="A1761" s="5">
        <v>1700</v>
      </c>
      <c r="B1761" s="1832">
        <f>'Tax Sched 23'!D5</f>
        <v>624262</v>
      </c>
      <c r="C1761" s="2" t="s">
        <v>569</v>
      </c>
      <c r="D1761" s="2" t="str">
        <f t="shared" si="26"/>
        <v>Error?</v>
      </c>
    </row>
    <row r="1762" spans="1:7" s="8" customFormat="1" x14ac:dyDescent="0.2">
      <c r="A1762" s="5">
        <v>1701</v>
      </c>
      <c r="B1762" s="1832">
        <f>'Tax Sched 23'!D6</f>
        <v>1152152</v>
      </c>
      <c r="C1762" s="2" t="s">
        <v>569</v>
      </c>
      <c r="D1762" s="2" t="str">
        <f t="shared" si="26"/>
        <v>Error?</v>
      </c>
      <c r="E1762" s="9"/>
      <c r="G1762"/>
    </row>
    <row r="1763" spans="1:7" x14ac:dyDescent="0.2">
      <c r="A1763" s="5">
        <v>1702</v>
      </c>
      <c r="B1763" s="1832">
        <f>'Tax Sched 23'!D7</f>
        <v>236154</v>
      </c>
      <c r="C1763" s="2" t="s">
        <v>569</v>
      </c>
      <c r="D1763" s="2" t="str">
        <f t="shared" si="26"/>
        <v>Error?</v>
      </c>
    </row>
    <row r="1764" spans="1:7" x14ac:dyDescent="0.2">
      <c r="A1764" s="5">
        <v>1703</v>
      </c>
      <c r="B1764" s="1832">
        <f>'Tax Sched 23'!D8</f>
        <v>12124</v>
      </c>
      <c r="C1764" s="2" t="s">
        <v>569</v>
      </c>
      <c r="D1764" s="2" t="str">
        <f t="shared" si="26"/>
        <v>Error?</v>
      </c>
    </row>
    <row r="1765" spans="1:7" x14ac:dyDescent="0.2">
      <c r="A1765" s="5">
        <v>1704</v>
      </c>
      <c r="B1765" s="1832">
        <f>'Tax Sched 23'!D10</f>
        <v>27226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47609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6203302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3979458</v>
      </c>
      <c r="C1792" s="2" t="s">
        <v>569</v>
      </c>
      <c r="D1792" s="2" t="str">
        <f t="shared" si="27"/>
        <v>Error?</v>
      </c>
    </row>
    <row r="1793" spans="1:4" x14ac:dyDescent="0.2">
      <c r="A1793" s="5">
        <v>1732</v>
      </c>
      <c r="B1793" s="1832">
        <f>'Tax Sched 23'!F5</f>
        <v>652659</v>
      </c>
      <c r="C1793" s="2" t="s">
        <v>569</v>
      </c>
      <c r="D1793" s="2" t="str">
        <f t="shared" si="27"/>
        <v>Error?</v>
      </c>
    </row>
    <row r="1794" spans="1:4" x14ac:dyDescent="0.2">
      <c r="A1794" s="5">
        <v>1733</v>
      </c>
      <c r="B1794" s="1832">
        <f>'Tax Sched 23'!F6</f>
        <v>1204337</v>
      </c>
      <c r="C1794" s="2" t="s">
        <v>569</v>
      </c>
      <c r="D1794" s="2" t="str">
        <f t="shared" si="27"/>
        <v>Error?</v>
      </c>
    </row>
    <row r="1795" spans="1:4" x14ac:dyDescent="0.2">
      <c r="A1795" s="5">
        <v>1734</v>
      </c>
      <c r="B1795" s="1832">
        <f>'Tax Sched 23'!F7</f>
        <v>242302</v>
      </c>
      <c r="C1795" s="2" t="s">
        <v>569</v>
      </c>
      <c r="D1795" s="2" t="str">
        <f t="shared" si="27"/>
        <v>Error?</v>
      </c>
    </row>
    <row r="1796" spans="1:4" x14ac:dyDescent="0.2">
      <c r="A1796" s="5">
        <v>1735</v>
      </c>
      <c r="B1796" s="1832">
        <f>'Tax Sched 23'!F8</f>
        <v>12887</v>
      </c>
      <c r="C1796" s="2" t="s">
        <v>569</v>
      </c>
      <c r="D1796" s="2" t="str">
        <f t="shared" si="27"/>
        <v>Error?</v>
      </c>
    </row>
    <row r="1797" spans="1:4" x14ac:dyDescent="0.2">
      <c r="A1797" s="5">
        <v>1736</v>
      </c>
      <c r="B1797" s="1832">
        <f>'Tax Sched 23'!F10</f>
        <v>28905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52117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6488300</v>
      </c>
      <c r="C1807" s="2" t="s">
        <v>569</v>
      </c>
      <c r="D1807" s="2" t="str">
        <f t="shared" si="27"/>
        <v>Error?</v>
      </c>
    </row>
    <row r="1808" spans="1:4" x14ac:dyDescent="0.2">
      <c r="A1808" s="5">
        <v>1747</v>
      </c>
      <c r="B1808" s="1832">
        <f>'Tax Sched 23'!E4</f>
        <v>3979458</v>
      </c>
      <c r="D1808" s="2" t="str">
        <f t="shared" si="27"/>
        <v>Error?</v>
      </c>
    </row>
    <row r="1809" spans="1:4" x14ac:dyDescent="0.2">
      <c r="A1809" s="5">
        <v>1748</v>
      </c>
      <c r="B1809" s="1832">
        <f>'Tax Sched 23'!E5</f>
        <v>652659</v>
      </c>
      <c r="D1809" s="2" t="str">
        <f t="shared" si="27"/>
        <v>Error?</v>
      </c>
    </row>
    <row r="1810" spans="1:4" x14ac:dyDescent="0.2">
      <c r="A1810" s="5">
        <v>1749</v>
      </c>
      <c r="B1810" s="1832">
        <f>'Tax Sched 23'!E6</f>
        <v>1204337</v>
      </c>
      <c r="D1810" s="2" t="str">
        <f t="shared" si="27"/>
        <v>Error?</v>
      </c>
    </row>
    <row r="1811" spans="1:4" x14ac:dyDescent="0.2">
      <c r="A1811" s="5">
        <v>1750</v>
      </c>
      <c r="B1811" s="1832">
        <f>'Tax Sched 23'!E7</f>
        <v>242302</v>
      </c>
      <c r="D1811" s="2" t="str">
        <f t="shared" si="27"/>
        <v>Error?</v>
      </c>
    </row>
    <row r="1812" spans="1:4" x14ac:dyDescent="0.2">
      <c r="A1812" s="5">
        <v>1751</v>
      </c>
      <c r="B1812" s="1832">
        <f>'Tax Sched 23'!E8</f>
        <v>12887</v>
      </c>
      <c r="D1812" s="2" t="str">
        <f t="shared" si="27"/>
        <v>Error?</v>
      </c>
    </row>
    <row r="1813" spans="1:4" x14ac:dyDescent="0.2">
      <c r="A1813" s="5">
        <v>1752</v>
      </c>
      <c r="B1813" s="1832">
        <f>'Tax Sched 23'!E10</f>
        <v>28905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52117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6488300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6815000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47609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583998</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631607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631607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51845</v>
      </c>
      <c r="D2008" s="2" t="str">
        <f t="shared" si="30"/>
        <v>Error?</v>
      </c>
    </row>
    <row r="2009" spans="1:4" x14ac:dyDescent="0.2">
      <c r="A2009" s="5">
        <v>1948</v>
      </c>
      <c r="B2009" s="1832">
        <f>'Cap Outlay Deprec 26'!C8</f>
        <v>17529342</v>
      </c>
      <c r="D2009" s="2" t="str">
        <f t="shared" si="30"/>
        <v>Error?</v>
      </c>
    </row>
    <row r="2010" spans="1:4" x14ac:dyDescent="0.2">
      <c r="A2010" s="5">
        <v>1949</v>
      </c>
      <c r="B2010" s="1832">
        <f>'Cap Outlay Deprec 26'!C10</f>
        <v>2921350</v>
      </c>
      <c r="D2010" s="2" t="str">
        <f t="shared" si="30"/>
        <v>Error?</v>
      </c>
    </row>
    <row r="2011" spans="1:4" x14ac:dyDescent="0.2">
      <c r="A2011" s="5">
        <v>1950</v>
      </c>
      <c r="B2011" s="1832">
        <f>'Cap Outlay Deprec 26'!C12</f>
        <v>871732</v>
      </c>
      <c r="D2011" s="2" t="str">
        <f t="shared" si="30"/>
        <v>Error?</v>
      </c>
    </row>
    <row r="2012" spans="1:4" x14ac:dyDescent="0.2">
      <c r="A2012" s="5">
        <v>1951</v>
      </c>
      <c r="B2012" s="1832">
        <f>'Cap Outlay Deprec 26'!C13</f>
        <v>48241</v>
      </c>
      <c r="D2012" s="2" t="str">
        <f t="shared" si="30"/>
        <v>Error?</v>
      </c>
    </row>
    <row r="2013" spans="1:4" x14ac:dyDescent="0.2">
      <c r="A2013" s="5">
        <v>1952</v>
      </c>
      <c r="B2013" s="1832">
        <f>'Cap Outlay Deprec 26'!C16</f>
        <v>21586707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676057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51769</v>
      </c>
      <c r="D2017" s="2" t="str">
        <f t="shared" si="30"/>
        <v>Error?</v>
      </c>
    </row>
    <row r="2018" spans="1:4" x14ac:dyDescent="0.2">
      <c r="A2018" s="5">
        <v>1957</v>
      </c>
      <c r="B2018" s="1832">
        <f>'Cap Outlay Deprec 26'!D13</f>
        <v>24737</v>
      </c>
      <c r="D2018" s="2" t="str">
        <f t="shared" si="30"/>
        <v>Error?</v>
      </c>
    </row>
    <row r="2019" spans="1:4" x14ac:dyDescent="0.2">
      <c r="A2019" s="5">
        <v>1958</v>
      </c>
      <c r="B2019" s="1832">
        <f>'Cap Outlay Deprec 26'!D16</f>
        <v>756137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29943</v>
      </c>
      <c r="D2023" s="2" t="str">
        <f t="shared" si="30"/>
        <v>Error?</v>
      </c>
    </row>
    <row r="2024" spans="1:4" x14ac:dyDescent="0.2">
      <c r="A2024" s="5">
        <v>1963</v>
      </c>
      <c r="B2024" s="1832">
        <f>'Cap Outlay Deprec 26'!E13</f>
        <v>1179</v>
      </c>
      <c r="D2024" s="2" t="str">
        <f t="shared" si="30"/>
        <v>Error?</v>
      </c>
    </row>
    <row r="2025" spans="1:4" x14ac:dyDescent="0.2">
      <c r="A2025" s="5">
        <v>1964</v>
      </c>
      <c r="B2025" s="1832">
        <f>'Cap Outlay Deprec 26'!E16</f>
        <v>195319</v>
      </c>
      <c r="C2025" s="2" t="s">
        <v>569</v>
      </c>
      <c r="D2025" s="2" t="str">
        <f t="shared" si="30"/>
        <v>Error?</v>
      </c>
    </row>
    <row r="2026" spans="1:4" x14ac:dyDescent="0.2">
      <c r="A2026" s="5">
        <v>1965</v>
      </c>
      <c r="B2026" s="1832">
        <f>'Cap Outlay Deprec 26'!F5</f>
        <v>51845</v>
      </c>
      <c r="C2026" s="2" t="s">
        <v>569</v>
      </c>
      <c r="D2026" s="2" t="str">
        <f t="shared" si="30"/>
        <v>Error?</v>
      </c>
    </row>
    <row r="2027" spans="1:4" x14ac:dyDescent="0.2">
      <c r="A2027" s="5">
        <v>1966</v>
      </c>
      <c r="B2027" s="1832">
        <f>'Cap Outlay Deprec 26'!F8</f>
        <v>18205399</v>
      </c>
      <c r="C2027" s="2" t="s">
        <v>569</v>
      </c>
      <c r="D2027" s="2" t="str">
        <f t="shared" si="30"/>
        <v>Error?</v>
      </c>
    </row>
    <row r="2028" spans="1:4" x14ac:dyDescent="0.2">
      <c r="A2028" s="5">
        <v>1967</v>
      </c>
      <c r="B2028" s="1832">
        <f>'Cap Outlay Deprec 26'!F10</f>
        <v>2921350</v>
      </c>
      <c r="C2028" s="2" t="s">
        <v>569</v>
      </c>
      <c r="D2028" s="2" t="str">
        <f t="shared" si="30"/>
        <v>Error?</v>
      </c>
    </row>
    <row r="2029" spans="1:4" x14ac:dyDescent="0.2">
      <c r="A2029" s="5">
        <v>1968</v>
      </c>
      <c r="B2029" s="1832">
        <f>'Cap Outlay Deprec 26'!F12</f>
        <v>893558</v>
      </c>
      <c r="C2029" s="2" t="s">
        <v>569</v>
      </c>
      <c r="D2029" s="2" t="str">
        <f t="shared" si="30"/>
        <v>Error?</v>
      </c>
    </row>
    <row r="2030" spans="1:4" x14ac:dyDescent="0.2">
      <c r="A2030" s="5">
        <v>1969</v>
      </c>
      <c r="B2030" s="1832">
        <f>'Cap Outlay Deprec 26'!F13</f>
        <v>71799</v>
      </c>
      <c r="C2030" s="2" t="s">
        <v>569</v>
      </c>
      <c r="D2030" s="2" t="str">
        <f t="shared" si="30"/>
        <v>Error?</v>
      </c>
    </row>
    <row r="2031" spans="1:4" x14ac:dyDescent="0.2">
      <c r="A2031" s="5">
        <v>1970</v>
      </c>
      <c r="B2031" s="1832">
        <f>'Cap Outlay Deprec 26'!F16</f>
        <v>22147525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6587004</v>
      </c>
      <c r="D2033" s="2" t="str">
        <f t="shared" si="30"/>
        <v>Error?</v>
      </c>
    </row>
    <row r="2034" spans="1:4" x14ac:dyDescent="0.2">
      <c r="A2034" s="5">
        <v>1973</v>
      </c>
      <c r="B2034" s="1832">
        <f>'Cap Outlay Deprec 26'!H10</f>
        <v>1654249</v>
      </c>
      <c r="D2034" s="2" t="str">
        <f t="shared" si="30"/>
        <v>Error?</v>
      </c>
    </row>
    <row r="2035" spans="1:4" x14ac:dyDescent="0.2">
      <c r="A2035" s="5">
        <v>1974</v>
      </c>
      <c r="B2035" s="1832">
        <f>'Cap Outlay Deprec 26'!H12</f>
        <v>658316</v>
      </c>
      <c r="D2035" s="2" t="str">
        <f t="shared" si="30"/>
        <v>Error?</v>
      </c>
    </row>
    <row r="2036" spans="1:4" x14ac:dyDescent="0.2">
      <c r="A2036" s="5">
        <v>1975</v>
      </c>
      <c r="B2036" s="1832">
        <f>'Cap Outlay Deprec 26'!H13</f>
        <v>47737</v>
      </c>
      <c r="D2036" s="2" t="str">
        <f t="shared" si="30"/>
        <v>Error?</v>
      </c>
    </row>
    <row r="2037" spans="1:4" x14ac:dyDescent="0.2">
      <c r="A2037" s="5">
        <v>1976</v>
      </c>
      <c r="B2037" s="1832">
        <f>'Cap Outlay Deprec 26'!H16</f>
        <v>8947306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329887</v>
      </c>
      <c r="D2039" s="2" t="str">
        <f t="shared" si="30"/>
        <v>Error?</v>
      </c>
    </row>
    <row r="2040" spans="1:4" x14ac:dyDescent="0.2">
      <c r="A2040" s="5">
        <v>1979</v>
      </c>
      <c r="B2040" s="1832">
        <f>'Cap Outlay Deprec 26'!I10</f>
        <v>145896</v>
      </c>
      <c r="D2040" s="2" t="str">
        <f t="shared" si="30"/>
        <v>Error?</v>
      </c>
    </row>
    <row r="2041" spans="1:4" x14ac:dyDescent="0.2">
      <c r="A2041" s="5">
        <v>1980</v>
      </c>
      <c r="B2041" s="1832">
        <f>'Cap Outlay Deprec 26'!I12</f>
        <v>46857</v>
      </c>
      <c r="D2041" s="2" t="str">
        <f t="shared" si="30"/>
        <v>Error?</v>
      </c>
    </row>
    <row r="2042" spans="1:4" x14ac:dyDescent="0.2">
      <c r="A2042" s="5">
        <v>1981</v>
      </c>
      <c r="B2042" s="1832">
        <f>'Cap Outlay Deprec 26'!I13</f>
        <v>5244</v>
      </c>
      <c r="D2042" s="2" t="str">
        <f t="shared" si="30"/>
        <v>Error?</v>
      </c>
    </row>
    <row r="2043" spans="1:4" x14ac:dyDescent="0.2">
      <c r="A2043" s="5">
        <v>1982</v>
      </c>
      <c r="B2043" s="1832">
        <f>'Cap Outlay Deprec 26'!I16</f>
        <v>529075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29943</v>
      </c>
      <c r="D2047" s="2" t="str">
        <f t="shared" ref="D2047:D2110" si="31">IF(ISBLANK(B2047),"OK",IF(A2047-B2047=0,"OK","Error?"))</f>
        <v>Error?</v>
      </c>
    </row>
    <row r="2048" spans="1:4" x14ac:dyDescent="0.2">
      <c r="A2048" s="5">
        <v>1987</v>
      </c>
      <c r="B2048" s="1832">
        <f>'Cap Outlay Deprec 26'!J13</f>
        <v>1179</v>
      </c>
      <c r="D2048" s="2" t="str">
        <f t="shared" si="31"/>
        <v>Error?</v>
      </c>
    </row>
    <row r="2049" spans="1:4" x14ac:dyDescent="0.2">
      <c r="A2049" s="5">
        <v>1988</v>
      </c>
      <c r="B2049" s="1832">
        <f>'Cap Outlay Deprec 26'!J16</f>
        <v>31122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6916891</v>
      </c>
      <c r="C2051" s="2" t="s">
        <v>569</v>
      </c>
      <c r="D2051" s="2" t="str">
        <f t="shared" si="31"/>
        <v>Error?</v>
      </c>
    </row>
    <row r="2052" spans="1:4" x14ac:dyDescent="0.2">
      <c r="A2052" s="5">
        <v>1991</v>
      </c>
      <c r="B2052" s="1832">
        <f>'Cap Outlay Deprec 26'!K10</f>
        <v>1800145</v>
      </c>
      <c r="C2052" s="2" t="s">
        <v>569</v>
      </c>
      <c r="D2052" s="2" t="str">
        <f t="shared" si="31"/>
        <v>Error?</v>
      </c>
    </row>
    <row r="2053" spans="1:4" x14ac:dyDescent="0.2">
      <c r="A2053" s="5">
        <v>1992</v>
      </c>
      <c r="B2053" s="1832">
        <f>'Cap Outlay Deprec 26'!K12</f>
        <v>675230</v>
      </c>
      <c r="C2053" s="2" t="s">
        <v>569</v>
      </c>
      <c r="D2053" s="2" t="str">
        <f t="shared" si="31"/>
        <v>Error?</v>
      </c>
    </row>
    <row r="2054" spans="1:4" x14ac:dyDescent="0.2">
      <c r="A2054" s="5">
        <v>1993</v>
      </c>
      <c r="B2054" s="1832">
        <f>'Cap Outlay Deprec 26'!K13</f>
        <v>51802</v>
      </c>
      <c r="C2054" s="2" t="s">
        <v>569</v>
      </c>
      <c r="D2054" s="2" t="str">
        <f t="shared" si="31"/>
        <v>Error?</v>
      </c>
    </row>
    <row r="2055" spans="1:4" x14ac:dyDescent="0.2">
      <c r="A2055" s="5">
        <v>1994</v>
      </c>
      <c r="B2055" s="1832">
        <f>'Cap Outlay Deprec 26'!K16</f>
        <v>9445259</v>
      </c>
      <c r="C2055" s="2" t="s">
        <v>569</v>
      </c>
      <c r="D2055" s="2" t="str">
        <f t="shared" si="31"/>
        <v>Error?</v>
      </c>
    </row>
    <row r="2056" spans="1:4" x14ac:dyDescent="0.2">
      <c r="A2056" s="5">
        <v>1995</v>
      </c>
      <c r="B2056" s="1832">
        <f>'Cap Outlay Deprec 26'!L5</f>
        <v>51845</v>
      </c>
      <c r="C2056" s="2" t="s">
        <v>569</v>
      </c>
      <c r="D2056" s="2" t="str">
        <f t="shared" si="31"/>
        <v>Error?</v>
      </c>
    </row>
    <row r="2057" spans="1:4" x14ac:dyDescent="0.2">
      <c r="A2057" s="5">
        <v>1996</v>
      </c>
      <c r="B2057" s="1832">
        <f>'Cap Outlay Deprec 26'!L8</f>
        <v>11288508</v>
      </c>
      <c r="C2057" s="2" t="s">
        <v>569</v>
      </c>
      <c r="D2057" s="2" t="str">
        <f t="shared" si="31"/>
        <v>Error?</v>
      </c>
    </row>
    <row r="2058" spans="1:4" x14ac:dyDescent="0.2">
      <c r="A2058" s="5">
        <v>1997</v>
      </c>
      <c r="B2058" s="1832">
        <f>'Cap Outlay Deprec 26'!L10</f>
        <v>1121205</v>
      </c>
      <c r="C2058" s="2" t="s">
        <v>569</v>
      </c>
      <c r="D2058" s="2" t="str">
        <f t="shared" si="31"/>
        <v>Error?</v>
      </c>
    </row>
    <row r="2059" spans="1:4" x14ac:dyDescent="0.2">
      <c r="A2059" s="5">
        <v>1998</v>
      </c>
      <c r="B2059" s="1832">
        <f>'Cap Outlay Deprec 26'!L12</f>
        <v>218328</v>
      </c>
      <c r="C2059" s="2" t="s">
        <v>569</v>
      </c>
      <c r="D2059" s="2" t="str">
        <f t="shared" si="31"/>
        <v>Error?</v>
      </c>
    </row>
    <row r="2060" spans="1:4" x14ac:dyDescent="0.2">
      <c r="A2060" s="5">
        <v>1999</v>
      </c>
      <c r="B2060" s="1832">
        <f>'Cap Outlay Deprec 26'!L13</f>
        <v>19997</v>
      </c>
      <c r="C2060" s="2" t="s">
        <v>569</v>
      </c>
      <c r="D2060" s="2" t="str">
        <f t="shared" si="31"/>
        <v>Error?</v>
      </c>
    </row>
    <row r="2061" spans="1:4" x14ac:dyDescent="0.2">
      <c r="A2061" s="5">
        <v>2000</v>
      </c>
      <c r="B2061" s="1832">
        <f>'Cap Outlay Deprec 26'!L16</f>
        <v>12702266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54931</v>
      </c>
      <c r="C2088" s="2" t="s">
        <v>569</v>
      </c>
      <c r="D2088" s="2" t="str">
        <f t="shared" si="31"/>
        <v>Error?</v>
      </c>
    </row>
    <row r="2089" spans="1:4" x14ac:dyDescent="0.2">
      <c r="A2089" s="5">
        <v>2028</v>
      </c>
      <c r="B2089" s="1832">
        <f>'Expenditures 15-22'!K92</f>
        <v>140781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6623</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4792131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2577899</v>
      </c>
      <c r="C2553" s="2" t="s">
        <v>569</v>
      </c>
      <c r="D2553" s="2" t="str">
        <f t="shared" si="38"/>
        <v>Error?</v>
      </c>
    </row>
    <row r="2554" spans="1:4" x14ac:dyDescent="0.2">
      <c r="A2554" s="5">
        <v>2493</v>
      </c>
      <c r="B2554" s="1832">
        <f>'Acct Summary 7-8'!C7</f>
        <v>291424</v>
      </c>
      <c r="C2554" s="2" t="s">
        <v>569</v>
      </c>
      <c r="D2554" s="2" t="str">
        <f t="shared" si="38"/>
        <v>Error?</v>
      </c>
    </row>
    <row r="2555" spans="1:4" x14ac:dyDescent="0.2">
      <c r="A2555" s="5">
        <v>2494</v>
      </c>
      <c r="B2555" s="1832">
        <f>'Acct Summary 7-8'!C8</f>
        <v>7661454</v>
      </c>
      <c r="C2555" s="2" t="s">
        <v>569</v>
      </c>
      <c r="D2555" s="2" t="str">
        <f t="shared" si="38"/>
        <v>Error?</v>
      </c>
    </row>
    <row r="2556" spans="1:4" x14ac:dyDescent="0.2">
      <c r="A2556" s="5">
        <v>2495</v>
      </c>
      <c r="B2556" s="1832">
        <f>'Acct Summary 7-8'!C12</f>
        <v>6523419</v>
      </c>
      <c r="C2556" s="2" t="s">
        <v>569</v>
      </c>
      <c r="D2556" s="2" t="str">
        <f t="shared" si="38"/>
        <v>Error?</v>
      </c>
    </row>
    <row r="2557" spans="1:4" x14ac:dyDescent="0.2">
      <c r="A2557" s="5">
        <v>2496</v>
      </c>
      <c r="B2557" s="1832">
        <f>'Acct Summary 7-8'!C13</f>
        <v>1657887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195712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8377018</v>
      </c>
      <c r="C2561" s="2" t="s">
        <v>569</v>
      </c>
      <c r="D2561" s="2" t="str">
        <f t="shared" si="39"/>
        <v>Error?</v>
      </c>
    </row>
    <row r="2562" spans="1:4" x14ac:dyDescent="0.2">
      <c r="A2562" s="5">
        <v>2501</v>
      </c>
      <c r="B2562" s="1832">
        <f>'Acct Summary 7-8'!C20</f>
        <v>-715564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629149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679149</v>
      </c>
      <c r="C2568" s="2" t="s">
        <v>569</v>
      </c>
      <c r="D2568" s="2" t="str">
        <f t="shared" si="39"/>
        <v>Error?</v>
      </c>
    </row>
    <row r="2569" spans="1:4" x14ac:dyDescent="0.2">
      <c r="A2569" s="5">
        <v>2508</v>
      </c>
      <c r="B2569" s="1832">
        <f>'Acct Summary 7-8'!D13</f>
        <v>622361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622361</v>
      </c>
      <c r="C2573" s="2" t="s">
        <v>569</v>
      </c>
      <c r="D2573" s="2" t="str">
        <f t="shared" si="39"/>
        <v>Error?</v>
      </c>
    </row>
    <row r="2574" spans="1:4" x14ac:dyDescent="0.2">
      <c r="A2574" s="5">
        <v>2513</v>
      </c>
      <c r="B2574" s="1832">
        <f>'Acct Summary 7-8'!D20</f>
        <v>56788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236622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275048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511670</v>
      </c>
      <c r="C2595" s="2" t="s">
        <v>569</v>
      </c>
      <c r="D2595" s="2" t="str">
        <f t="shared" si="39"/>
        <v>Error?</v>
      </c>
    </row>
    <row r="2596" spans="1:4" x14ac:dyDescent="0.2">
      <c r="A2596" s="5">
        <v>2535</v>
      </c>
      <c r="B2596" s="1832">
        <f>'Acct Summary 7-8'!F13</f>
        <v>518773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518773</v>
      </c>
      <c r="C2600" s="2" t="s">
        <v>569</v>
      </c>
      <c r="D2600" s="2" t="str">
        <f t="shared" si="39"/>
        <v>Error?</v>
      </c>
    </row>
    <row r="2601" spans="1:4" x14ac:dyDescent="0.2">
      <c r="A2601" s="5">
        <v>2540</v>
      </c>
      <c r="B2601" s="1832">
        <f>'Acct Summary 7-8'!F20</f>
        <v>-7103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350435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350435</v>
      </c>
      <c r="C2606" s="2" t="s">
        <v>569</v>
      </c>
      <c r="D2606" s="2" t="str">
        <f t="shared" si="39"/>
        <v>Error?</v>
      </c>
    </row>
    <row r="2607" spans="1:4" x14ac:dyDescent="0.2">
      <c r="A2607" s="5">
        <v>2546</v>
      </c>
      <c r="B2607" s="1832">
        <f>'Acct Summary 7-8'!G12</f>
        <v>177843</v>
      </c>
      <c r="C2607" s="2" t="s">
        <v>569</v>
      </c>
      <c r="D2607" s="2" t="str">
        <f t="shared" si="39"/>
        <v>Error?</v>
      </c>
    </row>
    <row r="2608" spans="1:4" x14ac:dyDescent="0.2">
      <c r="A2608" s="5">
        <v>2547</v>
      </c>
      <c r="B2608" s="1832">
        <f>'Acct Summary 7-8'!G13</f>
        <v>152830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330673</v>
      </c>
      <c r="C2612" s="2" t="s">
        <v>569</v>
      </c>
      <c r="D2612" s="2" t="str">
        <f t="shared" si="39"/>
        <v>Error?</v>
      </c>
    </row>
    <row r="2613" spans="1:4" x14ac:dyDescent="0.2">
      <c r="A2613" s="5">
        <v>2552</v>
      </c>
      <c r="B2613" s="1832">
        <f>'Acct Summary 7-8'!G20</f>
        <v>19762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1153944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1153944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1157163</v>
      </c>
      <c r="C2634" s="2" t="s">
        <v>569</v>
      </c>
      <c r="D2634" s="2" t="str">
        <f t="shared" si="40"/>
        <v>Error?</v>
      </c>
    </row>
    <row r="2635" spans="1:4" x14ac:dyDescent="0.2">
      <c r="A2635" s="5">
        <v>2574</v>
      </c>
      <c r="B2635" s="1832">
        <f>'Acct Summary 7-8'!E17</f>
        <v>1157163</v>
      </c>
      <c r="C2635" s="2" t="s">
        <v>569</v>
      </c>
      <c r="D2635" s="2" t="str">
        <f t="shared" si="40"/>
        <v>Error?</v>
      </c>
    </row>
    <row r="2636" spans="1:4" x14ac:dyDescent="0.2">
      <c r="A2636" s="5">
        <v>2575</v>
      </c>
      <c r="B2636" s="1832">
        <f>'Acct Summary 7-8'!E20</f>
        <v>-3219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443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443</v>
      </c>
      <c r="C2658" s="2" t="s">
        <v>569</v>
      </c>
      <c r="D2658" s="2" t="str">
        <f t="shared" si="40"/>
        <v>Error?</v>
      </c>
    </row>
    <row r="2659" spans="1:4" x14ac:dyDescent="0.2">
      <c r="A2659" s="5">
        <v>2598</v>
      </c>
      <c r="B2659" s="1832">
        <f>'Acct Summary 7-8'!H13</f>
        <v>462825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462825</v>
      </c>
      <c r="C2661" s="2" t="s">
        <v>569</v>
      </c>
      <c r="D2661" s="2" t="str">
        <f t="shared" si="40"/>
        <v>Error?</v>
      </c>
    </row>
    <row r="2662" spans="1:4" x14ac:dyDescent="0.2">
      <c r="A2662" s="5">
        <v>2601</v>
      </c>
      <c r="B2662" s="1832">
        <f>'Acct Summary 7-8'!H20</f>
        <v>-462382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54931</v>
      </c>
      <c r="C2789" s="2" t="s">
        <v>569</v>
      </c>
      <c r="D2789" s="2" t="str">
        <f t="shared" si="42"/>
        <v>Error?</v>
      </c>
    </row>
    <row r="2790" spans="1:4" x14ac:dyDescent="0.2">
      <c r="A2790" s="5">
        <v>2729</v>
      </c>
      <c r="B2790" s="1832">
        <f>'Expenditures 15-22'!E102</f>
        <v>54931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52751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779936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339687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779936</v>
      </c>
      <c r="D2912" s="2" t="str">
        <f t="shared" si="44"/>
        <v>Error?</v>
      </c>
    </row>
    <row r="2913" spans="1:4" x14ac:dyDescent="0.2">
      <c r="A2913" s="5">
        <v>2852</v>
      </c>
      <c r="B2913" s="1832">
        <f>'Assets-Liab 5-6'!I41</f>
        <v>779936</v>
      </c>
      <c r="C2913" s="2" t="s">
        <v>569</v>
      </c>
      <c r="D2913" s="2" t="str">
        <f t="shared" si="44"/>
        <v>Error?</v>
      </c>
    </row>
    <row r="2914" spans="1:4" x14ac:dyDescent="0.2">
      <c r="A2914" s="5">
        <v>2853</v>
      </c>
      <c r="B2914" s="1832">
        <f>'Assets-Liab 5-6'!L33</f>
        <v>339687</v>
      </c>
      <c r="D2914" s="2" t="str">
        <f t="shared" si="44"/>
        <v>Error?</v>
      </c>
    </row>
    <row r="2915" spans="1:4" x14ac:dyDescent="0.2">
      <c r="A2915" s="10">
        <v>2854</v>
      </c>
      <c r="B2915" s="1832"/>
      <c r="D2915" s="2" t="str">
        <f t="shared" si="44"/>
        <v>OK</v>
      </c>
    </row>
    <row r="2916" spans="1:4" x14ac:dyDescent="0.2">
      <c r="A2916" s="5">
        <v>2855</v>
      </c>
      <c r="B2916" s="1832">
        <f>'Assets-Liab 5-6'!L34</f>
        <v>339687</v>
      </c>
      <c r="C2916" s="2" t="s">
        <v>569</v>
      </c>
      <c r="D2916" s="2" t="str">
        <f t="shared" si="44"/>
        <v>Error?</v>
      </c>
    </row>
    <row r="2917" spans="1:4" x14ac:dyDescent="0.2">
      <c r="A2917" s="5">
        <v>2856</v>
      </c>
      <c r="B2917" s="1832">
        <f>'Assets-Liab 5-6'!L41</f>
        <v>339687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54931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54931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121626</v>
      </c>
      <c r="D3055" s="2" t="str">
        <f t="shared" si="46"/>
        <v>Error?</v>
      </c>
    </row>
    <row r="3056" spans="1:4" x14ac:dyDescent="0.2">
      <c r="A3056" s="5">
        <v>2995</v>
      </c>
      <c r="B3056" s="1832">
        <f>'Expenditures 15-22'!D10</f>
        <v>7813</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4565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134004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8073</v>
      </c>
      <c r="D3064" s="2" t="str">
        <f t="shared" si="46"/>
        <v>Error?</v>
      </c>
    </row>
    <row r="3065" spans="1:4" x14ac:dyDescent="0.2">
      <c r="A3065" s="5">
        <v>3004</v>
      </c>
      <c r="B3065" s="1832">
        <f>'Expenditures 15-22'!K219</f>
        <v>8073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33849</v>
      </c>
      <c r="C3225" s="2" t="s">
        <v>569</v>
      </c>
      <c r="D3225" s="2" t="str">
        <f t="shared" si="49"/>
        <v>Error?</v>
      </c>
    </row>
    <row r="3226" spans="1:4" x14ac:dyDescent="0.2">
      <c r="A3226" s="5">
        <v>3165</v>
      </c>
      <c r="B3226" s="1832">
        <f>'Acct Summary 7-8'!I8</f>
        <v>33849</v>
      </c>
      <c r="C3226" s="2" t="s">
        <v>569</v>
      </c>
      <c r="D3226" s="2" t="str">
        <f t="shared" si="49"/>
        <v>Error?</v>
      </c>
    </row>
    <row r="3227" spans="1:4" x14ac:dyDescent="0.2">
      <c r="A3227" s="5">
        <v>3166</v>
      </c>
      <c r="B3227" s="1832">
        <f>'Acct Summary 7-8'!I20</f>
        <v>33849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6623</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30000</v>
      </c>
      <c r="C3231" s="2" t="s">
        <v>569</v>
      </c>
      <c r="D3231" s="2" t="str">
        <f t="shared" si="49"/>
        <v>Error?</v>
      </c>
    </row>
    <row r="3232" spans="1:4" x14ac:dyDescent="0.2">
      <c r="A3232" s="5">
        <v>3171</v>
      </c>
      <c r="B3232" s="1832">
        <f>'Acct Summary 7-8'!C77</f>
        <v>-23377</v>
      </c>
      <c r="C3232" s="2" t="s">
        <v>569</v>
      </c>
      <c r="D3232" s="2" t="str">
        <f t="shared" si="49"/>
        <v>Error?</v>
      </c>
    </row>
    <row r="3233" spans="1:4" x14ac:dyDescent="0.2">
      <c r="A3233" s="5">
        <v>3172</v>
      </c>
      <c r="B3233" s="1832">
        <f>'Acct Summary 7-8'!C78</f>
        <v>-738941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20000</v>
      </c>
      <c r="C3238" s="2" t="s">
        <v>569</v>
      </c>
      <c r="D3238" s="2" t="str">
        <f t="shared" si="49"/>
        <v>Error?</v>
      </c>
    </row>
    <row r="3239" spans="1:4" x14ac:dyDescent="0.2">
      <c r="A3239" s="5">
        <v>3178</v>
      </c>
      <c r="B3239" s="1832">
        <f>'Acct Summary 7-8'!D78</f>
        <v>76788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10000</v>
      </c>
      <c r="C3255" s="2" t="s">
        <v>569</v>
      </c>
      <c r="D3255" s="2" t="str">
        <f t="shared" si="49"/>
        <v>Error?</v>
      </c>
    </row>
    <row r="3256" spans="1:4" x14ac:dyDescent="0.2">
      <c r="A3256" s="5">
        <v>3195</v>
      </c>
      <c r="B3256" s="1832">
        <f>'Acct Summary 7-8'!F78</f>
        <v>2897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19762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-3219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-462382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6623</v>
      </c>
      <c r="C3318" s="2" t="s">
        <v>569</v>
      </c>
      <c r="D3318" s="2" t="str">
        <f t="shared" si="50"/>
        <v>Error?</v>
      </c>
    </row>
    <row r="3319" spans="1:4" x14ac:dyDescent="0.2">
      <c r="A3319" s="5">
        <v>3258</v>
      </c>
      <c r="B3319" s="1832">
        <f>'Acct Summary 7-8'!I77</f>
        <v>-6623</v>
      </c>
      <c r="C3319" s="2" t="s">
        <v>569</v>
      </c>
      <c r="D3319" s="2" t="str">
        <f t="shared" si="50"/>
        <v>Error?</v>
      </c>
    </row>
    <row r="3320" spans="1:4" x14ac:dyDescent="0.2">
      <c r="A3320" s="5">
        <v>3259</v>
      </c>
      <c r="B3320" s="1832">
        <f>'Acct Summary 7-8'!I78</f>
        <v>27226</v>
      </c>
      <c r="C3320" s="2" t="s">
        <v>569</v>
      </c>
      <c r="D3320" s="2" t="str">
        <f t="shared" si="50"/>
        <v>Error?</v>
      </c>
    </row>
    <row r="3321" spans="1:4" x14ac:dyDescent="0.2">
      <c r="A3321" s="5">
        <v>3260</v>
      </c>
      <c r="B3321" s="1832">
        <f>'Acct Summary 7-8'!I79</f>
        <v>752710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779936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1108943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164887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14072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5408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747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1294057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63476</v>
      </c>
      <c r="D3387" s="2" t="str">
        <f t="shared" si="51"/>
        <v>Error?</v>
      </c>
    </row>
    <row r="3388" spans="1:4" x14ac:dyDescent="0.2">
      <c r="A3388" s="5">
        <v>3327</v>
      </c>
      <c r="B3388" s="1832">
        <f>'Expenditures 15-22'!D217</f>
        <v>64439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63476</v>
      </c>
      <c r="C3390" s="2" t="s">
        <v>569</v>
      </c>
      <c r="D3390" s="2" t="str">
        <f t="shared" si="51"/>
        <v>Error?</v>
      </c>
    </row>
    <row r="3391" spans="1:4" x14ac:dyDescent="0.2">
      <c r="A3391" s="5">
        <v>3330</v>
      </c>
      <c r="B3391" s="1832">
        <f>'Expenditures 15-22'!K217</f>
        <v>64439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406592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489359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72443</v>
      </c>
      <c r="D3417" s="2" t="str">
        <f t="shared" si="52"/>
        <v>Error?</v>
      </c>
    </row>
    <row r="3418" spans="1:4" x14ac:dyDescent="0.2">
      <c r="A3418" s="10">
        <v>3357</v>
      </c>
      <c r="B3418" s="1832"/>
      <c r="D3418" s="2" t="str">
        <f t="shared" si="52"/>
        <v>OK</v>
      </c>
    </row>
    <row r="3419" spans="1:4" x14ac:dyDescent="0.2">
      <c r="A3419" s="5">
        <v>3358</v>
      </c>
      <c r="B3419" s="1832">
        <f>'Assets-Liab 5-6'!F4</f>
        <v>111435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129235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207</v>
      </c>
      <c r="D3425" s="2" t="str">
        <f t="shared" si="52"/>
        <v>Error?</v>
      </c>
    </row>
    <row r="3426" spans="1:4" x14ac:dyDescent="0.2">
      <c r="A3426" s="10">
        <v>3365</v>
      </c>
      <c r="B3426" s="1832"/>
      <c r="D3426" s="2" t="str">
        <f t="shared" si="52"/>
        <v>OK</v>
      </c>
    </row>
    <row r="3427" spans="1:4" x14ac:dyDescent="0.2">
      <c r="A3427" s="5">
        <v>3366</v>
      </c>
      <c r="B3427" s="1832">
        <f>'Assets-Liab 5-6'!I4</f>
        <v>717537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339687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297289</v>
      </c>
      <c r="C3446" s="2" t="s">
        <v>569</v>
      </c>
      <c r="D3446" s="2" t="str">
        <f t="shared" si="52"/>
        <v>Error?</v>
      </c>
    </row>
    <row r="3447" spans="1:4" x14ac:dyDescent="0.2">
      <c r="A3447" s="5">
        <v>3386</v>
      </c>
      <c r="B3447" s="1832">
        <f>'Tax Sched 23'!D16</f>
        <v>297289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315635</v>
      </c>
      <c r="C3449" s="2" t="s">
        <v>569</v>
      </c>
      <c r="D3449" s="2" t="str">
        <f t="shared" si="52"/>
        <v>Error?</v>
      </c>
    </row>
    <row r="3450" spans="1:4" x14ac:dyDescent="0.2">
      <c r="A3450" s="5">
        <v>3389</v>
      </c>
      <c r="B3450" s="1832">
        <f>'Tax Sched 23'!E16</f>
        <v>315635</v>
      </c>
      <c r="D3450" s="2" t="str">
        <f t="shared" si="52"/>
        <v>Error?</v>
      </c>
    </row>
    <row r="3451" spans="1:4" x14ac:dyDescent="0.2">
      <c r="A3451" s="5">
        <v>3390</v>
      </c>
      <c r="B3451" s="1832">
        <f>'Cap Outlay Deprec 26'!C15</f>
        <v>164197</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164197</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4720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4720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4720</v>
      </c>
      <c r="D3567" s="2" t="str">
        <f t="shared" si="54"/>
        <v>Error?</v>
      </c>
    </row>
    <row r="3568" spans="1:4" x14ac:dyDescent="0.2">
      <c r="A3568" s="5">
        <v>3507</v>
      </c>
      <c r="B3568" s="1832">
        <f>'Assets-Liab 5-6'!K41</f>
        <v>4720</v>
      </c>
      <c r="C3568" s="2" t="s">
        <v>569</v>
      </c>
      <c r="D3568" s="2" t="str">
        <f t="shared" si="54"/>
        <v>Error?</v>
      </c>
    </row>
    <row r="3569" spans="1:4" x14ac:dyDescent="0.2">
      <c r="A3569" s="5">
        <v>3508</v>
      </c>
      <c r="B3569" s="1832">
        <f>'Acct Summary 7-8'!K4</f>
        <v>25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25</v>
      </c>
      <c r="C3588" s="2" t="s">
        <v>569</v>
      </c>
      <c r="D3588" s="2" t="str">
        <f t="shared" si="55"/>
        <v>Error?</v>
      </c>
    </row>
    <row r="3589" spans="1:4" x14ac:dyDescent="0.2">
      <c r="A3589" s="5">
        <v>3528</v>
      </c>
      <c r="B3589" s="1832">
        <f>'Acct Summary 7-8'!K79</f>
        <v>4695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4720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60013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4123630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11785084</v>
      </c>
      <c r="C4122" s="2" t="s">
        <v>569</v>
      </c>
      <c r="D4122" s="2" t="str">
        <f t="shared" si="63"/>
        <v>Error?</v>
      </c>
    </row>
    <row r="4123" spans="1:4" x14ac:dyDescent="0.2">
      <c r="A4123" s="5">
        <v>4062</v>
      </c>
      <c r="B4123" s="1832">
        <f>'Acct Summary 7-8'!D10</f>
        <v>679149</v>
      </c>
      <c r="C4123" s="2" t="s">
        <v>569</v>
      </c>
      <c r="D4123" s="2" t="str">
        <f t="shared" si="63"/>
        <v>Error?</v>
      </c>
    </row>
    <row r="4124" spans="1:4" x14ac:dyDescent="0.2">
      <c r="A4124" s="5">
        <v>4063</v>
      </c>
      <c r="B4124" s="1832">
        <f>'Acct Summary 7-8'!E10</f>
        <v>1153944</v>
      </c>
      <c r="C4124" s="2" t="s">
        <v>569</v>
      </c>
      <c r="D4124" s="2" t="str">
        <f t="shared" si="63"/>
        <v>Error?</v>
      </c>
    </row>
    <row r="4125" spans="1:4" x14ac:dyDescent="0.2">
      <c r="A4125" s="5">
        <v>4064</v>
      </c>
      <c r="B4125" s="1832">
        <f>'Acct Summary 7-8'!F10</f>
        <v>511670</v>
      </c>
      <c r="C4125" s="2" t="s">
        <v>569</v>
      </c>
      <c r="D4125" s="2" t="str">
        <f t="shared" si="63"/>
        <v>Error?</v>
      </c>
    </row>
    <row r="4126" spans="1:4" x14ac:dyDescent="0.2">
      <c r="A4126" s="5">
        <v>4065</v>
      </c>
      <c r="B4126" s="1832">
        <f>'Acct Summary 7-8'!G10</f>
        <v>350435</v>
      </c>
      <c r="C4126" s="2" t="s">
        <v>569</v>
      </c>
      <c r="D4126" s="2" t="str">
        <f t="shared" si="63"/>
        <v>Error?</v>
      </c>
    </row>
    <row r="4127" spans="1:4" x14ac:dyDescent="0.2">
      <c r="A4127" s="5">
        <v>4066</v>
      </c>
      <c r="B4127" s="1832">
        <f>'Acct Summary 7-8'!H10</f>
        <v>443</v>
      </c>
      <c r="C4127" s="2" t="s">
        <v>569</v>
      </c>
      <c r="D4127" s="2" t="str">
        <f t="shared" si="63"/>
        <v>Error?</v>
      </c>
    </row>
    <row r="4128" spans="1:4" x14ac:dyDescent="0.2">
      <c r="A4128" s="5">
        <v>4067</v>
      </c>
      <c r="B4128" s="1832">
        <f>'Acct Summary 7-8'!I10</f>
        <v>33849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v>
      </c>
      <c r="C4130" s="2" t="s">
        <v>569</v>
      </c>
      <c r="D4130" s="2" t="str">
        <f t="shared" si="63"/>
        <v>Error?</v>
      </c>
    </row>
    <row r="4131" spans="1:4" x14ac:dyDescent="0.2">
      <c r="A4131" s="5">
        <v>4070</v>
      </c>
      <c r="B4131" s="1832">
        <f>'Acct Summary 7-8'!C18</f>
        <v>4123630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12500648</v>
      </c>
      <c r="C4136" s="2" t="s">
        <v>569</v>
      </c>
      <c r="D4136" s="2" t="str">
        <f t="shared" si="63"/>
        <v>Error?</v>
      </c>
    </row>
    <row r="4137" spans="1:4" x14ac:dyDescent="0.2">
      <c r="A4137" s="5">
        <v>4076</v>
      </c>
      <c r="B4137" s="1832">
        <f>'Acct Summary 7-8'!D19</f>
        <v>622361</v>
      </c>
      <c r="C4137" s="2" t="s">
        <v>569</v>
      </c>
      <c r="D4137" s="2" t="str">
        <f t="shared" si="63"/>
        <v>Error?</v>
      </c>
    </row>
    <row r="4138" spans="1:4" x14ac:dyDescent="0.2">
      <c r="A4138" s="5">
        <v>4077</v>
      </c>
      <c r="B4138" s="1832">
        <f>'Acct Summary 7-8'!E19</f>
        <v>1157163</v>
      </c>
      <c r="C4138" s="2" t="s">
        <v>569</v>
      </c>
      <c r="D4138" s="2" t="str">
        <f t="shared" si="63"/>
        <v>Error?</v>
      </c>
    </row>
    <row r="4139" spans="1:4" x14ac:dyDescent="0.2">
      <c r="A4139" s="5">
        <v>4078</v>
      </c>
      <c r="B4139" s="1832">
        <f>'Acct Summary 7-8'!F19</f>
        <v>518773</v>
      </c>
      <c r="C4139" s="2" t="s">
        <v>569</v>
      </c>
      <c r="D4139" s="2" t="str">
        <f t="shared" si="63"/>
        <v>Error?</v>
      </c>
    </row>
    <row r="4140" spans="1:4" x14ac:dyDescent="0.2">
      <c r="A4140" s="5">
        <v>4079</v>
      </c>
      <c r="B4140" s="1832">
        <f>'Acct Summary 7-8'!G19</f>
        <v>330673</v>
      </c>
      <c r="C4140" s="2" t="s">
        <v>569</v>
      </c>
      <c r="D4140" s="2" t="str">
        <f t="shared" si="63"/>
        <v>Error?</v>
      </c>
    </row>
    <row r="4141" spans="1:4" x14ac:dyDescent="0.2">
      <c r="A4141" s="5">
        <v>4080</v>
      </c>
      <c r="B4141" s="1832">
        <f>'Acct Summary 7-8'!H19</f>
        <v>462825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5775000</v>
      </c>
      <c r="C4171" s="2" t="s">
        <v>569</v>
      </c>
      <c r="D4171" s="2" t="str">
        <f t="shared" si="64"/>
        <v>Error?</v>
      </c>
    </row>
    <row r="4172" spans="1:4" x14ac:dyDescent="0.2">
      <c r="A4172" s="5">
        <v>4111</v>
      </c>
      <c r="B4172" s="1832">
        <f>'Short-Term Long-Term Debt 24'!J49</f>
        <v>5702524</v>
      </c>
      <c r="C4172" s="2" t="s">
        <v>569</v>
      </c>
      <c r="D4172" s="2" t="str">
        <f t="shared" si="64"/>
        <v>Error?</v>
      </c>
    </row>
    <row r="4173" spans="1:4" x14ac:dyDescent="0.2">
      <c r="A4173" s="5">
        <v>4112</v>
      </c>
      <c r="B4173" s="1832">
        <f>'Short-Term Long-Term Debt 24'!H49</f>
        <v>1040000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3229.8599999999997</v>
      </c>
      <c r="C4265" s="2" t="s">
        <v>569</v>
      </c>
      <c r="D4265" s="2" t="str">
        <f t="shared" si="65"/>
        <v>Error?</v>
      </c>
      <c r="E4265" s="125"/>
    </row>
    <row r="4266" spans="1:5" x14ac:dyDescent="0.2">
      <c r="A4266" s="12">
        <v>4205</v>
      </c>
      <c r="B4266" s="1832">
        <f>('FP Info 3'!F10)*100000</f>
        <v>529.72</v>
      </c>
      <c r="C4266" s="2" t="s">
        <v>569</v>
      </c>
      <c r="D4266" s="2" t="str">
        <f t="shared" si="65"/>
        <v>Error?</v>
      </c>
      <c r="E4266" s="125"/>
    </row>
    <row r="4267" spans="1:5" x14ac:dyDescent="0.2">
      <c r="A4267" s="12">
        <v>4206</v>
      </c>
      <c r="B4267" s="1832">
        <f>('FP Info 3'!H10)*100000</f>
        <v>196.66000000000003</v>
      </c>
      <c r="C4267" s="2" t="s">
        <v>569</v>
      </c>
      <c r="D4267" s="2" t="str">
        <f t="shared" si="65"/>
        <v>Error?</v>
      </c>
      <c r="E4267" s="125"/>
    </row>
    <row r="4268" spans="1:5" x14ac:dyDescent="0.2">
      <c r="A4268" s="12">
        <v>4207</v>
      </c>
      <c r="B4268" s="1832">
        <f>('FP Info 3'!J10)*100000</f>
        <v>3956</v>
      </c>
      <c r="C4268" s="2" t="s">
        <v>569</v>
      </c>
      <c r="D4268" s="2" t="str">
        <f t="shared" si="65"/>
        <v>Error?</v>
      </c>
    </row>
    <row r="4269" spans="1:5" x14ac:dyDescent="0.2">
      <c r="A4269" s="12">
        <v>4208</v>
      </c>
      <c r="B4269" s="1832">
        <f>'FP Info 3'!J16</f>
        <v>1912038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8090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48116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9498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23.46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5595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4880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123208364</v>
      </c>
      <c r="D4995" s="2" t="str">
        <f t="shared" si="77"/>
        <v>Error?</v>
      </c>
    </row>
    <row r="4996" spans="1:4" x14ac:dyDescent="0.2">
      <c r="A4996" s="12">
        <v>4935</v>
      </c>
      <c r="B4996" s="1832">
        <f>'FP Info 3'!H31</f>
        <v>17002754.232000001</v>
      </c>
      <c r="D4996" s="2" t="str">
        <f t="shared" si="77"/>
        <v>Error?</v>
      </c>
    </row>
    <row r="4997" spans="1:4" x14ac:dyDescent="0.2">
      <c r="A4997" s="12">
        <v>4936</v>
      </c>
      <c r="B4997" s="1832">
        <f>'FP Info 3'!H37</f>
        <v>5775000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20000</v>
      </c>
      <c r="D5013" s="2" t="str">
        <f t="shared" si="77"/>
        <v>Error?</v>
      </c>
    </row>
    <row r="5014" spans="1:4" x14ac:dyDescent="0.2">
      <c r="A5014" s="5">
        <v>4953</v>
      </c>
      <c r="B5014" s="1832">
        <f>'Acct Summary 7-8'!F27</f>
        <v>10000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30000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3806486</v>
      </c>
      <c r="D5061" s="2" t="str">
        <f t="shared" si="78"/>
        <v>Error?</v>
      </c>
    </row>
    <row r="5062" spans="1:4" x14ac:dyDescent="0.2">
      <c r="A5062" s="10">
        <v>5001</v>
      </c>
      <c r="B5062" s="1832"/>
      <c r="D5062" s="2" t="str">
        <f t="shared" si="78"/>
        <v>OK</v>
      </c>
    </row>
    <row r="5063" spans="1:4" x14ac:dyDescent="0.2">
      <c r="A5063" s="5">
        <v>5002</v>
      </c>
      <c r="B5063" s="1832">
        <f>'Revenues 9-14'!C7</f>
        <v>47609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3854095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176271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176271</v>
      </c>
      <c r="C5071" s="2" t="s">
        <v>569</v>
      </c>
      <c r="D5071" s="2" t="str">
        <f t="shared" si="78"/>
        <v>Error?</v>
      </c>
    </row>
    <row r="5072" spans="1:4" x14ac:dyDescent="0.2">
      <c r="A5072" s="5">
        <v>5011</v>
      </c>
      <c r="B5072" s="1832">
        <f>'Revenues 9-14'!C20</f>
        <v>224711</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224711</v>
      </c>
      <c r="C5087" s="2" t="s">
        <v>569</v>
      </c>
      <c r="D5087" s="2" t="str">
        <f t="shared" si="78"/>
        <v>Error?</v>
      </c>
    </row>
    <row r="5088" spans="1:4" x14ac:dyDescent="0.2">
      <c r="A5088" s="5">
        <v>5027</v>
      </c>
      <c r="B5088" s="1832">
        <f>'Revenues 9-14'!C65</f>
        <v>11466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11466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7222</v>
      </c>
      <c r="D5094" s="2" t="str">
        <f t="shared" si="78"/>
        <v>Error?</v>
      </c>
    </row>
    <row r="5095" spans="1:4" x14ac:dyDescent="0.2">
      <c r="A5095" s="5">
        <v>5034</v>
      </c>
      <c r="B5095" s="1832">
        <f>'Revenues 9-14'!C74</f>
        <v>5073</v>
      </c>
      <c r="D5095" s="2" t="str">
        <f t="shared" si="78"/>
        <v>Error?</v>
      </c>
    </row>
    <row r="5096" spans="1:4" x14ac:dyDescent="0.2">
      <c r="A5096" s="5">
        <v>5035</v>
      </c>
      <c r="B5096" s="1832">
        <f>'Revenues 9-14'!C75</f>
        <v>213310</v>
      </c>
      <c r="C5096" s="2" t="s">
        <v>569</v>
      </c>
      <c r="D5096" s="2" t="str">
        <f t="shared" si="78"/>
        <v>Error?</v>
      </c>
    </row>
    <row r="5097" spans="1:4" x14ac:dyDescent="0.2">
      <c r="A5097" s="5">
        <v>5036</v>
      </c>
      <c r="B5097" s="1832">
        <f>'Revenues 9-14'!C77</f>
        <v>33306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26530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59836</v>
      </c>
      <c r="C5102" s="2" t="s">
        <v>569</v>
      </c>
      <c r="D5102" s="2" t="str">
        <f t="shared" si="78"/>
        <v>Error?</v>
      </c>
    </row>
    <row r="5103" spans="1:4" x14ac:dyDescent="0.2">
      <c r="A5103" s="5">
        <v>5042</v>
      </c>
      <c r="B5103" s="1832">
        <f>'Revenues 9-14'!C84</f>
        <v>149121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149121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27133</v>
      </c>
      <c r="D5114" s="2" t="str">
        <f t="shared" si="78"/>
        <v>Error?</v>
      </c>
    </row>
    <row r="5115" spans="1:4" x14ac:dyDescent="0.2">
      <c r="A5115" s="5">
        <v>5054</v>
      </c>
      <c r="B5115" s="1832">
        <f>'Revenues 9-14'!C98</f>
        <v>5290</v>
      </c>
      <c r="D5115" s="2" t="str">
        <f t="shared" si="78"/>
        <v>Error?</v>
      </c>
    </row>
    <row r="5116" spans="1:4" x14ac:dyDescent="0.2">
      <c r="A5116" s="5">
        <v>5055</v>
      </c>
      <c r="B5116" s="1832">
        <f>'Revenues 9-14'!C99</f>
        <v>48988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9295</v>
      </c>
      <c r="D5118" s="2" t="str">
        <f t="shared" si="78"/>
        <v>Error?</v>
      </c>
    </row>
    <row r="5119" spans="1:4" x14ac:dyDescent="0.2">
      <c r="A5119" s="5">
        <v>5058</v>
      </c>
      <c r="B5119" s="1832">
        <f>'Revenues 9-14'!C107</f>
        <v>1720</v>
      </c>
      <c r="D5119" s="2" t="str">
        <f t="shared" ref="D5119:D5182" si="79">IF(ISBLANK(B5119),"OK",IF(A5119-B5119=0,"OK","Error?"))</f>
        <v>Error?</v>
      </c>
    </row>
    <row r="5120" spans="1:4" x14ac:dyDescent="0.2">
      <c r="A5120" s="5">
        <v>5059</v>
      </c>
      <c r="B5120" s="1832">
        <f>'Revenues 9-14'!C108</f>
        <v>103321</v>
      </c>
      <c r="C5120" s="2" t="s">
        <v>569</v>
      </c>
      <c r="D5120" s="2" t="str">
        <f t="shared" si="79"/>
        <v>Error?</v>
      </c>
    </row>
    <row r="5121" spans="1:4" x14ac:dyDescent="0.2">
      <c r="A5121" s="5">
        <v>5060</v>
      </c>
      <c r="B5121" s="1832">
        <f>'Revenues 9-14'!C109</f>
        <v>4792131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2419054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2419054</v>
      </c>
      <c r="C5132" s="2" t="s">
        <v>569</v>
      </c>
      <c r="D5132" s="2" t="str">
        <f t="shared" si="79"/>
        <v>Error?</v>
      </c>
    </row>
    <row r="5133" spans="1:4" x14ac:dyDescent="0.2">
      <c r="A5133" s="5">
        <v>5072</v>
      </c>
      <c r="B5133" s="1832">
        <f>'Revenues 9-14'!C125</f>
        <v>39881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80998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120879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8835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21844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413</v>
      </c>
      <c r="D5167" s="2" t="str">
        <f t="shared" si="79"/>
        <v>Error?</v>
      </c>
    </row>
    <row r="5168" spans="1:4" x14ac:dyDescent="0.2">
      <c r="A5168" s="5">
        <v>5107</v>
      </c>
      <c r="B5168" s="1832">
        <f>'Revenues 9-14'!C148</f>
        <v>10829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158845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2577899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39039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20974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60013</v>
      </c>
      <c r="C5246" s="2" t="s">
        <v>569</v>
      </c>
      <c r="D5246" s="2" t="str">
        <f t="shared" si="80"/>
        <v>Error?</v>
      </c>
    </row>
    <row r="5247" spans="1:4" x14ac:dyDescent="0.2">
      <c r="A5247" s="5">
        <v>5186</v>
      </c>
      <c r="B5247" s="1832">
        <f>'Revenues 9-14'!C200</f>
        <v>42976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42976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110420</v>
      </c>
      <c r="D5278" s="2" t="str">
        <f t="shared" si="81"/>
        <v>Error?</v>
      </c>
    </row>
    <row r="5279" spans="1:4" x14ac:dyDescent="0.2">
      <c r="A5279" s="5">
        <v>5218</v>
      </c>
      <c r="B5279" s="1832">
        <f>'Revenues 9-14'!C214</f>
        <v>12311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122731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291424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291424</v>
      </c>
      <c r="C5326" s="2" t="s">
        <v>569</v>
      </c>
      <c r="D5326" s="2" t="str">
        <f t="shared" si="82"/>
        <v>Error?</v>
      </c>
    </row>
    <row r="5327" spans="1:5" x14ac:dyDescent="0.2">
      <c r="A5327" s="5">
        <v>5266</v>
      </c>
      <c r="B5327" s="1832">
        <f>'Revenues 9-14'!C268</f>
        <v>7661454</v>
      </c>
      <c r="C5327" s="2" t="s">
        <v>569</v>
      </c>
      <c r="D5327" s="2" t="str">
        <f t="shared" si="82"/>
        <v>Error?</v>
      </c>
    </row>
    <row r="5328" spans="1:5" x14ac:dyDescent="0.2">
      <c r="A5328" s="5">
        <v>5267</v>
      </c>
      <c r="B5328" s="1832">
        <f>'Revenues 9-14'!D5</f>
        <v>624262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624262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4568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4568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319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319</v>
      </c>
      <c r="C5355" s="2" t="s">
        <v>569</v>
      </c>
      <c r="D5355" s="2" t="str">
        <f t="shared" si="82"/>
        <v>Error?</v>
      </c>
    </row>
    <row r="5356" spans="1:4" x14ac:dyDescent="0.2">
      <c r="A5356" s="5">
        <v>5295</v>
      </c>
      <c r="B5356" s="1832">
        <f>'Revenues 9-14'!D109</f>
        <v>629149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679149</v>
      </c>
      <c r="C5508" s="2" t="s">
        <v>569</v>
      </c>
      <c r="D5508" s="2" t="str">
        <f t="shared" si="85"/>
        <v>Error?</v>
      </c>
    </row>
    <row r="5509" spans="1:4" x14ac:dyDescent="0.2">
      <c r="A5509" s="5">
        <v>5448</v>
      </c>
      <c r="B5509" s="1832">
        <f>'Revenues 9-14'!E5</f>
        <v>1152152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1152152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1792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1792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1153944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1153944</v>
      </c>
      <c r="C5552" s="2" t="s">
        <v>569</v>
      </c>
      <c r="D5552" s="2" t="str">
        <f t="shared" si="85"/>
        <v>Error?</v>
      </c>
    </row>
    <row r="5553" spans="1:4" x14ac:dyDescent="0.2">
      <c r="A5553" s="5">
        <v>5492</v>
      </c>
      <c r="B5553" s="1832">
        <f>'Revenues 9-14'!F5</f>
        <v>236154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236154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341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341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127</v>
      </c>
      <c r="D5586" s="2" t="str">
        <f t="shared" si="86"/>
        <v>Error?</v>
      </c>
    </row>
    <row r="5587" spans="1:4" x14ac:dyDescent="0.2">
      <c r="A5587" s="5">
        <v>5526</v>
      </c>
      <c r="B5587" s="1832">
        <f>'Revenues 9-14'!F108</f>
        <v>127</v>
      </c>
      <c r="C5587" s="2" t="s">
        <v>569</v>
      </c>
      <c r="D5587" s="2" t="str">
        <f t="shared" si="86"/>
        <v>Error?</v>
      </c>
    </row>
    <row r="5588" spans="1:4" x14ac:dyDescent="0.2">
      <c r="A5588" s="5">
        <v>5527</v>
      </c>
      <c r="B5588" s="1832">
        <f>'Revenues 9-14'!F109</f>
        <v>236622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137655</v>
      </c>
      <c r="D5615" s="2" t="str">
        <f t="shared" si="86"/>
        <v>Error?</v>
      </c>
    </row>
    <row r="5616" spans="1:4" x14ac:dyDescent="0.2">
      <c r="A5616" s="10">
        <v>5555</v>
      </c>
      <c r="B5616" s="1832"/>
      <c r="D5616" s="2" t="str">
        <f t="shared" si="86"/>
        <v>OK</v>
      </c>
    </row>
    <row r="5617" spans="1:5" x14ac:dyDescent="0.2">
      <c r="A5617" s="5">
        <v>5556</v>
      </c>
      <c r="B5617" s="1832">
        <f>'Revenues 9-14'!F153</f>
        <v>137393</v>
      </c>
      <c r="D5617" s="2" t="str">
        <f t="shared" si="86"/>
        <v>Error?</v>
      </c>
    </row>
    <row r="5618" spans="1:5" x14ac:dyDescent="0.2">
      <c r="A5618" s="5">
        <v>5557</v>
      </c>
      <c r="B5618" s="1832">
        <f>'Revenues 9-14'!F155</f>
        <v>275048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275048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275048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511670</v>
      </c>
      <c r="C5720" s="2" t="s">
        <v>569</v>
      </c>
      <c r="D5720" s="2" t="str">
        <f t="shared" si="88"/>
        <v>Error?</v>
      </c>
    </row>
    <row r="5721" spans="1:4" x14ac:dyDescent="0.2">
      <c r="A5721" s="5">
        <v>5660</v>
      </c>
      <c r="B5721" s="1832">
        <f>'Revenues 9-14'!G5</f>
        <v>12124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297289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309413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40000</v>
      </c>
      <c r="C5730" s="2" t="s">
        <v>569</v>
      </c>
      <c r="D5730" s="2" t="str">
        <f t="shared" si="88"/>
        <v>Error?</v>
      </c>
    </row>
    <row r="5731" spans="1:4" x14ac:dyDescent="0.2">
      <c r="A5731" s="5">
        <v>5670</v>
      </c>
      <c r="B5731" s="1832">
        <f>'Revenues 9-14'!G65</f>
        <v>1022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1022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350435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443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443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443</v>
      </c>
      <c r="C5915" s="2" t="s">
        <v>569</v>
      </c>
      <c r="D5915" s="2" t="str">
        <f t="shared" si="91"/>
        <v>Error?</v>
      </c>
    </row>
    <row r="5916" spans="1:4" x14ac:dyDescent="0.2">
      <c r="A5916" s="5">
        <v>5855</v>
      </c>
      <c r="B5916" s="1832">
        <f>'Revenues 9-14'!I5</f>
        <v>27226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27226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6623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6623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33849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v>
      </c>
      <c r="C6023" s="2" t="s">
        <v>569</v>
      </c>
      <c r="D6023" s="2" t="str">
        <f t="shared" si="93"/>
        <v>Error?</v>
      </c>
    </row>
    <row r="6024" spans="1:5" x14ac:dyDescent="0.2">
      <c r="A6024" s="5">
        <v>5963</v>
      </c>
      <c r="B6024" s="1832">
        <f>'Revenues 9-14'!G109</f>
        <v>350435</v>
      </c>
      <c r="C6024" s="2" t="s">
        <v>569</v>
      </c>
      <c r="D6024" s="2" t="str">
        <f t="shared" si="93"/>
        <v>Error?</v>
      </c>
    </row>
    <row r="6025" spans="1:5" x14ac:dyDescent="0.2">
      <c r="A6025" s="5">
        <v>5964</v>
      </c>
      <c r="B6025" s="1832">
        <f>'Revenues 9-14'!H109</f>
        <v>443</v>
      </c>
      <c r="C6025" s="2" t="s">
        <v>569</v>
      </c>
      <c r="D6025" s="2" t="str">
        <f t="shared" si="93"/>
        <v>Error?</v>
      </c>
    </row>
    <row r="6026" spans="1:5" x14ac:dyDescent="0.2">
      <c r="A6026" s="5">
        <v>5965</v>
      </c>
      <c r="B6026" s="1832">
        <f>'Revenues 9-14'!I109</f>
        <v>33849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201015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22092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984.1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9648</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9648</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-738941</v>
      </c>
      <c r="D6267" s="2" t="str">
        <f t="shared" si="96"/>
        <v>Error?</v>
      </c>
      <c r="E6267" s="2" t="s">
        <v>189</v>
      </c>
    </row>
    <row r="6268" spans="1:5" x14ac:dyDescent="0.2">
      <c r="A6268">
        <v>6207</v>
      </c>
      <c r="B6268" s="1832">
        <f>'Acct Summary 7-8'!D82</f>
        <v>76788</v>
      </c>
      <c r="D6268" s="2" t="str">
        <f t="shared" si="96"/>
        <v>Error?</v>
      </c>
      <c r="E6268" s="2" t="s">
        <v>189</v>
      </c>
    </row>
    <row r="6269" spans="1:5" x14ac:dyDescent="0.2">
      <c r="A6269">
        <v>6208</v>
      </c>
      <c r="B6269" s="1832">
        <f>'Acct Summary 7-8'!E82</f>
        <v>-3219</v>
      </c>
      <c r="D6269" s="2" t="str">
        <f t="shared" si="96"/>
        <v>Error?</v>
      </c>
      <c r="E6269" s="2" t="s">
        <v>189</v>
      </c>
    </row>
    <row r="6270" spans="1:5" x14ac:dyDescent="0.2">
      <c r="A6270">
        <v>6209</v>
      </c>
      <c r="B6270" s="1832">
        <f>'Acct Summary 7-8'!F82</f>
        <v>2897</v>
      </c>
      <c r="D6270" s="2" t="str">
        <f t="shared" si="96"/>
        <v>Error?</v>
      </c>
      <c r="E6270" s="2" t="s">
        <v>189</v>
      </c>
    </row>
    <row r="6271" spans="1:5" x14ac:dyDescent="0.2">
      <c r="A6271">
        <v>6210</v>
      </c>
      <c r="B6271" s="1832">
        <f>'Acct Summary 7-8'!G82</f>
        <v>19762</v>
      </c>
      <c r="D6271" s="2" t="str">
        <f t="shared" ref="D6271:D6334" si="97">IF(ISBLANK(B6271),"OK",IF(A6271-B6271=0,"OK","Error?"))</f>
        <v>Error?</v>
      </c>
      <c r="E6271" s="2" t="s">
        <v>189</v>
      </c>
    </row>
    <row r="6272" spans="1:5" x14ac:dyDescent="0.2">
      <c r="A6272">
        <v>6211</v>
      </c>
      <c r="B6272" s="1832">
        <f>'Acct Summary 7-8'!H82</f>
        <v>-462382</v>
      </c>
      <c r="D6272" s="2" t="str">
        <f t="shared" si="97"/>
        <v>Error?</v>
      </c>
      <c r="E6272" s="2" t="s">
        <v>189</v>
      </c>
    </row>
    <row r="6273" spans="1:5" x14ac:dyDescent="0.2">
      <c r="A6273">
        <v>6212</v>
      </c>
      <c r="B6273" s="1832">
        <f>'Acct Summary 7-8'!I82</f>
        <v>27226</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25</v>
      </c>
      <c r="D6275" s="2" t="str">
        <f t="shared" si="97"/>
        <v>Error?</v>
      </c>
      <c r="E6275" s="2" t="s">
        <v>189</v>
      </c>
    </row>
    <row r="6276" spans="1:5" x14ac:dyDescent="0.2">
      <c r="A6276">
        <v>6215</v>
      </c>
      <c r="B6276" s="1832">
        <f>'Acct Summary 7-8'!C83</f>
        <v>-1.8154148148694098</v>
      </c>
      <c r="D6276" s="2" t="str">
        <f t="shared" si="97"/>
        <v>Error?</v>
      </c>
      <c r="E6276" s="2" t="s">
        <v>189</v>
      </c>
    </row>
    <row r="6277" spans="1:5" x14ac:dyDescent="0.2">
      <c r="A6277">
        <v>6216</v>
      </c>
      <c r="B6277" s="1832">
        <f>'Acct Summary 7-8'!D83</f>
        <v>0.12513913311311053</v>
      </c>
      <c r="D6277" s="2" t="str">
        <f t="shared" si="97"/>
        <v>Error?</v>
      </c>
      <c r="E6277" s="2" t="s">
        <v>189</v>
      </c>
    </row>
    <row r="6278" spans="1:5" x14ac:dyDescent="0.2">
      <c r="A6278">
        <v>6217</v>
      </c>
      <c r="B6278" s="1832">
        <f>'Acct Summary 7-8'!E83</f>
        <v>-4.4414702798167671E-2</v>
      </c>
      <c r="D6278" s="2" t="str">
        <f t="shared" si="97"/>
        <v>Error?</v>
      </c>
      <c r="E6278" s="2" t="s">
        <v>189</v>
      </c>
    </row>
    <row r="6279" spans="1:5" x14ac:dyDescent="0.2">
      <c r="A6279">
        <v>6218</v>
      </c>
      <c r="B6279" s="1832">
        <f>'Acct Summary 7-8'!F83</f>
        <v>2.5995118624600695E-2</v>
      </c>
      <c r="D6279" s="2" t="str">
        <f t="shared" si="97"/>
        <v>Error?</v>
      </c>
      <c r="E6279" s="2" t="s">
        <v>189</v>
      </c>
    </row>
    <row r="6280" spans="1:5" x14ac:dyDescent="0.2">
      <c r="A6280">
        <v>6219</v>
      </c>
      <c r="B6280" s="1832">
        <f>'Acct Summary 7-8'!G83</f>
        <v>0.15291523194181142</v>
      </c>
      <c r="D6280" s="2" t="str">
        <f t="shared" si="97"/>
        <v>Error?</v>
      </c>
      <c r="E6280" s="2" t="s">
        <v>189</v>
      </c>
    </row>
    <row r="6281" spans="1:5" x14ac:dyDescent="0.2">
      <c r="A6281">
        <v>6220</v>
      </c>
      <c r="B6281" s="1832">
        <f>'Acct Summary 7-8'!H83</f>
        <v>48.975955936871095</v>
      </c>
      <c r="D6281" s="2" t="str">
        <f t="shared" si="97"/>
        <v>Error?</v>
      </c>
      <c r="E6281" s="2" t="s">
        <v>189</v>
      </c>
    </row>
    <row r="6282" spans="1:5" x14ac:dyDescent="0.2">
      <c r="A6282">
        <v>6221</v>
      </c>
      <c r="B6282" s="1832">
        <f>'Acct Summary 7-8'!I83</f>
        <v>3.4907992450662617E-2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5.2966101694915252E-3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5300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13009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170975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192288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33682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97027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188858</v>
      </c>
      <c r="D6880" s="2" t="str">
        <f t="shared" si="106"/>
        <v>Error?</v>
      </c>
    </row>
    <row r="6881" spans="1:4" x14ac:dyDescent="0.2">
      <c r="A6881">
        <v>6820</v>
      </c>
      <c r="B6881" s="1832">
        <f>'Expenditures 15-22'!K22</f>
        <v>188858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140781</v>
      </c>
      <c r="D6983" s="2" t="str">
        <f t="shared" si="108"/>
        <v>Error?</v>
      </c>
    </row>
    <row r="6984" spans="1:4" x14ac:dyDescent="0.2">
      <c r="A6984">
        <v>6923</v>
      </c>
      <c r="B6984" s="1832">
        <f>'Expenditures 15-22'!K86</f>
        <v>140781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140781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27423</v>
      </c>
      <c r="D7073" s="2" t="str">
        <f t="shared" si="109"/>
        <v>Error?</v>
      </c>
    </row>
    <row r="7074" spans="1:4" x14ac:dyDescent="0.2">
      <c r="A7074">
        <v>7013</v>
      </c>
      <c r="B7074" s="1832">
        <f>'Expenditures 15-22'!K216</f>
        <v>27423</v>
      </c>
      <c r="D7074" s="2" t="str">
        <f t="shared" si="109"/>
        <v>Error?</v>
      </c>
    </row>
    <row r="7075" spans="1:4" x14ac:dyDescent="0.2">
      <c r="A7075">
        <v>7014</v>
      </c>
      <c r="B7075" s="1832">
        <f>'Expenditures 15-22'!D218</f>
        <v>2676</v>
      </c>
      <c r="D7075" s="2" t="str">
        <f t="shared" si="109"/>
        <v>Error?</v>
      </c>
    </row>
    <row r="7076" spans="1:4" x14ac:dyDescent="0.2">
      <c r="A7076">
        <v>7015</v>
      </c>
      <c r="B7076" s="1832">
        <f>'Expenditures 15-22'!K218</f>
        <v>2676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1069</v>
      </c>
      <c r="D7079" s="2" t="str">
        <f t="shared" si="109"/>
        <v>Error?</v>
      </c>
    </row>
    <row r="7080" spans="1:4" x14ac:dyDescent="0.2">
      <c r="A7080">
        <v>7019</v>
      </c>
      <c r="B7080" s="1832">
        <f>'Expenditures 15-22'!K226</f>
        <v>1069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13809</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7504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33287</v>
      </c>
      <c r="D7251" s="2" t="str">
        <f t="shared" si="112"/>
        <v>Error?</v>
      </c>
    </row>
    <row r="7252" spans="1:4" x14ac:dyDescent="0.2">
      <c r="A7252">
        <f t="shared" si="113"/>
        <v>7191</v>
      </c>
      <c r="B7252" s="1832">
        <f>'Expenditures 15-22'!D9</f>
        <v>395</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81099</v>
      </c>
      <c r="D7263" s="2" t="str">
        <f t="shared" si="112"/>
        <v>Error?</v>
      </c>
    </row>
    <row r="7264" spans="1:4" x14ac:dyDescent="0.2">
      <c r="A7264">
        <f t="shared" si="113"/>
        <v>7203</v>
      </c>
      <c r="B7264" s="1832">
        <f>'Expenditures 15-22'!D17</f>
        <v>11938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3990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3574</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3574</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1191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1191</v>
      </c>
      <c r="D7622" s="2" t="str">
        <f t="shared" si="124"/>
        <v>Error?</v>
      </c>
      <c r="E7622" s="2" t="s">
        <v>19</v>
      </c>
    </row>
    <row r="7623" spans="1:5" x14ac:dyDescent="0.2">
      <c r="A7623">
        <f t="shared" si="123"/>
        <v>7562</v>
      </c>
      <c r="B7623" s="1832">
        <f>'Cap Outlay Deprec 26'!L14</f>
        <v>2383</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529075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5300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10829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16129</v>
      </c>
      <c r="D7719" s="2" t="str">
        <f t="shared" si="126"/>
        <v>Error?</v>
      </c>
      <c r="E7719" s="2" t="s">
        <v>822</v>
      </c>
    </row>
    <row r="7720" spans="1:6" x14ac:dyDescent="0.2">
      <c r="A7720">
        <v>7659</v>
      </c>
      <c r="B7720" s="1832">
        <f>'Rest Tax Levies-Tort Im 25'!H14</f>
        <v>631607</v>
      </c>
      <c r="D7720" s="2" t="str">
        <f t="shared" si="126"/>
        <v>Error?</v>
      </c>
      <c r="E7720" s="2" t="s">
        <v>822</v>
      </c>
    </row>
    <row r="7721" spans="1:6" x14ac:dyDescent="0.2">
      <c r="A7721">
        <v>7660</v>
      </c>
      <c r="B7721" s="1832">
        <f>'Rest Tax Levies-Tort Im 25'!K14</f>
        <v>16129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16129</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9455000</v>
      </c>
      <c r="D7817" s="2" t="str">
        <f t="shared" si="128"/>
        <v>Error?</v>
      </c>
      <c r="E7817" s="4" t="s">
        <v>1966</v>
      </c>
    </row>
    <row r="7818" spans="1:5" x14ac:dyDescent="0.2">
      <c r="A7818">
        <v>7757</v>
      </c>
      <c r="B7818" s="1832">
        <f>'PCTC-OEPP 27-28'!F172</f>
        <v>296458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-198771</v>
      </c>
      <c r="D7820" s="2" t="str">
        <f t="shared" si="128"/>
        <v>Error?</v>
      </c>
    </row>
    <row r="7821" spans="1:5" x14ac:dyDescent="0.2">
      <c r="A7821">
        <v>7760</v>
      </c>
      <c r="B7821" s="1832">
        <f>'ICR Computation 30'!G40</f>
        <v>-198771</v>
      </c>
      <c r="D7821" s="2" t="str">
        <f t="shared" si="128"/>
        <v>Error?</v>
      </c>
    </row>
    <row r="7822" spans="1:5" x14ac:dyDescent="0.2">
      <c r="A7822" s="1">
        <v>7761</v>
      </c>
      <c r="B7822" s="1832">
        <f>'PCTC-OEPP 27-28'!F14</f>
        <v>11005988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192288</v>
      </c>
      <c r="D7826" s="2" t="str">
        <f t="shared" si="129"/>
        <v>Error?</v>
      </c>
      <c r="E7826" s="4" t="s">
        <v>1998</v>
      </c>
    </row>
    <row r="7827" spans="1:5" x14ac:dyDescent="0.2">
      <c r="A7827">
        <v>7766</v>
      </c>
      <c r="B7827" s="1832">
        <f>'PCTC-OEPP 27-28'!F35</f>
        <v>33682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1809619</v>
      </c>
      <c r="D7834" s="2" t="str">
        <f t="shared" si="129"/>
        <v>Error?</v>
      </c>
      <c r="E7834" s="4" t="s">
        <v>1998</v>
      </c>
    </row>
    <row r="7835" spans="1:5" x14ac:dyDescent="0.2">
      <c r="A7835">
        <v>7774</v>
      </c>
      <c r="B7835" s="1832">
        <f>'PCTC-OEPP 27-28'!F78</f>
        <v>9196369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9344.953764861295</v>
      </c>
      <c r="D7837" s="2" t="str">
        <f t="shared" si="129"/>
        <v>Error?</v>
      </c>
      <c r="E7837" s="4" t="s">
        <v>1998</v>
      </c>
    </row>
    <row r="7838" spans="1:5" x14ac:dyDescent="0.2">
      <c r="A7838">
        <v>7777</v>
      </c>
      <c r="B7838" s="1832">
        <f>'PCTC-OEPP 27-28'!F96</f>
        <v>59836</v>
      </c>
      <c r="D7838" s="2" t="str">
        <f t="shared" si="129"/>
        <v>Error?</v>
      </c>
      <c r="E7838" s="4" t="s">
        <v>1998</v>
      </c>
    </row>
    <row r="7839" spans="1:5" x14ac:dyDescent="0.2">
      <c r="A7839">
        <v>7778</v>
      </c>
      <c r="B7839" s="1832">
        <f>'PCTC-OEPP 27-28'!F102</f>
        <v>319</v>
      </c>
      <c r="D7839" s="2" t="str">
        <f t="shared" si="129"/>
        <v>Error?</v>
      </c>
      <c r="E7839" s="4" t="s">
        <v>1998</v>
      </c>
    </row>
    <row r="7840" spans="1:5" x14ac:dyDescent="0.2">
      <c r="A7840">
        <v>7779</v>
      </c>
      <c r="B7840" s="1832">
        <f>'PCTC-OEPP 27-28'!F103</f>
        <v>5290</v>
      </c>
      <c r="D7840" s="2" t="str">
        <f t="shared" si="129"/>
        <v>Error?</v>
      </c>
      <c r="E7840" s="4" t="s">
        <v>1998</v>
      </c>
    </row>
    <row r="7841" spans="1:5" x14ac:dyDescent="0.2">
      <c r="A7841">
        <v>7780</v>
      </c>
      <c r="B7841" s="1832">
        <f>'PCTC-OEPP 27-28'!F104</f>
        <v>5595</v>
      </c>
      <c r="D7841" s="2" t="str">
        <f t="shared" si="129"/>
        <v>Error?</v>
      </c>
      <c r="E7841" s="4" t="s">
        <v>1998</v>
      </c>
    </row>
    <row r="7842" spans="1:5" x14ac:dyDescent="0.2">
      <c r="A7842">
        <v>7781</v>
      </c>
      <c r="B7842" s="1832">
        <f>'PCTC-OEPP 27-28'!F106</f>
        <v>120879</v>
      </c>
      <c r="D7842" s="2" t="str">
        <f t="shared" si="129"/>
        <v>Error?</v>
      </c>
      <c r="E7842" s="4" t="s">
        <v>1998</v>
      </c>
    </row>
    <row r="7843" spans="1:5" x14ac:dyDescent="0.2">
      <c r="A7843">
        <v>7782</v>
      </c>
      <c r="B7843" s="1832">
        <f>'PCTC-OEPP 27-28'!F107</f>
        <v>21844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10829</v>
      </c>
      <c r="D7846" s="2" t="str">
        <f t="shared" si="129"/>
        <v>Error?</v>
      </c>
      <c r="E7846" s="4" t="s">
        <v>1998</v>
      </c>
    </row>
    <row r="7847" spans="1:5" x14ac:dyDescent="0.2">
      <c r="A7847">
        <v>7786</v>
      </c>
      <c r="B7847" s="1832">
        <f>'PCTC-OEPP 27-28'!F112</f>
        <v>275048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4880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60013</v>
      </c>
      <c r="D7858" s="2" t="str">
        <f t="shared" si="129"/>
        <v>Error?</v>
      </c>
      <c r="E7858" s="4" t="s">
        <v>1998</v>
      </c>
    </row>
    <row r="7859" spans="1:5" x14ac:dyDescent="0.2">
      <c r="A7859">
        <v>7798</v>
      </c>
      <c r="B7859" s="1832">
        <f>'PCTC-OEPP 27-28'!F127</f>
        <v>42976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110420</v>
      </c>
      <c r="D7861" s="2" t="str">
        <f t="shared" si="129"/>
        <v>Error?</v>
      </c>
      <c r="E7861" s="4" t="s">
        <v>1998</v>
      </c>
    </row>
    <row r="7862" spans="1:5" x14ac:dyDescent="0.2">
      <c r="A7862">
        <v>7801</v>
      </c>
      <c r="B7862" s="1832">
        <f>'PCTC-OEPP 27-28'!F130</f>
        <v>12311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9498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8090</v>
      </c>
      <c r="D7874" s="2" t="str">
        <f t="shared" si="129"/>
        <v>Error?</v>
      </c>
      <c r="E7874" s="4" t="s">
        <v>1998</v>
      </c>
    </row>
    <row r="7875" spans="1:5" x14ac:dyDescent="0.2">
      <c r="A7875">
        <v>7814</v>
      </c>
      <c r="B7875" s="1832">
        <f>'PCTC-OEPP 27-28'!F170</f>
        <v>48116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1514541</v>
      </c>
      <c r="D7877" s="2" t="str">
        <f t="shared" si="129"/>
        <v>Error?</v>
      </c>
      <c r="E7877" s="4" t="s">
        <v>1998</v>
      </c>
    </row>
    <row r="7878" spans="1:5" x14ac:dyDescent="0.2">
      <c r="A7878">
        <v>7817</v>
      </c>
      <c r="B7878" s="1832">
        <f>'PCTC-OEPP 27-28'!F176</f>
        <v>7681828</v>
      </c>
      <c r="D7878" s="2" t="str">
        <f t="shared" si="129"/>
        <v>Error?</v>
      </c>
      <c r="E7878" s="4" t="s">
        <v>1998</v>
      </c>
    </row>
    <row r="7879" spans="1:5" x14ac:dyDescent="0.2">
      <c r="A7879">
        <v>7818</v>
      </c>
      <c r="B7879" s="1832">
        <f>'PCTC-OEPP 27-28'!F178</f>
        <v>8210903</v>
      </c>
      <c r="D7879" s="2" t="str">
        <f t="shared" si="129"/>
        <v>Error?</v>
      </c>
      <c r="E7879" s="4" t="s">
        <v>1998</v>
      </c>
    </row>
    <row r="7880" spans="1:5" x14ac:dyDescent="0.2">
      <c r="A7880">
        <v>7819</v>
      </c>
      <c r="B7880" s="1832">
        <f>'PCTC-OEPP 27-28'!F180</f>
        <v>8343.5656945432365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1181</v>
      </c>
      <c r="B2" s="2547"/>
      <c r="C2" s="2547"/>
      <c r="D2" s="2547"/>
      <c r="E2" s="2547"/>
      <c r="F2" s="2547"/>
      <c r="G2" s="2547"/>
      <c r="H2" s="2547"/>
      <c r="I2" s="2547"/>
      <c r="J2" s="2547"/>
      <c r="K2" s="2547"/>
      <c r="L2" s="2547"/>
    </row>
    <row r="3" spans="1:29" ht="13.5" customHeight="1" x14ac:dyDescent="0.2">
      <c r="A3" s="2533" t="s">
        <v>1180</v>
      </c>
      <c r="B3" s="2533"/>
      <c r="C3" s="2533"/>
      <c r="D3" s="2533"/>
      <c r="E3" s="2533"/>
      <c r="F3" s="2533"/>
      <c r="G3" s="2533"/>
      <c r="H3" s="2533"/>
      <c r="I3" s="2533"/>
      <c r="J3" s="2533"/>
      <c r="K3" s="2533"/>
      <c r="L3" s="2533"/>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7" t="str">
        <f>COVER!A17</f>
        <v xml:space="preserve"> Tremont CUSD 702</v>
      </c>
      <c r="B7" s="2528"/>
      <c r="C7" s="2528"/>
      <c r="D7" s="2566"/>
      <c r="E7" s="2567">
        <f>COVER!A13</f>
        <v>53090702026</v>
      </c>
      <c r="F7" s="2568"/>
      <c r="G7" s="2534">
        <f>COVER!T23</f>
        <v>65.027017999999998</v>
      </c>
      <c r="H7" s="2535"/>
      <c r="I7" s="2535"/>
      <c r="J7" s="2535"/>
      <c r="K7" s="2535"/>
      <c r="L7" s="25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7"/>
      <c r="B9" s="2538"/>
      <c r="C9" s="2538"/>
      <c r="D9" s="2538"/>
      <c r="E9" s="2538"/>
      <c r="F9" s="2539"/>
      <c r="G9" s="2540" t="str">
        <f>COVER!T13</f>
        <v>Koch Consultants, Ltd.</v>
      </c>
      <c r="H9" s="2541"/>
      <c r="I9" s="2541"/>
      <c r="J9" s="2541"/>
      <c r="K9" s="2541"/>
      <c r="L9" s="2542"/>
    </row>
    <row r="10" spans="1:29" ht="13.5" customHeight="1" x14ac:dyDescent="0.2">
      <c r="A10" s="2524" t="str">
        <f>COVER!A38</f>
        <v>Sean Berry</v>
      </c>
      <c r="B10" s="2525"/>
      <c r="C10" s="2525"/>
      <c r="D10" s="2525"/>
      <c r="E10" s="2525"/>
      <c r="F10" s="2526"/>
      <c r="G10" s="2540" t="str">
        <f>COVER!T17</f>
        <v>PO Box 1400</v>
      </c>
      <c r="H10" s="2553"/>
      <c r="I10" s="2553"/>
      <c r="J10" s="2553"/>
      <c r="K10" s="2553"/>
      <c r="L10" s="2554"/>
    </row>
    <row r="11" spans="1:29" ht="13.5" customHeight="1" x14ac:dyDescent="0.2">
      <c r="A11" s="963" t="s">
        <v>1502</v>
      </c>
      <c r="B11" s="964"/>
      <c r="C11" s="965"/>
      <c r="D11" s="970"/>
      <c r="E11" s="965"/>
      <c r="F11" s="969"/>
      <c r="G11" s="2540" t="str">
        <f>COVER!T19</f>
        <v>Tremont</v>
      </c>
      <c r="H11" s="2553"/>
      <c r="I11" s="2553"/>
      <c r="J11" s="2553"/>
      <c r="K11" s="2553"/>
      <c r="L11" s="2554"/>
    </row>
    <row r="12" spans="1:29" ht="13.5" customHeight="1" x14ac:dyDescent="0.2">
      <c r="A12" s="2558" t="s">
        <v>1501</v>
      </c>
      <c r="B12" s="2559"/>
      <c r="C12" s="2559"/>
      <c r="D12" s="2559"/>
      <c r="E12" s="2559"/>
      <c r="F12" s="2560"/>
      <c r="G12" s="2555"/>
      <c r="H12" s="2556"/>
      <c r="I12" s="2556"/>
      <c r="J12" s="2556"/>
      <c r="K12" s="2556"/>
      <c r="L12" s="2557"/>
    </row>
    <row r="13" spans="1:29" ht="13.5" customHeight="1" x14ac:dyDescent="0.2">
      <c r="A13" s="2540"/>
      <c r="B13" s="2553"/>
      <c r="C13" s="2553"/>
      <c r="D13" s="2553"/>
      <c r="E13" s="2553"/>
      <c r="F13" s="2554"/>
      <c r="G13" s="2548" t="s">
        <v>1503</v>
      </c>
      <c r="H13" s="2549"/>
      <c r="I13" s="2561" t="str">
        <f>COVER!T25</f>
        <v>nate@kochconsultants.com</v>
      </c>
      <c r="J13" s="2562"/>
      <c r="K13" s="2562"/>
      <c r="L13" s="2563"/>
    </row>
    <row r="14" spans="1:29" ht="13.5" customHeight="1" x14ac:dyDescent="0.2">
      <c r="A14" s="2540" t="str">
        <f>COVER!A19</f>
        <v>400 W. Pearl</v>
      </c>
      <c r="B14" s="2553"/>
      <c r="C14" s="2553"/>
      <c r="D14" s="2553"/>
      <c r="E14" s="2553"/>
      <c r="F14" s="2554"/>
      <c r="G14" s="974" t="s">
        <v>1175</v>
      </c>
      <c r="H14" s="972"/>
      <c r="I14" s="972"/>
      <c r="J14" s="972"/>
      <c r="K14" s="972"/>
      <c r="L14" s="973"/>
    </row>
    <row r="15" spans="1:29" ht="13.5" customHeight="1" x14ac:dyDescent="0.2">
      <c r="A15" s="2540" t="str">
        <f>COVER!A21</f>
        <v>Tremont</v>
      </c>
      <c r="B15" s="2553"/>
      <c r="C15" s="2553"/>
      <c r="D15" s="2553"/>
      <c r="E15" s="2553"/>
      <c r="F15" s="2554"/>
      <c r="G15" s="2550" t="str">
        <f>COVER!T15</f>
        <v>Nathan D. Koch</v>
      </c>
      <c r="H15" s="2551"/>
      <c r="I15" s="2551"/>
      <c r="J15" s="2551"/>
      <c r="K15" s="2551"/>
      <c r="L15" s="2552"/>
    </row>
    <row r="16" spans="1:29" ht="12.2" customHeight="1" x14ac:dyDescent="0.2">
      <c r="A16" s="2530">
        <f>COVER!A25</f>
        <v>61568</v>
      </c>
      <c r="B16" s="2531"/>
      <c r="C16" s="2531"/>
      <c r="D16" s="2531"/>
      <c r="E16" s="2531"/>
      <c r="F16" s="2532"/>
      <c r="G16" s="2543"/>
      <c r="H16" s="2544"/>
      <c r="I16" s="2544"/>
      <c r="J16" s="2544"/>
      <c r="K16" s="2544"/>
      <c r="L16" s="2545"/>
    </row>
    <row r="17" spans="1:13" ht="12.2" customHeight="1" x14ac:dyDescent="0.2">
      <c r="A17" s="2546"/>
      <c r="B17" s="2531"/>
      <c r="C17" s="2531"/>
      <c r="D17" s="2531"/>
      <c r="E17" s="2531"/>
      <c r="F17" s="2532"/>
      <c r="G17" s="974" t="s">
        <v>1174</v>
      </c>
      <c r="H17" s="972"/>
      <c r="I17" s="972"/>
      <c r="J17" s="972"/>
      <c r="K17" s="976" t="s">
        <v>1173</v>
      </c>
      <c r="L17" s="969"/>
      <c r="M17" s="962"/>
    </row>
    <row r="18" spans="1:13" ht="12.2" customHeight="1" x14ac:dyDescent="0.2">
      <c r="A18" s="2524"/>
      <c r="B18" s="2525"/>
      <c r="C18" s="2525"/>
      <c r="D18" s="2525"/>
      <c r="E18" s="2525"/>
      <c r="F18" s="2526"/>
      <c r="G18" s="2527" t="str">
        <f>COVER!T21</f>
        <v>309-267-3796</v>
      </c>
      <c r="H18" s="2528"/>
      <c r="I18" s="2528"/>
      <c r="J18" s="2528"/>
      <c r="K18" s="2527" t="str">
        <f>COVER!X21</f>
        <v>309-216-3796</v>
      </c>
      <c r="L18" s="25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Tremont CUSD 702</v>
      </c>
      <c r="B1" s="2570"/>
      <c r="C1" s="2570"/>
      <c r="D1" s="2570"/>
    </row>
    <row r="2" spans="1:11" s="991" customFormat="1" ht="12.75" x14ac:dyDescent="0.2">
      <c r="A2" s="2571">
        <f>'Single Audit Cover'!E7</f>
        <v>53090702026</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Tremont CUSD 702</v>
      </c>
      <c r="B1" s="2574"/>
      <c r="C1" s="2574"/>
      <c r="D1" s="2574"/>
      <c r="E1" s="2574"/>
    </row>
    <row r="2" spans="1:5" x14ac:dyDescent="0.2">
      <c r="A2" s="2575">
        <f>'Single Audit Cover'!E7</f>
        <v>53090702026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291424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22092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-48116</v>
      </c>
    </row>
    <row r="19" spans="1:4" ht="13.5" thickBot="1" x14ac:dyDescent="0.25">
      <c r="A19" s="1041" t="s">
        <v>1224</v>
      </c>
      <c r="D19" s="1042">
        <f>SUM(D10:D17)</f>
        <v>265400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265400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0</v>
      </c>
    </row>
    <row r="49" spans="2:4" x14ac:dyDescent="0.2">
      <c r="B49" s="1048" t="s">
        <v>1215</v>
      </c>
      <c r="C49" s="1048"/>
      <c r="D49" s="1049">
        <f>D32-D47</f>
        <v>265400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3" t="str">
        <f>'Single Audit Cover'!A7</f>
        <v xml:space="preserve"> Tremont CUSD 702</v>
      </c>
      <c r="C1" s="2578"/>
      <c r="D1" s="2578"/>
      <c r="E1" s="2578"/>
      <c r="F1" s="2578"/>
      <c r="G1" s="2578"/>
      <c r="H1" s="2578"/>
      <c r="I1" s="2578"/>
      <c r="J1" s="2578"/>
      <c r="K1" s="2578"/>
      <c r="L1" s="2578"/>
      <c r="M1" s="2578"/>
    </row>
    <row r="2" spans="2:14" ht="15" x14ac:dyDescent="0.2">
      <c r="B2" s="2579">
        <f>'Single Audit Cover'!E7</f>
        <v>53090702026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R26" sqref="R2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Tremont CUSD 702</v>
      </c>
      <c r="B1" s="2583"/>
      <c r="C1" s="2583"/>
      <c r="D1" s="2583"/>
      <c r="E1" s="2583"/>
      <c r="F1" s="2583"/>
    </row>
    <row r="2" spans="1:7" ht="13.5" customHeight="1" x14ac:dyDescent="0.2">
      <c r="A2" s="2579">
        <f>'Single Audit Cover'!E7</f>
        <v>53090702026</v>
      </c>
      <c r="B2" s="2579"/>
      <c r="C2" s="2579"/>
      <c r="D2" s="2579"/>
      <c r="E2" s="2579"/>
      <c r="F2" s="2579"/>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1706</v>
      </c>
      <c r="B7" s="2582"/>
      <c r="C7" s="2582"/>
      <c r="D7" s="2582"/>
      <c r="E7" s="2582"/>
      <c r="F7" s="258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1708</v>
      </c>
      <c r="B13" s="2582"/>
      <c r="C13" s="2582"/>
      <c r="D13" s="2582"/>
      <c r="E13" s="2582"/>
      <c r="F13" s="2582"/>
    </row>
    <row r="14" spans="1:7" ht="9.75" customHeight="1" x14ac:dyDescent="0.2">
      <c r="C14" s="1036"/>
      <c r="D14" s="1036"/>
    </row>
    <row r="15" spans="1:7" ht="13.5" customHeight="1" x14ac:dyDescent="0.2">
      <c r="C15" s="1476" t="s">
        <v>1259</v>
      </c>
      <c r="D15" s="2587" t="s">
        <v>1258</v>
      </c>
      <c r="E15" s="2587"/>
      <c r="F15" s="2587"/>
    </row>
    <row r="16" spans="1:7" ht="13.5" customHeight="1" x14ac:dyDescent="0.2">
      <c r="A16" s="1058"/>
      <c r="B16" s="1052" t="s">
        <v>1257</v>
      </c>
      <c r="C16" s="1476" t="s">
        <v>1256</v>
      </c>
      <c r="D16" s="2588" t="s">
        <v>1571</v>
      </c>
      <c r="E16" s="2588"/>
      <c r="F16" s="2588"/>
    </row>
    <row r="17" spans="1:6" ht="20.45" customHeight="1" x14ac:dyDescent="0.2">
      <c r="A17" s="1059"/>
      <c r="B17" s="1060"/>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0" t="s">
        <v>1709</v>
      </c>
      <c r="B32" s="2590"/>
      <c r="C32" s="2590"/>
      <c r="D32" s="2590"/>
      <c r="E32" s="2590"/>
      <c r="F32" s="259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1">
        <f>+C33+C34</f>
        <v>0</v>
      </c>
      <c r="F34" s="259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3" t="s">
        <v>1573</v>
      </c>
      <c r="C49" s="2593"/>
      <c r="D49" s="2593"/>
      <c r="E49" s="1168"/>
    </row>
    <row r="50" spans="1:5" s="1076" customFormat="1" ht="3.75" customHeight="1" x14ac:dyDescent="0.2">
      <c r="A50" s="1075"/>
      <c r="B50" s="1475"/>
      <c r="C50" s="1475"/>
      <c r="D50" s="1475"/>
      <c r="E50" s="1168"/>
    </row>
    <row r="51" spans="1:5" s="1076" customFormat="1" ht="20.25" customHeight="1" x14ac:dyDescent="0.2">
      <c r="A51" s="1077">
        <v>6</v>
      </c>
      <c r="B51" s="2589" t="s">
        <v>1534</v>
      </c>
      <c r="C51" s="2589"/>
      <c r="D51" s="2589"/>
    </row>
    <row r="52" spans="1:5" ht="14.25" customHeight="1" x14ac:dyDescent="0.2">
      <c r="A52" s="1077"/>
      <c r="B52" s="2589"/>
      <c r="C52" s="2589"/>
      <c r="D52" s="258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H114" sqref="H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t="s">
        <v>2066</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t="s">
        <v>2067</v>
      </c>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1989</v>
      </c>
      <c r="B85" s="2196"/>
      <c r="C85" s="2196"/>
      <c r="D85" s="2197"/>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8" t="s">
        <v>1989</v>
      </c>
      <c r="B88" s="2199"/>
      <c r="C88" s="2199"/>
      <c r="D88" s="2200"/>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2055</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0.8554687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Tremont CUSD 702</v>
      </c>
      <c r="C1" s="2599"/>
      <c r="D1" s="2599"/>
      <c r="E1" s="2599"/>
      <c r="F1" s="2599"/>
      <c r="G1" s="2599"/>
      <c r="H1" s="2599"/>
      <c r="I1" s="2599"/>
      <c r="J1" s="1178"/>
    </row>
    <row r="2" spans="2:10" s="295" customFormat="1" ht="12.75" customHeight="1" x14ac:dyDescent="0.2">
      <c r="B2" s="2600">
        <f>'Single Audit Cover'!E7</f>
        <v>53090702026</v>
      </c>
      <c r="C2" s="2601"/>
      <c r="D2" s="2601"/>
      <c r="E2" s="2601"/>
      <c r="F2" s="2601"/>
      <c r="G2" s="2601"/>
      <c r="H2" s="2601"/>
      <c r="I2" s="2601"/>
      <c r="J2" s="1178"/>
    </row>
    <row r="3" spans="2:10" s="295" customFormat="1" ht="12.75" customHeight="1" x14ac:dyDescent="0.2">
      <c r="B3" s="2602" t="s">
        <v>1274</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1273</v>
      </c>
      <c r="C7" s="2603"/>
      <c r="D7" s="2603"/>
      <c r="E7" s="2603"/>
      <c r="F7" s="2603"/>
      <c r="G7" s="2603"/>
      <c r="H7" s="2603"/>
      <c r="I7" s="260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4"/>
      <c r="D11" s="260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5"/>
      <c r="E29" s="2605"/>
      <c r="F29" s="2605"/>
      <c r="G29" s="2605"/>
      <c r="H29" s="2605"/>
      <c r="I29" s="260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6" t="s">
        <v>1728</v>
      </c>
      <c r="D37" s="2607"/>
      <c r="E37" s="2607"/>
      <c r="F37" s="2608"/>
      <c r="G37" s="2606" t="s">
        <v>1575</v>
      </c>
      <c r="H37" s="2607"/>
      <c r="I37" s="2608"/>
    </row>
    <row r="38" spans="2:9" ht="16.5" customHeight="1" x14ac:dyDescent="0.2">
      <c r="B38" s="1200"/>
      <c r="C38" s="2594"/>
      <c r="D38" s="2595"/>
      <c r="E38" s="2595"/>
      <c r="F38" s="2596"/>
      <c r="G38" s="2609"/>
      <c r="H38" s="2610"/>
      <c r="I38" s="2611"/>
    </row>
    <row r="39" spans="2:9" ht="16.5" customHeight="1" x14ac:dyDescent="0.2">
      <c r="B39" s="1200"/>
      <c r="C39" s="2594"/>
      <c r="D39" s="2595"/>
      <c r="E39" s="2595"/>
      <c r="F39" s="2596"/>
      <c r="G39" s="2597"/>
      <c r="H39" s="2597"/>
      <c r="I39" s="2597"/>
    </row>
    <row r="40" spans="2:9" ht="16.5" customHeight="1" x14ac:dyDescent="0.2">
      <c r="B40" s="1200"/>
      <c r="C40" s="2594"/>
      <c r="D40" s="2595"/>
      <c r="E40" s="2595"/>
      <c r="F40" s="2596"/>
      <c r="G40" s="2597"/>
      <c r="H40" s="2597"/>
      <c r="I40" s="2597"/>
    </row>
    <row r="41" spans="2:9" ht="16.5" customHeight="1" x14ac:dyDescent="0.2">
      <c r="B41" s="1200"/>
      <c r="C41" s="2594"/>
      <c r="D41" s="2595"/>
      <c r="E41" s="2595"/>
      <c r="F41" s="2596"/>
      <c r="G41" s="2597"/>
      <c r="H41" s="2597"/>
      <c r="I41" s="2597"/>
    </row>
    <row r="42" spans="2:9" ht="16.5" customHeight="1" x14ac:dyDescent="0.2">
      <c r="B42" s="1200"/>
      <c r="C42" s="2594"/>
      <c r="D42" s="2595"/>
      <c r="E42" s="2595"/>
      <c r="F42" s="2596"/>
      <c r="G42" s="2597"/>
      <c r="H42" s="2597"/>
      <c r="I42" s="2597"/>
    </row>
    <row r="43" spans="2:9" ht="16.5" customHeight="1" x14ac:dyDescent="0.2">
      <c r="B43" s="1200"/>
      <c r="C43" s="2612" t="s">
        <v>1576</v>
      </c>
      <c r="D43" s="2613"/>
      <c r="E43" s="2613"/>
      <c r="F43" s="2614"/>
      <c r="G43" s="2615">
        <f>SUM(G38:I42)</f>
        <v>0</v>
      </c>
      <c r="H43" s="2615"/>
      <c r="I43" s="2615"/>
    </row>
    <row r="44" spans="2:9" ht="12.75" customHeight="1" x14ac:dyDescent="0.2"/>
    <row r="45" spans="2:9" ht="12.75" customHeight="1" x14ac:dyDescent="0.2">
      <c r="B45" s="1916" t="str">
        <f>"Total Federal Expenditures for 7/1/"&amp;MID('AFR20'!E2,3,2)-1&amp;"-6/30/"&amp;MID('AFR20'!E2,3,2)</f>
        <v>Total Federal Expenditures for 7/1/19-6/30/20</v>
      </c>
      <c r="C45" s="1917"/>
      <c r="D45" s="2616">
        <v>0</v>
      </c>
      <c r="E45" s="261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8"/>
      <c r="F49" s="2618"/>
      <c r="G49" s="261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 sqref="A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0.7109375" style="295" customWidth="1"/>
    <col min="13" max="13" width="3.42578125" style="295" customWidth="1"/>
    <col min="14" max="16384" width="9.140625" style="295"/>
  </cols>
  <sheetData>
    <row r="1" spans="1:13" ht="11.1" customHeight="1" x14ac:dyDescent="0.2">
      <c r="B1" s="2598" t="str">
        <f>'Single Audit Cover'!A7</f>
        <v xml:space="preserve"> Tremont CUSD 702</v>
      </c>
      <c r="C1" s="2598"/>
      <c r="D1" s="2598"/>
      <c r="E1" s="2598"/>
      <c r="F1" s="2598"/>
      <c r="G1" s="2598"/>
      <c r="H1" s="2598"/>
      <c r="I1" s="2598"/>
      <c r="J1" s="2598"/>
      <c r="K1" s="2598"/>
      <c r="L1" s="1144"/>
      <c r="M1" s="1144"/>
    </row>
    <row r="2" spans="1:13" ht="12" customHeight="1" x14ac:dyDescent="0.2">
      <c r="B2" s="2600">
        <f>'Single Audit Cover'!E7</f>
        <v>53090702026</v>
      </c>
      <c r="C2" s="2600"/>
      <c r="D2" s="2600"/>
      <c r="E2" s="2600"/>
      <c r="F2" s="2600"/>
      <c r="G2" s="2600"/>
      <c r="H2" s="2600"/>
      <c r="I2" s="2600"/>
      <c r="J2" s="2600"/>
      <c r="K2" s="2600"/>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25.15" customHeight="1" x14ac:dyDescent="0.2">
      <c r="B14" s="2620" t="s">
        <v>2094</v>
      </c>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82.15" customHeight="1" x14ac:dyDescent="0.2">
      <c r="B17" s="2620" t="s">
        <v>2096</v>
      </c>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4" t="s">
        <v>2093</v>
      </c>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39" customHeight="1" x14ac:dyDescent="0.2">
      <c r="B23" s="2620" t="s">
        <v>2095</v>
      </c>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0" t="s">
        <v>2097</v>
      </c>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61.15" customHeight="1" x14ac:dyDescent="0.2">
      <c r="B29" s="2619" t="s">
        <v>2098</v>
      </c>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92.25" customHeight="1" x14ac:dyDescent="0.2">
      <c r="B32" s="2619" t="s">
        <v>2113</v>
      </c>
      <c r="C32" s="2619"/>
      <c r="D32" s="2620"/>
      <c r="E32" s="2620"/>
      <c r="F32" s="2620"/>
      <c r="G32" s="2620"/>
      <c r="H32" s="2620"/>
      <c r="I32" s="2620"/>
      <c r="J32" s="2620"/>
      <c r="K32" s="2620"/>
      <c r="L32" s="1151"/>
    </row>
    <row r="33" spans="1:13" s="300" customFormat="1" ht="0.75" customHeight="1" x14ac:dyDescent="0.2">
      <c r="B33" s="1171"/>
      <c r="C33" s="1171"/>
      <c r="G33" s="1153"/>
      <c r="I33" s="1153"/>
      <c r="L33" s="1151"/>
    </row>
    <row r="34" spans="1:13" s="300" customFormat="1" ht="3" customHeigh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80AF-8AAA-4E47-BE90-B5B6A0D66D55}">
  <dimension ref="A1:M46"/>
  <sheetViews>
    <sheetView showGridLines="0" topLeftCell="A31" zoomScale="110" zoomScaleNormal="110" workbookViewId="0">
      <selection activeCell="B34" sqref="B34:K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0.7109375" style="295" customWidth="1"/>
    <col min="13" max="13" width="3.42578125" style="295" customWidth="1"/>
    <col min="14" max="16384" width="9.140625" style="295"/>
  </cols>
  <sheetData>
    <row r="1" spans="1:13" ht="11.1" customHeight="1" x14ac:dyDescent="0.2">
      <c r="B1" s="2598" t="str">
        <f>'Single Audit Cover'!A7</f>
        <v xml:space="preserve"> Tremont CUSD 702</v>
      </c>
      <c r="C1" s="2598"/>
      <c r="D1" s="2598"/>
      <c r="E1" s="2598"/>
      <c r="F1" s="2598"/>
      <c r="G1" s="2598"/>
      <c r="H1" s="2598"/>
      <c r="I1" s="2598"/>
      <c r="J1" s="2598"/>
      <c r="K1" s="2598"/>
      <c r="L1" s="1144"/>
      <c r="M1" s="1144"/>
    </row>
    <row r="2" spans="1:13" ht="12" customHeight="1" x14ac:dyDescent="0.2">
      <c r="B2" s="2600">
        <f>'Single Audit Cover'!E7</f>
        <v>53090702026</v>
      </c>
      <c r="C2" s="2600"/>
      <c r="D2" s="2600"/>
      <c r="E2" s="2600"/>
      <c r="F2" s="2600"/>
      <c r="G2" s="2600"/>
      <c r="H2" s="2600"/>
      <c r="I2" s="2600"/>
      <c r="J2" s="2600"/>
      <c r="K2" s="2600"/>
      <c r="L2" s="1145"/>
      <c r="M2" s="1146"/>
    </row>
    <row r="3" spans="1:13" ht="10.35" customHeight="1" x14ac:dyDescent="0.2">
      <c r="B3" s="2621" t="s">
        <v>1274</v>
      </c>
      <c r="C3" s="2621"/>
      <c r="D3" s="2621"/>
      <c r="E3" s="2621"/>
      <c r="F3" s="2621"/>
      <c r="G3" s="2621"/>
      <c r="H3" s="2621"/>
      <c r="I3" s="2621"/>
      <c r="J3" s="2621"/>
      <c r="K3" s="2621"/>
      <c r="L3" s="2040"/>
      <c r="M3" s="2040"/>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33.6" customHeight="1" x14ac:dyDescent="0.2">
      <c r="B14" s="2620" t="s">
        <v>2099</v>
      </c>
      <c r="C14" s="2620"/>
      <c r="D14" s="2620"/>
      <c r="E14" s="2620"/>
      <c r="F14" s="2620"/>
      <c r="G14" s="2620"/>
      <c r="H14" s="2620"/>
      <c r="I14" s="2620"/>
      <c r="J14" s="2620"/>
      <c r="K14" s="2620"/>
      <c r="L14" s="1166"/>
    </row>
    <row r="15" spans="1:13" ht="18" customHeight="1" x14ac:dyDescent="0.2">
      <c r="B15" s="2041"/>
      <c r="C15" s="2041"/>
      <c r="D15" s="2041"/>
      <c r="E15" s="2041"/>
      <c r="F15" s="2044" t="s">
        <v>2105</v>
      </c>
      <c r="G15" s="2041"/>
      <c r="H15" s="2041"/>
      <c r="I15" s="2041"/>
      <c r="J15" s="2044" t="s">
        <v>30</v>
      </c>
      <c r="K15" s="2041"/>
      <c r="L15" s="1166"/>
    </row>
    <row r="16" spans="1:13" x14ac:dyDescent="0.2">
      <c r="B16" s="2041" t="s">
        <v>64</v>
      </c>
      <c r="C16" s="2041"/>
      <c r="D16" s="2041"/>
      <c r="E16" s="2041"/>
      <c r="F16" s="2042">
        <v>8377018</v>
      </c>
      <c r="G16" s="2041"/>
      <c r="H16" s="2041"/>
      <c r="I16" s="2041"/>
      <c r="J16" s="2042">
        <v>8051068</v>
      </c>
      <c r="K16" s="2041"/>
      <c r="L16" s="1166"/>
    </row>
    <row r="17" spans="2:12" x14ac:dyDescent="0.2">
      <c r="B17" s="2041" t="s">
        <v>338</v>
      </c>
      <c r="C17" s="2041"/>
      <c r="D17" s="2041"/>
      <c r="E17" s="2041"/>
      <c r="F17" s="2043">
        <v>518773</v>
      </c>
      <c r="G17" s="2041"/>
      <c r="H17" s="2041"/>
      <c r="I17" s="2041"/>
      <c r="J17" s="2043">
        <v>512027</v>
      </c>
      <c r="K17" s="2041"/>
      <c r="L17" s="1166"/>
    </row>
    <row r="18" spans="2:12" x14ac:dyDescent="0.2">
      <c r="B18" s="2041" t="s">
        <v>2106</v>
      </c>
      <c r="C18" s="2041"/>
      <c r="D18" s="2041"/>
      <c r="E18" s="2041"/>
      <c r="F18" s="2043">
        <v>462825</v>
      </c>
      <c r="G18" s="2041"/>
      <c r="H18" s="2041"/>
      <c r="I18" s="2041"/>
      <c r="J18" s="2043">
        <v>452704</v>
      </c>
      <c r="K18" s="2041"/>
      <c r="L18" s="1166"/>
    </row>
    <row r="19" spans="2:12" x14ac:dyDescent="0.2">
      <c r="B19" s="2041"/>
      <c r="C19" s="2041"/>
      <c r="D19" s="2041"/>
      <c r="E19" s="2041"/>
      <c r="F19" s="2041"/>
      <c r="G19" s="2041"/>
      <c r="H19" s="2041"/>
      <c r="I19" s="2041"/>
      <c r="J19" s="2041"/>
      <c r="K19" s="2041"/>
      <c r="L19" s="1166"/>
    </row>
    <row r="20" spans="2:12" ht="4.5" customHeight="1" x14ac:dyDescent="0.2">
      <c r="B20" s="1167"/>
      <c r="C20" s="1167"/>
      <c r="D20" s="1168"/>
      <c r="E20" s="1168"/>
      <c r="F20" s="1168"/>
      <c r="H20" s="1168"/>
      <c r="J20" s="1168"/>
      <c r="K20" s="1168"/>
      <c r="L20" s="1166"/>
    </row>
    <row r="21" spans="2:12" s="1058" customFormat="1" ht="13.5" customHeight="1" x14ac:dyDescent="0.2">
      <c r="B21" s="1162" t="s">
        <v>1279</v>
      </c>
      <c r="C21" s="1162"/>
      <c r="D21" s="1163"/>
      <c r="E21" s="1163"/>
      <c r="F21" s="1163"/>
      <c r="G21" s="1164"/>
      <c r="H21" s="1163"/>
      <c r="I21" s="1164"/>
      <c r="J21" s="1163"/>
      <c r="K21" s="1163"/>
      <c r="L21" s="1165"/>
    </row>
    <row r="22" spans="2:12" ht="24" customHeight="1" x14ac:dyDescent="0.2">
      <c r="B22" s="2620" t="s">
        <v>2100</v>
      </c>
      <c r="C22" s="2620"/>
      <c r="D22" s="2620"/>
      <c r="E22" s="2620"/>
      <c r="F22" s="2620"/>
      <c r="G22" s="2620"/>
      <c r="H22" s="2620"/>
      <c r="I22" s="2620"/>
      <c r="J22" s="2620"/>
      <c r="K22" s="2620"/>
      <c r="L22" s="1151"/>
    </row>
    <row r="23" spans="2:12" ht="4.5" customHeight="1" x14ac:dyDescent="0.2">
      <c r="B23" s="1167"/>
      <c r="C23" s="1167"/>
      <c r="L23" s="1151"/>
    </row>
    <row r="24" spans="2:12" s="1058" customFormat="1" ht="13.5" customHeight="1" x14ac:dyDescent="0.2">
      <c r="B24" s="1162" t="s">
        <v>1720</v>
      </c>
      <c r="C24" s="1162"/>
      <c r="D24" s="1163"/>
      <c r="E24" s="1163"/>
      <c r="F24" s="1163"/>
      <c r="G24" s="1164"/>
      <c r="H24" s="1163"/>
      <c r="I24" s="1164"/>
      <c r="J24" s="1163"/>
      <c r="K24" s="1163"/>
      <c r="L24" s="1165"/>
    </row>
    <row r="25" spans="2:12" ht="20.45" customHeight="1" x14ac:dyDescent="0.2">
      <c r="B25" s="2624" t="s">
        <v>2101</v>
      </c>
      <c r="C25" s="2624"/>
      <c r="D25" s="2620"/>
      <c r="E25" s="2620"/>
      <c r="F25" s="2620"/>
      <c r="G25" s="2620"/>
      <c r="H25" s="2620"/>
      <c r="I25" s="2620"/>
      <c r="J25" s="2620"/>
      <c r="K25" s="2620"/>
      <c r="L25" s="1151"/>
    </row>
    <row r="26" spans="2:12" ht="4.5" customHeight="1" x14ac:dyDescent="0.2">
      <c r="B26" s="1169"/>
      <c r="C26" s="1169"/>
      <c r="L26" s="1151"/>
    </row>
    <row r="27" spans="2:12" ht="13.5" customHeight="1" x14ac:dyDescent="0.2">
      <c r="B27" s="1162" t="s">
        <v>1278</v>
      </c>
      <c r="C27" s="1162"/>
      <c r="D27" s="1149"/>
      <c r="E27" s="1149"/>
      <c r="F27" s="1149"/>
      <c r="G27" s="1150"/>
      <c r="H27" s="1149"/>
      <c r="I27" s="1150"/>
      <c r="J27" s="1149"/>
      <c r="K27" s="1149"/>
      <c r="L27" s="1151"/>
    </row>
    <row r="28" spans="2:12" ht="22.15" customHeight="1" x14ac:dyDescent="0.2">
      <c r="B28" s="2620" t="s">
        <v>2102</v>
      </c>
      <c r="C28" s="2620"/>
      <c r="D28" s="2620"/>
      <c r="E28" s="2620"/>
      <c r="F28" s="2620"/>
      <c r="G28" s="2620"/>
      <c r="H28" s="2620"/>
      <c r="I28" s="2620"/>
      <c r="J28" s="2620"/>
      <c r="K28" s="2620"/>
      <c r="L28" s="1151"/>
    </row>
    <row r="29" spans="2:12" ht="4.5" customHeight="1" x14ac:dyDescent="0.2">
      <c r="B29" s="1167"/>
      <c r="C29" s="1167"/>
      <c r="L29" s="1151"/>
    </row>
    <row r="30" spans="2:12" ht="13.5" customHeight="1" x14ac:dyDescent="0.2">
      <c r="B30" s="1162" t="s">
        <v>1277</v>
      </c>
      <c r="C30" s="1162"/>
      <c r="D30" s="1149"/>
      <c r="E30" s="1149"/>
      <c r="F30" s="1149"/>
      <c r="G30" s="1150"/>
      <c r="H30" s="1149"/>
      <c r="I30" s="1150"/>
      <c r="J30" s="1149"/>
      <c r="K30" s="1149"/>
      <c r="L30" s="1151"/>
    </row>
    <row r="31" spans="2:12" ht="34.15" customHeight="1" x14ac:dyDescent="0.2">
      <c r="B31" s="2620" t="s">
        <v>2103</v>
      </c>
      <c r="C31" s="2620"/>
      <c r="D31" s="2620"/>
      <c r="E31" s="2620"/>
      <c r="F31" s="2620"/>
      <c r="G31" s="2620"/>
      <c r="H31" s="2620"/>
      <c r="I31" s="2620"/>
      <c r="J31" s="2620"/>
      <c r="K31" s="2620"/>
      <c r="L31" s="1151"/>
    </row>
    <row r="32" spans="2:12" ht="4.5" customHeight="1" x14ac:dyDescent="0.2">
      <c r="B32" s="1167"/>
      <c r="C32" s="1167"/>
      <c r="L32" s="1151"/>
    </row>
    <row r="33" spans="1:13" ht="13.5" customHeight="1" x14ac:dyDescent="0.2">
      <c r="B33" s="1170" t="s">
        <v>1276</v>
      </c>
      <c r="C33" s="1170"/>
      <c r="D33" s="1149"/>
      <c r="E33" s="1149"/>
      <c r="F33" s="1149"/>
      <c r="G33" s="1150"/>
      <c r="H33" s="1149"/>
      <c r="I33" s="1150"/>
      <c r="J33" s="1149"/>
      <c r="K33" s="1149"/>
      <c r="L33" s="1151"/>
    </row>
    <row r="34" spans="1:13" ht="31.15" customHeight="1" x14ac:dyDescent="0.2">
      <c r="B34" s="2619" t="s">
        <v>2104</v>
      </c>
      <c r="C34" s="2619"/>
      <c r="D34" s="2620"/>
      <c r="E34" s="2620"/>
      <c r="F34" s="2620"/>
      <c r="G34" s="2620"/>
      <c r="H34" s="2620"/>
      <c r="I34" s="2620"/>
      <c r="J34" s="2620"/>
      <c r="K34" s="2620"/>
      <c r="L34" s="1151"/>
    </row>
    <row r="35" spans="1:13" ht="4.5" customHeight="1" x14ac:dyDescent="0.2">
      <c r="B35" s="1171"/>
      <c r="C35" s="1171"/>
      <c r="D35" s="300"/>
      <c r="E35" s="300"/>
      <c r="F35" s="300"/>
      <c r="G35" s="1153"/>
      <c r="H35" s="300"/>
      <c r="I35" s="1153"/>
      <c r="J35" s="300"/>
      <c r="K35" s="300"/>
      <c r="L35" s="1151"/>
    </row>
    <row r="36" spans="1:13" s="300" customFormat="1" ht="13.5" customHeight="1" x14ac:dyDescent="0.2">
      <c r="B36" s="1172" t="s">
        <v>1721</v>
      </c>
      <c r="C36" s="1172"/>
      <c r="D36" s="1148"/>
      <c r="E36" s="1149"/>
      <c r="F36" s="1149"/>
      <c r="G36" s="1150"/>
      <c r="H36" s="1149"/>
      <c r="I36" s="1150"/>
      <c r="J36" s="1149"/>
      <c r="K36" s="1149"/>
      <c r="L36" s="1151"/>
    </row>
    <row r="37" spans="1:13" s="300" customFormat="1" ht="42" customHeight="1" x14ac:dyDescent="0.2">
      <c r="B37" s="2619" t="s">
        <v>2114</v>
      </c>
      <c r="C37" s="2619"/>
      <c r="D37" s="2620"/>
      <c r="E37" s="2620"/>
      <c r="F37" s="2620"/>
      <c r="G37" s="2620"/>
      <c r="H37" s="2620"/>
      <c r="I37" s="2620"/>
      <c r="J37" s="2620"/>
      <c r="K37" s="2620"/>
      <c r="L37" s="1151"/>
    </row>
    <row r="38" spans="1:13" s="300" customFormat="1" ht="4.5" customHeight="1" x14ac:dyDescent="0.2">
      <c r="B38" s="1171"/>
      <c r="C38" s="1171"/>
      <c r="G38" s="1153"/>
      <c r="I38" s="1153"/>
      <c r="L38" s="1151"/>
    </row>
    <row r="39" spans="1:13" s="300" customFormat="1" x14ac:dyDescent="0.2">
      <c r="A39" s="1073"/>
      <c r="B39" s="1173"/>
      <c r="C39" s="1173"/>
      <c r="D39" s="1173"/>
      <c r="E39" s="1173"/>
      <c r="F39" s="1173"/>
      <c r="G39" s="1174"/>
      <c r="H39" s="1173"/>
      <c r="I39" s="1174"/>
      <c r="J39" s="1173"/>
      <c r="K39" s="1173"/>
      <c r="L39" s="1151"/>
    </row>
    <row r="40" spans="1:13" ht="11.85" customHeight="1" x14ac:dyDescent="0.2">
      <c r="B40" s="1175" t="s">
        <v>1722</v>
      </c>
      <c r="C40" s="1175"/>
      <c r="D40" s="300"/>
      <c r="E40" s="300"/>
      <c r="F40" s="300"/>
      <c r="L40" s="1151"/>
    </row>
    <row r="41" spans="1:13" ht="9.6" customHeight="1" x14ac:dyDescent="0.2">
      <c r="B41" s="1076" t="s">
        <v>1813</v>
      </c>
      <c r="C41" s="1076"/>
      <c r="L41" s="1151"/>
    </row>
    <row r="42" spans="1:13" ht="9.6" customHeight="1" x14ac:dyDescent="0.2">
      <c r="B42" s="1076" t="s">
        <v>1814</v>
      </c>
      <c r="C42" s="1076"/>
    </row>
    <row r="43" spans="1:13" ht="11.85" customHeight="1" x14ac:dyDescent="0.2">
      <c r="B43" s="1176" t="s">
        <v>1723</v>
      </c>
      <c r="C43" s="1176"/>
    </row>
    <row r="44" spans="1:13" ht="9.6" customHeight="1" x14ac:dyDescent="0.2">
      <c r="B44" s="1076" t="s">
        <v>1275</v>
      </c>
      <c r="C44" s="1076"/>
      <c r="M44" s="1177"/>
    </row>
    <row r="45" spans="1:13" ht="12.6" customHeight="1" x14ac:dyDescent="0.2">
      <c r="B45" s="1176" t="s">
        <v>1724</v>
      </c>
      <c r="C45" s="1176"/>
      <c r="M45" s="1177"/>
    </row>
    <row r="46" spans="1:13" ht="9.6" customHeight="1" x14ac:dyDescent="0.2">
      <c r="B46" s="1076"/>
      <c r="C46" s="1076"/>
      <c r="M46" s="1177"/>
    </row>
  </sheetData>
  <mergeCells count="12">
    <mergeCell ref="B37:K37"/>
    <mergeCell ref="B1:K1"/>
    <mergeCell ref="B2:K2"/>
    <mergeCell ref="B3:K3"/>
    <mergeCell ref="B4:K4"/>
    <mergeCell ref="B7:K7"/>
    <mergeCell ref="B14:K14"/>
    <mergeCell ref="B22:K22"/>
    <mergeCell ref="B25:K25"/>
    <mergeCell ref="B28:K28"/>
    <mergeCell ref="B31:K31"/>
    <mergeCell ref="B34:K34"/>
  </mergeCells>
  <pageMargins left="0.32" right="0.27" top="0.68" bottom="0.47" header="0.26" footer="0.31"/>
  <pageSetup firstPageNumber="41"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L1" sqref="L1:L104857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0.5703125" style="295" customWidth="1"/>
    <col min="13" max="13" width="3.42578125" style="295" customWidth="1"/>
    <col min="14" max="16384" width="9.140625" style="295"/>
  </cols>
  <sheetData>
    <row r="1" spans="1:12" ht="12.75" customHeight="1" x14ac:dyDescent="0.2">
      <c r="B1" s="2625" t="str">
        <f>'Single Audit Cover'!A7</f>
        <v xml:space="preserve"> Tremont CUSD 702</v>
      </c>
      <c r="C1" s="2625"/>
      <c r="D1" s="2625"/>
      <c r="E1" s="2625"/>
      <c r="F1" s="2625"/>
      <c r="G1" s="2625"/>
      <c r="H1" s="2625"/>
      <c r="I1" s="2625"/>
      <c r="J1" s="2625"/>
      <c r="K1" s="2625"/>
      <c r="L1" s="1221"/>
    </row>
    <row r="2" spans="1:12" ht="12.75" customHeight="1" x14ac:dyDescent="0.2">
      <c r="B2" s="2626">
        <f>'Single Audit Cover'!E7</f>
        <v>53090702026</v>
      </c>
      <c r="C2" s="2626"/>
      <c r="D2" s="2626"/>
      <c r="E2" s="2626"/>
      <c r="F2" s="2626"/>
      <c r="G2" s="2626"/>
      <c r="H2" s="2626"/>
      <c r="I2" s="2626"/>
      <c r="J2" s="2626"/>
      <c r="K2" s="2626"/>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v>2</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8"/>
      <c r="E14" s="2628"/>
      <c r="F14" s="2628"/>
      <c r="H14" s="1230" t="s">
        <v>1292</v>
      </c>
      <c r="I14" s="2629"/>
      <c r="J14" s="2629"/>
      <c r="K14" s="262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9"/>
      <c r="E16" s="2629"/>
      <c r="F16" s="2629"/>
      <c r="G16" s="2629"/>
      <c r="H16" s="2629"/>
      <c r="I16" s="2629"/>
      <c r="J16" s="2629"/>
      <c r="K16" s="2629"/>
      <c r="L16" s="300"/>
    </row>
    <row r="17" spans="2:12" ht="13.5" customHeight="1" x14ac:dyDescent="0.2">
      <c r="B17" s="1156" t="s">
        <v>1290</v>
      </c>
      <c r="C17" s="1156"/>
      <c r="D17" s="2630"/>
      <c r="E17" s="2630"/>
      <c r="F17" s="2630"/>
      <c r="G17" s="2630"/>
      <c r="H17" s="2630"/>
      <c r="I17" s="2630"/>
      <c r="J17" s="2630"/>
      <c r="K17" s="263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0"/>
  <sheetViews>
    <sheetView showGridLines="0" zoomScale="110" zoomScaleNormal="110" workbookViewId="0">
      <selection activeCell="C37" sqref="C37"/>
    </sheetView>
  </sheetViews>
  <sheetFormatPr defaultColWidth="9.140625" defaultRowHeight="12.75" x14ac:dyDescent="0.2"/>
  <cols>
    <col min="1" max="1" width="1.5703125" style="295" customWidth="1"/>
    <col min="2" max="2" width="14.7109375" style="295" customWidth="1"/>
    <col min="3" max="3" width="43.42578125" style="295" customWidth="1"/>
    <col min="4" max="4" width="36.140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Tremont CUSD 702</v>
      </c>
      <c r="C1" s="2598"/>
      <c r="D1" s="2598"/>
      <c r="E1" s="1240"/>
    </row>
    <row r="2" spans="2:5" s="1058" customFormat="1" ht="12.75" customHeight="1" x14ac:dyDescent="0.2">
      <c r="B2" s="2600">
        <f>'Single Audit Cover'!E7</f>
        <v>53090702026</v>
      </c>
      <c r="C2" s="2600"/>
      <c r="D2" s="2600"/>
      <c r="E2" s="1241"/>
    </row>
    <row r="3" spans="2:5" ht="12.75" customHeight="1" x14ac:dyDescent="0.2">
      <c r="B3" s="2621" t="s">
        <v>1743</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25.5" x14ac:dyDescent="0.2">
      <c r="B7" s="1245" t="s">
        <v>2107</v>
      </c>
      <c r="C7" s="2045" t="s">
        <v>2108</v>
      </c>
      <c r="D7" s="302" t="s">
        <v>2109</v>
      </c>
      <c r="E7" s="302"/>
    </row>
    <row r="8" spans="2:5" ht="13.5" customHeight="1" x14ac:dyDescent="0.2">
      <c r="B8" s="1245"/>
      <c r="C8" s="302"/>
      <c r="D8" s="302"/>
      <c r="E8" s="302"/>
    </row>
    <row r="9" spans="2:5" ht="38.25" x14ac:dyDescent="0.2">
      <c r="B9" s="1246" t="s">
        <v>2112</v>
      </c>
      <c r="C9" s="2046" t="s">
        <v>2110</v>
      </c>
      <c r="D9" s="301" t="s">
        <v>2111</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8"/>
      <c r="C37" s="301"/>
      <c r="D37" s="301"/>
      <c r="E37" s="301"/>
    </row>
    <row r="38" spans="2:5" ht="13.5" customHeight="1" x14ac:dyDescent="0.2">
      <c r="B38" s="1250"/>
      <c r="C38" s="301"/>
      <c r="D38" s="301"/>
      <c r="E38" s="301"/>
    </row>
    <row r="39" spans="2:5" ht="13.5" customHeight="1" x14ac:dyDescent="0.2">
      <c r="B39" s="1251"/>
      <c r="C39" s="301"/>
      <c r="D39" s="301"/>
      <c r="E39" s="301"/>
    </row>
    <row r="40" spans="2:5" ht="12.75" customHeight="1" x14ac:dyDescent="0.2">
      <c r="B40" s="1252"/>
      <c r="C40" s="1253"/>
      <c r="D40" s="1253"/>
      <c r="E40" s="301"/>
    </row>
    <row r="41" spans="2:5" ht="12.2" customHeight="1" x14ac:dyDescent="0.2">
      <c r="B41" s="1033" t="s">
        <v>1302</v>
      </c>
      <c r="C41" s="300"/>
    </row>
    <row r="42" spans="2:5" ht="12.2" customHeight="1" x14ac:dyDescent="0.2">
      <c r="B42" s="1254" t="s">
        <v>1746</v>
      </c>
    </row>
    <row r="43" spans="2:5" ht="12.2" customHeight="1" x14ac:dyDescent="0.2">
      <c r="B43" s="1254" t="s">
        <v>1747</v>
      </c>
    </row>
    <row r="44" spans="2:5" ht="12.2" customHeight="1" x14ac:dyDescent="0.2">
      <c r="B44" s="1255" t="s">
        <v>1301</v>
      </c>
    </row>
    <row r="45" spans="2:5" ht="12.2" customHeight="1" x14ac:dyDescent="0.2">
      <c r="B45" s="1255" t="s">
        <v>1300</v>
      </c>
    </row>
    <row r="46" spans="2:5" ht="12.2" customHeight="1" x14ac:dyDescent="0.2">
      <c r="B46" s="1255" t="s">
        <v>1299</v>
      </c>
    </row>
    <row r="47" spans="2:5" ht="12.2" customHeight="1" x14ac:dyDescent="0.2">
      <c r="B47" s="1255" t="s">
        <v>1298</v>
      </c>
    </row>
    <row r="50" spans="2:5" ht="12.75" customHeight="1" x14ac:dyDescent="0.2"/>
    <row r="51" spans="2:5" ht="12.75" customHeight="1" x14ac:dyDescent="0.2">
      <c r="B51" s="1043"/>
    </row>
    <row r="52" spans="2:5" ht="12.75" customHeight="1" x14ac:dyDescent="0.2"/>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4" spans="2:5" x14ac:dyDescent="0.2">
      <c r="B64" s="1175"/>
    </row>
    <row r="65" spans="2:2" x14ac:dyDescent="0.2">
      <c r="B65" s="1076"/>
    </row>
    <row r="66" spans="2:2" x14ac:dyDescent="0.2">
      <c r="B66" s="1076"/>
    </row>
    <row r="67" spans="2:2" x14ac:dyDescent="0.2">
      <c r="B67" s="1176"/>
    </row>
    <row r="68" spans="2:2" x14ac:dyDescent="0.2">
      <c r="B68" s="1176"/>
    </row>
    <row r="69" spans="2:2" x14ac:dyDescent="0.2">
      <c r="B69" s="1176"/>
    </row>
    <row r="70" spans="2:2" x14ac:dyDescent="0.2">
      <c r="B70"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123208364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3.2298599999999997E-2</v>
      </c>
      <c r="E10" s="333" t="s">
        <v>998</v>
      </c>
      <c r="F10" s="332">
        <v>5.2972000000000002E-3</v>
      </c>
      <c r="G10" s="333" t="s">
        <v>998</v>
      </c>
      <c r="H10" s="332">
        <v>1.9666000000000002E-3</v>
      </c>
      <c r="I10" s="333" t="s">
        <v>999</v>
      </c>
      <c r="J10" s="1424">
        <f>ROUND(D10+F10+H10,5)</f>
        <v>3.9559999999999998E-2</v>
      </c>
      <c r="K10" s="217"/>
      <c r="L10" s="332">
        <v>2.3460000000000001E-4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8886122</v>
      </c>
      <c r="E16" s="1547"/>
      <c r="F16" s="1546">
        <f>SUM('Acct Summary 7-8'!C17,'Acct Summary 7-8'!D17,'Acct Summary 7-8'!F17)</f>
        <v>9518152</v>
      </c>
      <c r="G16" s="1547"/>
      <c r="H16" s="1546">
        <f>SUM(D16-F16)</f>
        <v>-632030</v>
      </c>
      <c r="I16" s="1548"/>
      <c r="J16" s="1546">
        <f>SUM('Acct Summary 7-8'!C81,'Acct Summary 7-8'!D81,'Acct Summary 7-8'!F81,'Acct Summary 7-8'!I81)</f>
        <v>1912038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17002754.232000001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5775000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11" sqref="O1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Tremont CUSD 702</v>
      </c>
      <c r="E7" s="368"/>
      <c r="G7" s="247"/>
      <c r="H7" s="364"/>
      <c r="I7" s="364"/>
      <c r="J7" s="364"/>
      <c r="K7" s="364"/>
      <c r="L7" s="307"/>
      <c r="M7" s="307"/>
      <c r="N7" s="307"/>
      <c r="O7" s="307"/>
      <c r="P7" s="307"/>
    </row>
    <row r="8" spans="1:18" ht="12.75" x14ac:dyDescent="0.2">
      <c r="A8" s="307"/>
      <c r="B8" s="307"/>
      <c r="C8" s="366" t="s">
        <v>1115</v>
      </c>
      <c r="D8" s="369">
        <f>COVER!A13</f>
        <v>53090702026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1912038</v>
      </c>
      <c r="I12" s="380"/>
      <c r="J12" s="380"/>
      <c r="K12" s="1559">
        <f>TRUNC((H12/H13*100000),5)/100000</f>
        <v>0.21517125240000001</v>
      </c>
      <c r="L12" s="381"/>
      <c r="M12" s="337" t="s">
        <v>1134</v>
      </c>
      <c r="N12" s="337"/>
      <c r="O12" s="1562">
        <v>0.35</v>
      </c>
      <c r="P12" s="213"/>
      <c r="Q12" s="213"/>
    </row>
    <row r="13" spans="1:18" s="382" customFormat="1" ht="12.75" x14ac:dyDescent="0.2">
      <c r="A13" s="213"/>
      <c r="B13" s="377"/>
      <c r="C13" s="2218" t="s">
        <v>1313</v>
      </c>
      <c r="D13" s="2219"/>
      <c r="E13" s="213"/>
      <c r="F13" s="383" t="s">
        <v>788</v>
      </c>
      <c r="G13" s="378"/>
      <c r="H13" s="1551">
        <f>SUM('Acct Summary 7-8'!C8+'Acct Summary 7-8'!D8+'Acct Summary 7-8'!F8+'Acct Summary 7-8'!I8)+H14</f>
        <v>8886122</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9518152</v>
      </c>
      <c r="I17" s="380"/>
      <c r="J17" s="389"/>
      <c r="K17" s="1559">
        <f>TRUNC((H17/H18*100000),5)/100000</f>
        <v>1.0711255145</v>
      </c>
      <c r="L17" s="381"/>
      <c r="M17" s="390" t="s">
        <v>1161</v>
      </c>
      <c r="O17" s="1565" t="str">
        <f>IF(AND(O16="2", J20 &gt; 2),"1",IF(AND(O16 = "1", J20 &gt; 2),"2",IF(AND(O16="1", J20 &gt;1),"1","0")))</f>
        <v>0</v>
      </c>
      <c r="P17" s="213"/>
    </row>
    <row r="18" spans="1:18" s="382" customFormat="1" ht="11.25" x14ac:dyDescent="0.2">
      <c r="A18" s="213"/>
      <c r="B18" s="377"/>
      <c r="C18" s="2218" t="s">
        <v>1306</v>
      </c>
      <c r="D18" s="2219"/>
      <c r="E18" s="213"/>
      <c r="F18" s="391" t="s">
        <v>789</v>
      </c>
      <c r="G18" s="378"/>
      <c r="H18" s="1551">
        <f>SUM('Acct Summary 7-8'!C8+'Acct Summary 7-8'!D8+'Acct Summary 7-8'!F8+'Acct Summary 7-8'!I8)+H19</f>
        <v>8886122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1.6192677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15" t="s">
        <v>1395</v>
      </c>
      <c r="D24" s="2215"/>
      <c r="E24" s="213"/>
      <c r="F24" s="213" t="s">
        <v>442</v>
      </c>
      <c r="G24" s="378"/>
      <c r="H24" s="1551">
        <f>SUM('Assets-Liab 5-6'!C4+'Assets-Liab 5-6'!D4+'Assets-Liab 5-6'!F4+'Assets-Liab 5-6'!I4+'Assets-Liab 5-6'!C5+'Assets-Liab 5-6'!D5+'Assets-Liab 5-6'!F5+'Assets-Liab 5-6'!I5)</f>
        <v>1902390</v>
      </c>
      <c r="I24" s="394"/>
      <c r="J24" s="394"/>
      <c r="K24" s="1555">
        <f>TRUNC(((H24/H25*100000)/100000),2)</f>
        <v>71.95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26439.311109999999</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4143004.4478600002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5775000</v>
      </c>
      <c r="I32" s="392"/>
      <c r="J32" s="392"/>
      <c r="K32" s="1555">
        <f>TRUNC(100-((((H32/H33*100))*100)/100),2)</f>
        <v>66.03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17002754.232000001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1" activePane="bottomLeft" state="frozen"/>
      <selection pane="bottomLeft" activeCell="F30" sqref="F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306"/>
      <c r="D3" s="1307"/>
      <c r="E3" s="1307"/>
      <c r="F3" s="1307"/>
      <c r="G3" s="1307"/>
      <c r="H3" s="1307"/>
      <c r="I3" s="1307"/>
      <c r="J3" s="1307"/>
      <c r="K3" s="1307"/>
      <c r="L3" s="1307"/>
      <c r="M3" s="1308"/>
      <c r="N3" s="1309"/>
    </row>
    <row r="4" spans="1:14" ht="13.5" customHeight="1" x14ac:dyDescent="0.2">
      <c r="A4" s="427" t="s">
        <v>1632</v>
      </c>
      <c r="B4" s="428"/>
      <c r="C4" s="1572">
        <v>406592</v>
      </c>
      <c r="D4" s="1573">
        <v>489359</v>
      </c>
      <c r="E4" s="1573">
        <v>72443</v>
      </c>
      <c r="F4" s="1573">
        <v>111435</v>
      </c>
      <c r="G4" s="1573">
        <v>129235</v>
      </c>
      <c r="H4" s="1573">
        <v>207</v>
      </c>
      <c r="I4" s="1573">
        <v>717537</v>
      </c>
      <c r="J4" s="1574"/>
      <c r="K4" s="1573">
        <v>4720</v>
      </c>
      <c r="L4" s="1573">
        <v>339687</v>
      </c>
      <c r="M4" s="1575"/>
      <c r="N4" s="1576"/>
    </row>
    <row r="5" spans="1:14" x14ac:dyDescent="0.2">
      <c r="A5" s="427" t="s">
        <v>985</v>
      </c>
      <c r="B5" s="429">
        <v>120</v>
      </c>
      <c r="C5" s="1572">
        <v>445</v>
      </c>
      <c r="D5" s="1573">
        <v>124262</v>
      </c>
      <c r="E5" s="1573">
        <v>33</v>
      </c>
      <c r="F5" s="1573">
        <v>9</v>
      </c>
      <c r="G5" s="1573"/>
      <c r="H5" s="1573"/>
      <c r="I5" s="1573">
        <v>52751</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9648</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407037</v>
      </c>
      <c r="D13" s="1587">
        <f t="shared" ref="D13:L13" si="0">SUM(D4:D12)</f>
        <v>613621</v>
      </c>
      <c r="E13" s="1587">
        <f t="shared" si="0"/>
        <v>72476</v>
      </c>
      <c r="F13" s="1587">
        <f t="shared" si="0"/>
        <v>111444</v>
      </c>
      <c r="G13" s="1587">
        <f t="shared" si="0"/>
        <v>129235</v>
      </c>
      <c r="H13" s="1587">
        <f t="shared" si="0"/>
        <v>207</v>
      </c>
      <c r="I13" s="1587">
        <f t="shared" si="0"/>
        <v>779936</v>
      </c>
      <c r="J13" s="1587">
        <f t="shared" si="0"/>
        <v>0</v>
      </c>
      <c r="K13" s="1587">
        <f t="shared" si="0"/>
        <v>4720</v>
      </c>
      <c r="L13" s="1587">
        <f t="shared" si="0"/>
        <v>339687</v>
      </c>
      <c r="M13" s="1575"/>
      <c r="N13" s="1576"/>
    </row>
    <row r="14" spans="1:14" ht="18" customHeight="1" thickTop="1" x14ac:dyDescent="0.2">
      <c r="A14" s="2227" t="s">
        <v>146</v>
      </c>
      <c r="B14" s="222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51845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18205399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2921350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968931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72476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5702524</v>
      </c>
    </row>
    <row r="23" spans="1:14" ht="13.5" customHeight="1" thickBot="1" x14ac:dyDescent="0.25">
      <c r="A23" s="1426" t="s">
        <v>638</v>
      </c>
      <c r="B23" s="1429"/>
      <c r="C23" s="1575"/>
      <c r="D23" s="1575"/>
      <c r="E23" s="1575"/>
      <c r="F23" s="1575"/>
      <c r="G23" s="1575"/>
      <c r="H23" s="1575"/>
      <c r="I23" s="1575"/>
      <c r="J23" s="1575"/>
      <c r="K23" s="1575"/>
      <c r="L23" s="1575"/>
      <c r="M23" s="1594">
        <f>SUM(M15:M22)</f>
        <v>22147525</v>
      </c>
      <c r="N23" s="1594">
        <f>SUM(N21:N22)</f>
        <v>5775000</v>
      </c>
    </row>
    <row r="24" spans="1:14" ht="18" customHeight="1" thickTop="1" x14ac:dyDescent="0.2">
      <c r="A24" s="2229" t="s">
        <v>594</v>
      </c>
      <c r="B24" s="223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v>9648</v>
      </c>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339687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9648</v>
      </c>
      <c r="I34" s="1600">
        <f t="shared" si="1"/>
        <v>0</v>
      </c>
      <c r="J34" s="1600">
        <f t="shared" si="1"/>
        <v>0</v>
      </c>
      <c r="K34" s="1600">
        <f t="shared" si="1"/>
        <v>0</v>
      </c>
      <c r="L34" s="1601">
        <f>SUM(L33)</f>
        <v>339687</v>
      </c>
      <c r="M34" s="1575"/>
      <c r="N34" s="1585"/>
    </row>
    <row r="35" spans="1:14" ht="18" customHeight="1" thickTop="1" x14ac:dyDescent="0.2">
      <c r="A35" s="2231" t="s">
        <v>526</v>
      </c>
      <c r="B35" s="223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5775000</v>
      </c>
    </row>
    <row r="37" spans="1:14" ht="13.5" thickBot="1" x14ac:dyDescent="0.25">
      <c r="A37" s="1426" t="s">
        <v>648</v>
      </c>
      <c r="B37" s="1429"/>
      <c r="C37" s="1582"/>
      <c r="D37" s="1582"/>
      <c r="E37" s="1582"/>
      <c r="F37" s="1582"/>
      <c r="G37" s="1582"/>
      <c r="H37" s="1582"/>
      <c r="I37" s="1582"/>
      <c r="J37" s="1582"/>
      <c r="K37" s="1582"/>
      <c r="L37" s="1585"/>
      <c r="M37" s="1575"/>
      <c r="N37" s="1594">
        <f>SUM(N36:N36)</f>
        <v>5775000</v>
      </c>
    </row>
    <row r="38" spans="1:14" s="307" customFormat="1" ht="13.5" customHeight="1" thickTop="1" x14ac:dyDescent="0.2">
      <c r="A38" s="438" t="s">
        <v>417</v>
      </c>
      <c r="B38" s="432">
        <v>714</v>
      </c>
      <c r="C38" s="1573"/>
      <c r="D38" s="1573">
        <v>50000</v>
      </c>
      <c r="E38" s="1573"/>
      <c r="F38" s="1573"/>
      <c r="G38" s="1573"/>
      <c r="H38" s="1573"/>
      <c r="I38" s="1573"/>
      <c r="J38" s="1574"/>
      <c r="K38" s="1573"/>
      <c r="L38" s="1586"/>
      <c r="M38" s="1604"/>
      <c r="N38" s="1604"/>
    </row>
    <row r="39" spans="1:14" s="307" customFormat="1" ht="13.5" customHeight="1" x14ac:dyDescent="0.2">
      <c r="A39" s="438" t="s">
        <v>339</v>
      </c>
      <c r="B39" s="432">
        <v>730</v>
      </c>
      <c r="C39" s="1573">
        <v>407037</v>
      </c>
      <c r="D39" s="1573">
        <v>563621</v>
      </c>
      <c r="E39" s="1573">
        <v>72476</v>
      </c>
      <c r="F39" s="1573">
        <v>111444</v>
      </c>
      <c r="G39" s="1573">
        <v>129235</v>
      </c>
      <c r="H39" s="1573">
        <v>-9441</v>
      </c>
      <c r="I39" s="1573">
        <v>779936</v>
      </c>
      <c r="J39" s="1574"/>
      <c r="K39" s="1573">
        <v>4720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22147525</v>
      </c>
      <c r="N40" s="1604"/>
    </row>
    <row r="41" spans="1:14" ht="13.5" customHeight="1" thickBot="1" x14ac:dyDescent="0.25">
      <c r="A41" s="1426" t="s">
        <v>650</v>
      </c>
      <c r="B41" s="1405"/>
      <c r="C41" s="1594">
        <f>(SUM(C34,C37,C38,C39))</f>
        <v>407037</v>
      </c>
      <c r="D41" s="1594">
        <f t="shared" ref="D41:L41" si="2">SUM(D34,D37,D38:D39)</f>
        <v>613621</v>
      </c>
      <c r="E41" s="1594">
        <f t="shared" si="2"/>
        <v>72476</v>
      </c>
      <c r="F41" s="1594">
        <f t="shared" si="2"/>
        <v>111444</v>
      </c>
      <c r="G41" s="1594">
        <f t="shared" si="2"/>
        <v>129235</v>
      </c>
      <c r="H41" s="1594">
        <f t="shared" si="2"/>
        <v>207</v>
      </c>
      <c r="I41" s="1594">
        <f t="shared" si="2"/>
        <v>779936</v>
      </c>
      <c r="J41" s="1594">
        <f t="shared" si="2"/>
        <v>0</v>
      </c>
      <c r="K41" s="1594">
        <f t="shared" si="2"/>
        <v>4720</v>
      </c>
      <c r="L41" s="1594">
        <f t="shared" si="2"/>
        <v>339687</v>
      </c>
      <c r="M41" s="1594">
        <f>SUM(M40)</f>
        <v>22147525</v>
      </c>
      <c r="N41" s="1594">
        <f>SUM(N37)</f>
        <v>5775000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E57" sqref="E5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311"/>
      <c r="D3" s="1312"/>
      <c r="E3" s="1312"/>
      <c r="F3" s="1312"/>
      <c r="G3" s="1312"/>
      <c r="H3" s="1312"/>
      <c r="I3" s="1312"/>
      <c r="J3" s="1312"/>
      <c r="K3" s="1313"/>
      <c r="L3" s="446"/>
    </row>
    <row r="4" spans="1:13" ht="15.75" customHeight="1" x14ac:dyDescent="0.2">
      <c r="A4" s="1537" t="s">
        <v>1482</v>
      </c>
      <c r="B4" s="1538">
        <v>1000</v>
      </c>
      <c r="C4" s="1606">
        <f>'Revenues 9-14'!C109</f>
        <v>4792131</v>
      </c>
      <c r="D4" s="1606">
        <f>'Revenues 9-14'!D109</f>
        <v>629149</v>
      </c>
      <c r="E4" s="1606">
        <f>'Revenues 9-14'!E109</f>
        <v>1153944</v>
      </c>
      <c r="F4" s="1606">
        <f>'Revenues 9-14'!F109</f>
        <v>236622</v>
      </c>
      <c r="G4" s="1606">
        <f>'Revenues 9-14'!G109</f>
        <v>350435</v>
      </c>
      <c r="H4" s="1606">
        <f>'Revenues 9-14'!H109</f>
        <v>443</v>
      </c>
      <c r="I4" s="1606">
        <f>'Revenues 9-14'!I109</f>
        <v>33849</v>
      </c>
      <c r="J4" s="1606">
        <f>'Revenues 9-14'!J109</f>
        <v>0</v>
      </c>
      <c r="K4" s="1606">
        <f>'Revenues 9-14'!K109</f>
        <v>25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2577899</v>
      </c>
      <c r="D6" s="1607">
        <f>'Revenues 9-14'!D170</f>
        <v>50000</v>
      </c>
      <c r="E6" s="1607">
        <f>'Revenues 9-14'!E170</f>
        <v>0</v>
      </c>
      <c r="F6" s="1607">
        <f>'Revenues 9-14'!F170</f>
        <v>275048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291424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7661454</v>
      </c>
      <c r="D8" s="1594">
        <f t="shared" ref="D8:K8" si="0">SUM(D4:D7)</f>
        <v>679149</v>
      </c>
      <c r="E8" s="1594">
        <f t="shared" si="0"/>
        <v>1153944</v>
      </c>
      <c r="F8" s="1594">
        <f t="shared" si="0"/>
        <v>511670</v>
      </c>
      <c r="G8" s="1594">
        <f t="shared" si="0"/>
        <v>350435</v>
      </c>
      <c r="H8" s="1594">
        <f t="shared" si="0"/>
        <v>443</v>
      </c>
      <c r="I8" s="1594">
        <f t="shared" si="0"/>
        <v>33849</v>
      </c>
      <c r="J8" s="1594">
        <f t="shared" si="0"/>
        <v>0</v>
      </c>
      <c r="K8" s="1594">
        <f t="shared" si="0"/>
        <v>25</v>
      </c>
      <c r="L8" s="325"/>
    </row>
    <row r="9" spans="1:13" ht="15.75" thickTop="1" x14ac:dyDescent="0.2">
      <c r="A9" s="449" t="s">
        <v>1634</v>
      </c>
      <c r="B9" s="450">
        <v>3998</v>
      </c>
      <c r="C9" s="1586">
        <v>4123630</v>
      </c>
      <c r="D9" s="1613"/>
      <c r="E9" s="1586"/>
      <c r="F9" s="1586"/>
      <c r="G9" s="1614"/>
      <c r="H9" s="1586"/>
      <c r="I9" s="1609" t="s">
        <v>1159</v>
      </c>
      <c r="J9" s="1583"/>
      <c r="K9" s="1586"/>
      <c r="L9" s="325"/>
    </row>
    <row r="10" spans="1:13" s="452" customFormat="1" ht="13.5" thickBot="1" x14ac:dyDescent="0.25">
      <c r="A10" s="1426" t="s">
        <v>1163</v>
      </c>
      <c r="B10" s="1407"/>
      <c r="C10" s="1594">
        <f>SUM(C8:C9)</f>
        <v>11785084</v>
      </c>
      <c r="D10" s="1594">
        <f t="shared" ref="D10:K10" si="1">SUM(D8:D9)</f>
        <v>679149</v>
      </c>
      <c r="E10" s="1594">
        <f t="shared" si="1"/>
        <v>1153944</v>
      </c>
      <c r="F10" s="1594">
        <f t="shared" si="1"/>
        <v>511670</v>
      </c>
      <c r="G10" s="1594">
        <f t="shared" si="1"/>
        <v>350435</v>
      </c>
      <c r="H10" s="1594">
        <f t="shared" si="1"/>
        <v>443</v>
      </c>
      <c r="I10" s="1594">
        <f t="shared" si="1"/>
        <v>33849</v>
      </c>
      <c r="J10" s="1594">
        <f t="shared" si="1"/>
        <v>0</v>
      </c>
      <c r="K10" s="1594">
        <f t="shared" si="1"/>
        <v>25</v>
      </c>
      <c r="L10" s="451"/>
    </row>
    <row r="11" spans="1:13" s="452" customFormat="1" ht="16.7" customHeight="1" thickTop="1" x14ac:dyDescent="0.2">
      <c r="A11" s="2227" t="s">
        <v>1166</v>
      </c>
      <c r="B11" s="2228"/>
      <c r="C11" s="1602"/>
      <c r="D11" s="1603"/>
      <c r="E11" s="1603"/>
      <c r="F11" s="1603"/>
      <c r="G11" s="1603"/>
      <c r="H11" s="1603"/>
      <c r="I11" s="1603"/>
      <c r="J11" s="1603"/>
      <c r="K11" s="1615"/>
      <c r="L11" s="451"/>
    </row>
    <row r="12" spans="1:13" ht="15.75" customHeight="1" x14ac:dyDescent="0.2">
      <c r="A12" s="1314" t="s">
        <v>453</v>
      </c>
      <c r="B12" s="1316">
        <v>1000</v>
      </c>
      <c r="C12" s="1606">
        <f>'Expenditures 15-22'!K33</f>
        <v>6523419</v>
      </c>
      <c r="D12" s="1616" t="s">
        <v>1159</v>
      </c>
      <c r="E12" s="1575" t="s">
        <v>1159</v>
      </c>
      <c r="F12" s="1575" t="s">
        <v>1159</v>
      </c>
      <c r="G12" s="1606">
        <f>'Expenditures 15-22'!K229</f>
        <v>177843</v>
      </c>
      <c r="H12" s="1617"/>
      <c r="I12" s="1575" t="s">
        <v>1159</v>
      </c>
      <c r="J12" s="1575" t="s">
        <v>1159</v>
      </c>
      <c r="K12" s="1617" t="s">
        <v>1159</v>
      </c>
      <c r="L12" s="325"/>
    </row>
    <row r="13" spans="1:13" ht="15.75" customHeight="1" x14ac:dyDescent="0.2">
      <c r="A13" s="1314" t="s">
        <v>454</v>
      </c>
      <c r="B13" s="1316">
        <v>2000</v>
      </c>
      <c r="C13" s="1607">
        <f>'Expenditures 15-22'!K74</f>
        <v>1657887</v>
      </c>
      <c r="D13" s="1607">
        <f>'Expenditures 15-22'!K129</f>
        <v>622361</v>
      </c>
      <c r="E13" s="1576" t="s">
        <v>1159</v>
      </c>
      <c r="F13" s="1607">
        <f>'Expenditures 15-22'!K184</f>
        <v>518773</v>
      </c>
      <c r="G13" s="1607">
        <f>'Expenditures 15-22'!K279</f>
        <v>152830</v>
      </c>
      <c r="H13" s="1607">
        <f>'Expenditures 15-22'!K303</f>
        <v>462825</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195712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1157163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8377018</v>
      </c>
      <c r="D17" s="1594">
        <f t="shared" si="2"/>
        <v>622361</v>
      </c>
      <c r="E17" s="1594">
        <f t="shared" si="2"/>
        <v>1157163</v>
      </c>
      <c r="F17" s="1594">
        <f t="shared" si="2"/>
        <v>518773</v>
      </c>
      <c r="G17" s="1594">
        <f t="shared" si="2"/>
        <v>330673</v>
      </c>
      <c r="H17" s="1594">
        <f t="shared" si="2"/>
        <v>462825</v>
      </c>
      <c r="I17" s="1575"/>
      <c r="J17" s="1594">
        <f>SUM(J12:J16)</f>
        <v>0</v>
      </c>
      <c r="K17" s="1594">
        <f>SUM(K12:K16)</f>
        <v>0</v>
      </c>
      <c r="L17" s="325"/>
    </row>
    <row r="18" spans="1:12" ht="15" customHeight="1" thickTop="1" x14ac:dyDescent="0.2">
      <c r="A18" s="1430" t="s">
        <v>1635</v>
      </c>
      <c r="B18" s="1431">
        <v>4180</v>
      </c>
      <c r="C18" s="1606">
        <f t="shared" ref="C18:H18" si="3">C9</f>
        <v>4123630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12500648</v>
      </c>
      <c r="D19" s="1594">
        <f t="shared" si="4"/>
        <v>622361</v>
      </c>
      <c r="E19" s="1594">
        <f t="shared" si="4"/>
        <v>1157163</v>
      </c>
      <c r="F19" s="1594">
        <f t="shared" si="4"/>
        <v>518773</v>
      </c>
      <c r="G19" s="1594">
        <f t="shared" si="4"/>
        <v>330673</v>
      </c>
      <c r="H19" s="1594">
        <f t="shared" si="4"/>
        <v>462825</v>
      </c>
      <c r="I19" s="1575"/>
      <c r="J19" s="1594">
        <f>SUM(J17:J18)</f>
        <v>0</v>
      </c>
      <c r="K19" s="1594">
        <f>SUM(K17:K18)</f>
        <v>0</v>
      </c>
      <c r="L19" s="325"/>
    </row>
    <row r="20" spans="1:12" ht="16.5" thickTop="1" thickBot="1" x14ac:dyDescent="0.25">
      <c r="A20" s="2243" t="s">
        <v>1636</v>
      </c>
      <c r="B20" s="2244"/>
      <c r="C20" s="1622">
        <f>C8-C17</f>
        <v>-715564</v>
      </c>
      <c r="D20" s="1622">
        <f t="shared" ref="D20:K20" si="5">D8-D17</f>
        <v>56788</v>
      </c>
      <c r="E20" s="1622">
        <f t="shared" si="5"/>
        <v>-3219</v>
      </c>
      <c r="F20" s="1622">
        <f t="shared" si="5"/>
        <v>-7103</v>
      </c>
      <c r="G20" s="1622">
        <f t="shared" si="5"/>
        <v>19762</v>
      </c>
      <c r="H20" s="1622">
        <f t="shared" si="5"/>
        <v>-462382</v>
      </c>
      <c r="I20" s="1622">
        <f t="shared" si="5"/>
        <v>33849</v>
      </c>
      <c r="J20" s="1622">
        <f t="shared" si="5"/>
        <v>0</v>
      </c>
      <c r="K20" s="1622">
        <f t="shared" si="5"/>
        <v>25</v>
      </c>
      <c r="L20" s="325"/>
    </row>
    <row r="21" spans="1:12" ht="16.7" customHeight="1" thickTop="1" x14ac:dyDescent="0.2">
      <c r="A21" s="2255" t="s">
        <v>591</v>
      </c>
      <c r="B21" s="2256"/>
      <c r="C21" s="1602"/>
      <c r="D21" s="1603"/>
      <c r="E21" s="1603"/>
      <c r="F21" s="1603"/>
      <c r="G21" s="1603"/>
      <c r="H21" s="1603"/>
      <c r="I21" s="1603"/>
      <c r="J21" s="1603"/>
      <c r="K21" s="1615"/>
      <c r="L21" s="453"/>
    </row>
    <row r="22" spans="1:12" ht="15.75" customHeight="1" collapsed="1" x14ac:dyDescent="0.2">
      <c r="A22" s="2251" t="s">
        <v>592</v>
      </c>
      <c r="B22" s="2252"/>
      <c r="C22" s="1582"/>
      <c r="D22" s="1582"/>
      <c r="E22" s="1582"/>
      <c r="F22" s="1582"/>
      <c r="G22" s="1582"/>
      <c r="H22" s="1582"/>
      <c r="I22" s="1582"/>
      <c r="J22" s="1582"/>
      <c r="K22" s="1582"/>
      <c r="L22" s="325"/>
    </row>
    <row r="23" spans="1:12" s="433" customFormat="1" ht="15.75" customHeight="1" x14ac:dyDescent="0.2">
      <c r="A23" s="2247" t="s">
        <v>290</v>
      </c>
      <c r="B23" s="224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6623</v>
      </c>
      <c r="D26" s="1574"/>
      <c r="E26" s="1574"/>
      <c r="F26" s="1574"/>
      <c r="G26" s="1574"/>
      <c r="H26" s="1574"/>
      <c r="I26" s="1582"/>
      <c r="J26" s="1574"/>
      <c r="K26" s="1574"/>
      <c r="L26" s="453"/>
    </row>
    <row r="27" spans="1:12" s="433" customFormat="1" ht="13.5" customHeight="1" x14ac:dyDescent="0.2">
      <c r="A27" s="1260" t="s">
        <v>184</v>
      </c>
      <c r="B27" s="432">
        <v>7130</v>
      </c>
      <c r="C27" s="1574"/>
      <c r="D27" s="1574">
        <v>20000</v>
      </c>
      <c r="E27" s="1623"/>
      <c r="F27" s="1574">
        <v>10000</v>
      </c>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9" t="s">
        <v>974</v>
      </c>
      <c r="B32" s="225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7" t="s">
        <v>371</v>
      </c>
      <c r="B44" s="2258"/>
      <c r="C44" s="1624">
        <f>SUM(C24:C43)</f>
        <v>6623</v>
      </c>
      <c r="D44" s="1624">
        <f t="shared" ref="D44:K44" si="6">SUM(D24:D43)</f>
        <v>20000</v>
      </c>
      <c r="E44" s="1624">
        <f t="shared" si="6"/>
        <v>0</v>
      </c>
      <c r="F44" s="1624">
        <f t="shared" si="6"/>
        <v>10000</v>
      </c>
      <c r="G44" s="1624">
        <f t="shared" si="6"/>
        <v>0</v>
      </c>
      <c r="H44" s="1624">
        <f t="shared" si="6"/>
        <v>0</v>
      </c>
      <c r="I44" s="1624">
        <f t="shared" si="6"/>
        <v>0</v>
      </c>
      <c r="J44" s="1624">
        <f t="shared" si="6"/>
        <v>0</v>
      </c>
      <c r="K44" s="1624">
        <f t="shared" si="6"/>
        <v>0</v>
      </c>
      <c r="L44" s="453"/>
    </row>
    <row r="45" spans="1:12" ht="15.75" customHeight="1" thickTop="1" x14ac:dyDescent="0.2">
      <c r="A45" s="2251" t="s">
        <v>108</v>
      </c>
      <c r="B45" s="2252"/>
      <c r="C45" s="1625"/>
      <c r="D45" s="1625"/>
      <c r="E45" s="1625"/>
      <c r="F45" s="1625"/>
      <c r="G45" s="1625"/>
      <c r="H45" s="1625"/>
      <c r="I45" s="1625"/>
      <c r="J45" s="1625"/>
      <c r="K45" s="1625"/>
      <c r="L45" s="325"/>
    </row>
    <row r="46" spans="1:12" s="433" customFormat="1" ht="15.75" customHeight="1" x14ac:dyDescent="0.2">
      <c r="A46" s="2259" t="s">
        <v>109</v>
      </c>
      <c r="B46" s="226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6623</v>
      </c>
      <c r="J48" s="1582"/>
      <c r="K48" s="1582"/>
      <c r="L48" s="456"/>
    </row>
    <row r="49" spans="1:12" s="433" customFormat="1" x14ac:dyDescent="0.2">
      <c r="A49" s="1261" t="s">
        <v>184</v>
      </c>
      <c r="B49" s="432">
        <v>8130</v>
      </c>
      <c r="C49" s="1574">
        <v>30000</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3" t="s">
        <v>437</v>
      </c>
      <c r="B76" s="2234"/>
      <c r="C76" s="1624">
        <f t="shared" ref="C76:K76" si="7">SUM(C47:C75)</f>
        <v>30000</v>
      </c>
      <c r="D76" s="1624">
        <f t="shared" si="7"/>
        <v>0</v>
      </c>
      <c r="E76" s="1624">
        <f t="shared" si="7"/>
        <v>0</v>
      </c>
      <c r="F76" s="1624">
        <f t="shared" si="7"/>
        <v>0</v>
      </c>
      <c r="G76" s="1624">
        <f t="shared" si="7"/>
        <v>0</v>
      </c>
      <c r="H76" s="1624">
        <f t="shared" si="7"/>
        <v>0</v>
      </c>
      <c r="I76" s="1624">
        <f t="shared" si="7"/>
        <v>6623</v>
      </c>
      <c r="J76" s="1624">
        <f t="shared" si="7"/>
        <v>0</v>
      </c>
      <c r="K76" s="1624">
        <f t="shared" si="7"/>
        <v>0</v>
      </c>
      <c r="L76" s="453"/>
    </row>
    <row r="77" spans="1:12" ht="14.25" thickTop="1" thickBot="1" x14ac:dyDescent="0.25">
      <c r="A77" s="2235" t="s">
        <v>1167</v>
      </c>
      <c r="B77" s="2236"/>
      <c r="C77" s="1624">
        <f t="shared" ref="C77:K77" si="8">C44-C76</f>
        <v>-23377</v>
      </c>
      <c r="D77" s="1624">
        <f t="shared" si="8"/>
        <v>20000</v>
      </c>
      <c r="E77" s="1624">
        <f t="shared" si="8"/>
        <v>0</v>
      </c>
      <c r="F77" s="1624">
        <f t="shared" si="8"/>
        <v>10000</v>
      </c>
      <c r="G77" s="1624">
        <f t="shared" si="8"/>
        <v>0</v>
      </c>
      <c r="H77" s="1624">
        <f t="shared" si="8"/>
        <v>0</v>
      </c>
      <c r="I77" s="1624">
        <f t="shared" si="8"/>
        <v>-6623</v>
      </c>
      <c r="J77" s="1624">
        <f t="shared" si="8"/>
        <v>0</v>
      </c>
      <c r="K77" s="1624">
        <f t="shared" si="8"/>
        <v>0</v>
      </c>
      <c r="L77" s="325"/>
    </row>
    <row r="78" spans="1:12" ht="21.75" customHeight="1" thickTop="1" thickBot="1" x14ac:dyDescent="0.25">
      <c r="A78" s="2239" t="s">
        <v>593</v>
      </c>
      <c r="B78" s="2240"/>
      <c r="C78" s="1629">
        <f t="shared" ref="C78:K78" si="9">C20+C77</f>
        <v>-738941</v>
      </c>
      <c r="D78" s="1629">
        <f t="shared" si="9"/>
        <v>76788</v>
      </c>
      <c r="E78" s="1629">
        <f t="shared" si="9"/>
        <v>-3219</v>
      </c>
      <c r="F78" s="1629">
        <f t="shared" si="9"/>
        <v>2897</v>
      </c>
      <c r="G78" s="1629">
        <f t="shared" si="9"/>
        <v>19762</v>
      </c>
      <c r="H78" s="1629">
        <f t="shared" si="9"/>
        <v>-462382</v>
      </c>
      <c r="I78" s="1629">
        <f t="shared" si="9"/>
        <v>27226</v>
      </c>
      <c r="J78" s="1629">
        <f t="shared" si="9"/>
        <v>0</v>
      </c>
      <c r="K78" s="1629">
        <f t="shared" si="9"/>
        <v>25</v>
      </c>
      <c r="L78" s="457"/>
    </row>
    <row r="79" spans="1:12" ht="13.5" thickTop="1" x14ac:dyDescent="0.2">
      <c r="A79" s="1844" t="str">
        <f>"Fund Balances - July 1, "&amp;'AFR20'!E2-1</f>
        <v>Fund Balances - July 1, 2019</v>
      </c>
      <c r="B79" s="458"/>
      <c r="C79" s="1583">
        <v>1145978</v>
      </c>
      <c r="D79" s="1630">
        <v>536833</v>
      </c>
      <c r="E79" s="1630">
        <v>75695</v>
      </c>
      <c r="F79" s="1630">
        <v>108547</v>
      </c>
      <c r="G79" s="1630">
        <v>109473</v>
      </c>
      <c r="H79" s="1630">
        <v>452941</v>
      </c>
      <c r="I79" s="1630">
        <v>752710</v>
      </c>
      <c r="J79" s="1630"/>
      <c r="K79" s="1630">
        <v>4695</v>
      </c>
      <c r="L79" s="325"/>
    </row>
    <row r="80" spans="1:12" x14ac:dyDescent="0.2">
      <c r="A80" s="2245" t="s">
        <v>1772</v>
      </c>
      <c r="B80" s="2246"/>
      <c r="C80" s="1574"/>
      <c r="D80" s="1574"/>
      <c r="E80" s="1574"/>
      <c r="F80" s="1574"/>
      <c r="G80" s="1574"/>
      <c r="H80" s="1574"/>
      <c r="I80" s="1574"/>
      <c r="J80" s="1574"/>
      <c r="K80" s="1574"/>
      <c r="L80" s="325"/>
    </row>
    <row r="81" spans="1:12" ht="13.5" thickBot="1" x14ac:dyDescent="0.25">
      <c r="A81" s="2237" t="str">
        <f>"Fund Balances - June 30, "&amp;'AFR20'!E2</f>
        <v>Fund Balances - June 30, 2020</v>
      </c>
      <c r="B81" s="2238"/>
      <c r="C81" s="1594">
        <f>(SUM(C78:C80))</f>
        <v>407037</v>
      </c>
      <c r="D81" s="1594">
        <f>SUM(D78:D80)</f>
        <v>613621</v>
      </c>
      <c r="E81" s="1594">
        <f t="shared" ref="E81:K81" si="10">SUM(E78:E80)</f>
        <v>72476</v>
      </c>
      <c r="F81" s="1594">
        <f t="shared" si="10"/>
        <v>111444</v>
      </c>
      <c r="G81" s="1594">
        <f t="shared" si="10"/>
        <v>129235</v>
      </c>
      <c r="H81" s="1594">
        <f t="shared" si="10"/>
        <v>-9441</v>
      </c>
      <c r="I81" s="1594">
        <f t="shared" si="10"/>
        <v>779936</v>
      </c>
      <c r="J81" s="1594">
        <f t="shared" si="10"/>
        <v>0</v>
      </c>
      <c r="K81" s="1594">
        <f t="shared" si="10"/>
        <v>4720</v>
      </c>
      <c r="L81" s="325"/>
    </row>
    <row r="82" spans="1:12" ht="0.75" customHeight="1" thickTop="1" thickBot="1" x14ac:dyDescent="0.25">
      <c r="A82" s="459" t="s">
        <v>340</v>
      </c>
      <c r="B82" s="460"/>
      <c r="C82" s="461">
        <f>(C81-C79)</f>
        <v>-738941</v>
      </c>
      <c r="D82" s="461">
        <f t="shared" ref="D82:K82" si="11">(D81-D79)</f>
        <v>76788</v>
      </c>
      <c r="E82" s="461">
        <f t="shared" si="11"/>
        <v>-3219</v>
      </c>
      <c r="F82" s="461">
        <f t="shared" si="11"/>
        <v>2897</v>
      </c>
      <c r="G82" s="461">
        <f t="shared" si="11"/>
        <v>19762</v>
      </c>
      <c r="H82" s="461">
        <f t="shared" si="11"/>
        <v>-462382</v>
      </c>
      <c r="I82" s="461">
        <f t="shared" si="11"/>
        <v>27226</v>
      </c>
      <c r="J82" s="461">
        <f t="shared" si="11"/>
        <v>0</v>
      </c>
      <c r="K82" s="461">
        <f t="shared" si="11"/>
        <v>25</v>
      </c>
    </row>
    <row r="83" spans="1:12" ht="14.25" hidden="1" thickTop="1" thickBot="1" x14ac:dyDescent="0.25">
      <c r="A83" s="462" t="s">
        <v>341</v>
      </c>
      <c r="B83" s="428"/>
      <c r="C83" s="463">
        <f>C82/C81</f>
        <v>-1.8154148148694098</v>
      </c>
      <c r="D83" s="463">
        <f t="shared" ref="D83:K83" si="12">D82/D81</f>
        <v>0.12513913311311053</v>
      </c>
      <c r="E83" s="463">
        <f t="shared" si="12"/>
        <v>-4.4414702798167671E-2</v>
      </c>
      <c r="F83" s="463">
        <f t="shared" si="12"/>
        <v>2.5995118624600695E-2</v>
      </c>
      <c r="G83" s="463">
        <f t="shared" si="12"/>
        <v>0.15291523194181142</v>
      </c>
      <c r="H83" s="463">
        <f t="shared" si="12"/>
        <v>48.975955936871095</v>
      </c>
      <c r="I83" s="463">
        <f t="shared" si="12"/>
        <v>3.4907992450662617E-2</v>
      </c>
      <c r="J83" s="463" t="e">
        <f t="shared" si="12"/>
        <v>#DIV/0!</v>
      </c>
      <c r="K83" s="463">
        <f t="shared" si="12"/>
        <v>5.2966101694915252E-3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9"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1779</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3806486</v>
      </c>
      <c r="D5" s="1586">
        <v>624262</v>
      </c>
      <c r="E5" s="1573">
        <v>1152152</v>
      </c>
      <c r="F5" s="1631">
        <v>236154</v>
      </c>
      <c r="G5" s="1573">
        <v>12124</v>
      </c>
      <c r="H5" s="1573"/>
      <c r="I5" s="1573">
        <v>27226</v>
      </c>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47609</v>
      </c>
      <c r="D7" s="1573"/>
      <c r="E7" s="1575"/>
      <c r="F7" s="1574"/>
      <c r="G7" s="1574"/>
      <c r="H7" s="1574"/>
      <c r="I7" s="1575"/>
      <c r="J7" s="1575"/>
      <c r="K7" s="1575"/>
    </row>
    <row r="8" spans="1:12" x14ac:dyDescent="0.2">
      <c r="A8" s="427" t="s">
        <v>410</v>
      </c>
      <c r="B8" s="429">
        <v>1150</v>
      </c>
      <c r="C8" s="1580"/>
      <c r="D8" s="1580"/>
      <c r="E8" s="1582"/>
      <c r="F8" s="1582"/>
      <c r="G8" s="1586">
        <v>297289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3854095</v>
      </c>
      <c r="D12" s="1633">
        <f t="shared" si="0"/>
        <v>624262</v>
      </c>
      <c r="E12" s="1633">
        <f t="shared" si="0"/>
        <v>1152152</v>
      </c>
      <c r="F12" s="1633">
        <f t="shared" si="0"/>
        <v>236154</v>
      </c>
      <c r="G12" s="1633">
        <f t="shared" si="0"/>
        <v>309413</v>
      </c>
      <c r="H12" s="1633">
        <f t="shared" si="0"/>
        <v>0</v>
      </c>
      <c r="I12" s="1633">
        <f t="shared" si="0"/>
        <v>27226</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176271</v>
      </c>
      <c r="D16" s="1573"/>
      <c r="E16" s="1573"/>
      <c r="F16" s="1573"/>
      <c r="G16" s="1573">
        <v>40000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176271</v>
      </c>
      <c r="D18" s="1635">
        <f t="shared" ref="D18:K18" si="1">SUM(D14:D17)</f>
        <v>0</v>
      </c>
      <c r="E18" s="1635">
        <f t="shared" si="1"/>
        <v>0</v>
      </c>
      <c r="F18" s="1635">
        <f t="shared" si="1"/>
        <v>0</v>
      </c>
      <c r="G18" s="1635">
        <f t="shared" si="1"/>
        <v>40000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224711</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224711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11466</v>
      </c>
      <c r="D65" s="1573">
        <v>4568</v>
      </c>
      <c r="E65" s="1573">
        <v>1792</v>
      </c>
      <c r="F65" s="1574">
        <v>341</v>
      </c>
      <c r="G65" s="1573">
        <v>1022</v>
      </c>
      <c r="H65" s="1573">
        <v>443</v>
      </c>
      <c r="I65" s="1573">
        <v>6623</v>
      </c>
      <c r="J65" s="1574"/>
      <c r="K65" s="1573">
        <v>25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11466</v>
      </c>
      <c r="D67" s="1594">
        <f t="shared" ref="D67:K67" si="2">SUM(D65:D66)</f>
        <v>4568</v>
      </c>
      <c r="E67" s="1594">
        <f t="shared" si="2"/>
        <v>1792</v>
      </c>
      <c r="F67" s="1594">
        <f t="shared" si="2"/>
        <v>341</v>
      </c>
      <c r="G67" s="1594">
        <f t="shared" si="2"/>
        <v>1022</v>
      </c>
      <c r="H67" s="1594">
        <f t="shared" si="2"/>
        <v>443</v>
      </c>
      <c r="I67" s="1594">
        <f t="shared" si="2"/>
        <v>6623</v>
      </c>
      <c r="J67" s="1594">
        <f t="shared" si="2"/>
        <v>0</v>
      </c>
      <c r="K67" s="1594">
        <f t="shared" si="2"/>
        <v>25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201015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7222</v>
      </c>
      <c r="D73" s="1575"/>
      <c r="E73" s="1575"/>
      <c r="F73" s="1575"/>
      <c r="G73" s="1575"/>
      <c r="H73" s="1575"/>
      <c r="I73" s="1575"/>
      <c r="J73" s="1575"/>
      <c r="K73" s="1575"/>
    </row>
    <row r="74" spans="1:11" ht="12.75" customHeight="1" x14ac:dyDescent="0.2">
      <c r="A74" s="427" t="s">
        <v>25</v>
      </c>
      <c r="B74" s="429">
        <v>1690</v>
      </c>
      <c r="C74" s="1632">
        <v>5073</v>
      </c>
      <c r="D74" s="1575"/>
      <c r="E74" s="1575"/>
      <c r="F74" s="1575"/>
      <c r="G74" s="1575"/>
      <c r="H74" s="1575"/>
      <c r="I74" s="1575"/>
      <c r="J74" s="1575"/>
      <c r="K74" s="1575"/>
    </row>
    <row r="75" spans="1:11" ht="12.75" customHeight="1" thickBot="1" x14ac:dyDescent="0.25">
      <c r="A75" s="1406" t="s">
        <v>544</v>
      </c>
      <c r="B75" s="1407"/>
      <c r="C75" s="1594">
        <f>SUM(C69:C74)</f>
        <v>213310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33306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26530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59836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149121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149121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319</v>
      </c>
      <c r="E95" s="1617"/>
      <c r="F95" s="1617"/>
      <c r="G95" s="1617"/>
      <c r="H95" s="1617"/>
      <c r="I95" s="1617"/>
      <c r="J95" s="1617"/>
      <c r="K95" s="1617"/>
    </row>
    <row r="96" spans="1:11" ht="12.75" customHeight="1" x14ac:dyDescent="0.2">
      <c r="A96" s="427" t="s">
        <v>388</v>
      </c>
      <c r="B96" s="429">
        <v>1920</v>
      </c>
      <c r="C96" s="1632">
        <v>27133</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5290</v>
      </c>
      <c r="D98" s="1573"/>
      <c r="E98" s="1612"/>
      <c r="F98" s="1573"/>
      <c r="G98" s="1612"/>
      <c r="H98" s="1612"/>
      <c r="I98" s="1610"/>
      <c r="J98" s="1612"/>
      <c r="K98" s="1612"/>
    </row>
    <row r="99" spans="1:12" ht="12.75" customHeight="1" x14ac:dyDescent="0.2">
      <c r="A99" s="427" t="s">
        <v>816</v>
      </c>
      <c r="B99" s="429">
        <v>1950</v>
      </c>
      <c r="C99" s="1598">
        <v>48988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5300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5595</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9295</v>
      </c>
      <c r="D106" s="1598"/>
      <c r="E106" s="1574"/>
      <c r="F106" s="1574"/>
      <c r="G106" s="1574"/>
      <c r="H106" s="1574"/>
      <c r="I106" s="1617"/>
      <c r="J106" s="1574"/>
      <c r="K106" s="1574"/>
    </row>
    <row r="107" spans="1:12" ht="12.75" customHeight="1" x14ac:dyDescent="0.2">
      <c r="A107" s="427" t="s">
        <v>78</v>
      </c>
      <c r="B107" s="429">
        <v>1999</v>
      </c>
      <c r="C107" s="1632">
        <v>1720</v>
      </c>
      <c r="D107" s="1573"/>
      <c r="E107" s="1573"/>
      <c r="F107" s="1573">
        <v>127</v>
      </c>
      <c r="G107" s="1573"/>
      <c r="H107" s="1573"/>
      <c r="I107" s="1573"/>
      <c r="J107" s="1574"/>
      <c r="K107" s="1573"/>
    </row>
    <row r="108" spans="1:12" ht="12.75" customHeight="1" thickBot="1" x14ac:dyDescent="0.25">
      <c r="A108" s="1406" t="s">
        <v>484</v>
      </c>
      <c r="B108" s="1408"/>
      <c r="C108" s="1633">
        <f>SUM(C95:C107)</f>
        <v>103321</v>
      </c>
      <c r="D108" s="1633">
        <f t="shared" ref="D108:K108" si="3">SUM(D95:D107)</f>
        <v>319</v>
      </c>
      <c r="E108" s="1633">
        <f t="shared" si="3"/>
        <v>0</v>
      </c>
      <c r="F108" s="1633">
        <f t="shared" si="3"/>
        <v>127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4792131</v>
      </c>
      <c r="D109" s="1641">
        <f t="shared" si="4"/>
        <v>629149</v>
      </c>
      <c r="E109" s="1641">
        <f t="shared" si="4"/>
        <v>1153944</v>
      </c>
      <c r="F109" s="1641">
        <f t="shared" si="4"/>
        <v>236622</v>
      </c>
      <c r="G109" s="1641">
        <f t="shared" si="4"/>
        <v>350435</v>
      </c>
      <c r="H109" s="1641">
        <f t="shared" si="4"/>
        <v>443</v>
      </c>
      <c r="I109" s="1641">
        <f t="shared" si="4"/>
        <v>33849</v>
      </c>
      <c r="J109" s="1641">
        <f t="shared" si="4"/>
        <v>0</v>
      </c>
      <c r="K109" s="1629">
        <f t="shared" si="4"/>
        <v>25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2419054</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2419054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39881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80998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120879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8835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13009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21844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413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10829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137655</v>
      </c>
      <c r="G152" s="1574"/>
      <c r="H152" s="1575"/>
      <c r="I152" s="1575"/>
      <c r="J152" s="1575"/>
      <c r="K152" s="1575"/>
    </row>
    <row r="153" spans="1:11" ht="12.75" customHeight="1" x14ac:dyDescent="0.2">
      <c r="A153" s="427" t="s">
        <v>1048</v>
      </c>
      <c r="B153" s="478">
        <v>3510</v>
      </c>
      <c r="C153" s="1632"/>
      <c r="D153" s="1573"/>
      <c r="E153" s="1640"/>
      <c r="F153" s="1573">
        <v>137393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275048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4880</v>
      </c>
      <c r="D168" s="1655"/>
      <c r="E168" s="1655"/>
      <c r="F168" s="1655"/>
      <c r="G168" s="1656"/>
      <c r="H168" s="1657"/>
      <c r="I168" s="1656"/>
      <c r="J168" s="1656"/>
      <c r="K168" s="1657"/>
    </row>
    <row r="169" spans="1:11" ht="12.75" customHeight="1" thickTop="1" thickBot="1" x14ac:dyDescent="0.25">
      <c r="A169" s="2261" t="s">
        <v>395</v>
      </c>
      <c r="B169" s="2262"/>
      <c r="C169" s="1658">
        <f t="shared" ref="C169:K169" si="6">SUM(C132,C141,C145,C146:C150,C155,C156:C167,C168)</f>
        <v>158845</v>
      </c>
      <c r="D169" s="1658">
        <f t="shared" si="6"/>
        <v>50000</v>
      </c>
      <c r="E169" s="1658">
        <f t="shared" si="6"/>
        <v>0</v>
      </c>
      <c r="F169" s="1658">
        <f t="shared" si="6"/>
        <v>275048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2577899</v>
      </c>
      <c r="D170" s="1641">
        <f t="shared" si="7"/>
        <v>50000</v>
      </c>
      <c r="E170" s="1641">
        <f t="shared" si="7"/>
        <v>0</v>
      </c>
      <c r="F170" s="1641">
        <f t="shared" si="7"/>
        <v>275048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3" t="s">
        <v>1475</v>
      </c>
      <c r="B172" s="226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7" t="s">
        <v>1646</v>
      </c>
      <c r="B175" s="226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1" t="s">
        <v>1645</v>
      </c>
      <c r="B176" s="227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9" t="s">
        <v>780</v>
      </c>
      <c r="B181" s="227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5" t="s">
        <v>1780</v>
      </c>
      <c r="B182" s="226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39039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20974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60013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42976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42976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110420</v>
      </c>
      <c r="D213" s="1573"/>
      <c r="E213" s="1575"/>
      <c r="F213" s="1573"/>
      <c r="G213" s="1573"/>
      <c r="H213" s="1575"/>
      <c r="I213" s="1575"/>
      <c r="J213" s="1575"/>
      <c r="K213" s="1575"/>
    </row>
    <row r="214" spans="1:11" ht="12.75" customHeight="1" x14ac:dyDescent="0.2">
      <c r="A214" s="427" t="s">
        <v>1045</v>
      </c>
      <c r="B214" s="429">
        <v>4625</v>
      </c>
      <c r="C214" s="1632">
        <v>12311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122731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9498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8090</v>
      </c>
      <c r="D263" s="1651"/>
      <c r="E263" s="1575"/>
      <c r="F263" s="1651"/>
      <c r="G263" s="1651"/>
      <c r="H263" s="1575"/>
      <c r="I263" s="1575"/>
      <c r="J263" s="1575"/>
      <c r="K263" s="1575"/>
    </row>
    <row r="264" spans="1:11" ht="12.75" customHeight="1" thickTop="1" thickBot="1" x14ac:dyDescent="0.25">
      <c r="A264" s="427" t="s">
        <v>374</v>
      </c>
      <c r="B264" s="429">
        <v>4992</v>
      </c>
      <c r="C264" s="1650">
        <v>48116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291424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291424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7661454</v>
      </c>
      <c r="D268" s="1641">
        <f t="shared" si="12"/>
        <v>679149</v>
      </c>
      <c r="E268" s="1641">
        <f t="shared" si="12"/>
        <v>1153944</v>
      </c>
      <c r="F268" s="1641">
        <f t="shared" si="12"/>
        <v>511670</v>
      </c>
      <c r="G268" s="1641">
        <f t="shared" si="12"/>
        <v>350435</v>
      </c>
      <c r="H268" s="1641">
        <f t="shared" si="12"/>
        <v>443</v>
      </c>
      <c r="I268" s="1641">
        <f t="shared" si="12"/>
        <v>33849</v>
      </c>
      <c r="J268" s="1641">
        <f t="shared" si="12"/>
        <v>0</v>
      </c>
      <c r="K268" s="1629">
        <f t="shared" si="12"/>
        <v>25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D1" colorId="8" zoomScale="110" zoomScaleNormal="110" workbookViewId="0">
      <pane ySplit="2" topLeftCell="A117" activePane="bottomLeft" state="frozen"/>
      <selection pane="bottomLeft" activeCell="L47" sqref="L4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1" t="s">
        <v>294</v>
      </c>
      <c r="B3" s="228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3248784</v>
      </c>
      <c r="D5" s="1573">
        <v>389198</v>
      </c>
      <c r="E5" s="1573">
        <v>227420</v>
      </c>
      <c r="F5" s="1573">
        <v>88710</v>
      </c>
      <c r="G5" s="1573">
        <v>63362</v>
      </c>
      <c r="H5" s="1573">
        <v>907</v>
      </c>
      <c r="I5" s="1574"/>
      <c r="J5" s="1574"/>
      <c r="K5" s="1672">
        <f>SUM(C5:J5)</f>
        <v>4018381</v>
      </c>
      <c r="L5" s="1573">
        <v>3907746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170975</v>
      </c>
      <c r="D7" s="1574">
        <v>13809</v>
      </c>
      <c r="E7" s="1574"/>
      <c r="F7" s="1574">
        <v>7504</v>
      </c>
      <c r="G7" s="1574"/>
      <c r="H7" s="1574"/>
      <c r="I7" s="1574"/>
      <c r="J7" s="1574"/>
      <c r="K7" s="1672">
        <f t="shared" ref="K7:K32" si="0">SUM(C7:J7)</f>
        <v>192288</v>
      </c>
      <c r="L7" s="1573">
        <v>191551</v>
      </c>
    </row>
    <row r="8" spans="1:14" x14ac:dyDescent="0.2">
      <c r="A8" s="1274" t="s">
        <v>163</v>
      </c>
      <c r="B8" s="503">
        <v>1200</v>
      </c>
      <c r="C8" s="1573">
        <v>1108943</v>
      </c>
      <c r="D8" s="1573">
        <v>164887</v>
      </c>
      <c r="E8" s="1573">
        <v>14072</v>
      </c>
      <c r="F8" s="1573">
        <v>5408</v>
      </c>
      <c r="G8" s="1573">
        <v>747</v>
      </c>
      <c r="H8" s="1573"/>
      <c r="I8" s="1574"/>
      <c r="J8" s="1574"/>
      <c r="K8" s="1672">
        <f t="shared" si="0"/>
        <v>1294057</v>
      </c>
      <c r="L8" s="1573">
        <v>1289658</v>
      </c>
    </row>
    <row r="9" spans="1:14" x14ac:dyDescent="0.2">
      <c r="A9" s="1274" t="s">
        <v>716</v>
      </c>
      <c r="B9" s="503" t="s">
        <v>962</v>
      </c>
      <c r="C9" s="1574">
        <v>33287</v>
      </c>
      <c r="D9" s="1574">
        <v>395</v>
      </c>
      <c r="E9" s="1574"/>
      <c r="F9" s="1574"/>
      <c r="G9" s="1574"/>
      <c r="H9" s="1574"/>
      <c r="I9" s="1574"/>
      <c r="J9" s="1574"/>
      <c r="K9" s="1672">
        <f t="shared" si="0"/>
        <v>33682</v>
      </c>
      <c r="L9" s="1573">
        <v>33746</v>
      </c>
    </row>
    <row r="10" spans="1:14" x14ac:dyDescent="0.2">
      <c r="A10" s="1274" t="s">
        <v>717</v>
      </c>
      <c r="B10" s="503">
        <v>1250</v>
      </c>
      <c r="C10" s="1573">
        <v>121626</v>
      </c>
      <c r="D10" s="1573">
        <v>7813</v>
      </c>
      <c r="E10" s="1573"/>
      <c r="F10" s="1573">
        <v>4565</v>
      </c>
      <c r="G10" s="1573"/>
      <c r="H10" s="1573"/>
      <c r="I10" s="1574"/>
      <c r="J10" s="1574"/>
      <c r="K10" s="1672">
        <f t="shared" si="0"/>
        <v>134004</v>
      </c>
      <c r="L10" s="1573">
        <v>79591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207291</v>
      </c>
      <c r="D13" s="1573">
        <v>26551</v>
      </c>
      <c r="E13" s="1573">
        <v>100</v>
      </c>
      <c r="F13" s="1573">
        <v>2174</v>
      </c>
      <c r="G13" s="1573">
        <v>6388</v>
      </c>
      <c r="H13" s="1573"/>
      <c r="I13" s="1574"/>
      <c r="J13" s="1574"/>
      <c r="K13" s="1672">
        <f t="shared" si="0"/>
        <v>242504</v>
      </c>
      <c r="L13" s="1573">
        <v>221123</v>
      </c>
    </row>
    <row r="14" spans="1:14" x14ac:dyDescent="0.2">
      <c r="A14" s="1274" t="s">
        <v>957</v>
      </c>
      <c r="B14" s="503">
        <v>1500</v>
      </c>
      <c r="C14" s="1573">
        <v>243648</v>
      </c>
      <c r="D14" s="1573">
        <v>16833</v>
      </c>
      <c r="E14" s="1573">
        <v>32281</v>
      </c>
      <c r="F14" s="1573">
        <v>18705</v>
      </c>
      <c r="G14" s="1573">
        <v>1465</v>
      </c>
      <c r="H14" s="1573">
        <v>9686</v>
      </c>
      <c r="I14" s="1574"/>
      <c r="J14" s="1574"/>
      <c r="K14" s="1672">
        <f t="shared" si="0"/>
        <v>322618</v>
      </c>
      <c r="L14" s="1573">
        <v>311326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81099</v>
      </c>
      <c r="D17" s="1574">
        <v>11938</v>
      </c>
      <c r="E17" s="1574"/>
      <c r="F17" s="1574">
        <v>3990</v>
      </c>
      <c r="G17" s="1574"/>
      <c r="H17" s="1574"/>
      <c r="I17" s="1574"/>
      <c r="J17" s="1574"/>
      <c r="K17" s="1672">
        <f t="shared" si="0"/>
        <v>97027</v>
      </c>
      <c r="L17" s="1573">
        <v>96121</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188858</v>
      </c>
      <c r="I22" s="1673"/>
      <c r="J22" s="1582"/>
      <c r="K22" s="1672">
        <f t="shared" si="0"/>
        <v>188858</v>
      </c>
      <c r="L22" s="1577">
        <v>65000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5215653</v>
      </c>
      <c r="D33" s="1674">
        <f t="shared" ref="D33:L33" si="1">SUM(D5:D32)</f>
        <v>631424</v>
      </c>
      <c r="E33" s="1674">
        <f t="shared" si="1"/>
        <v>273873</v>
      </c>
      <c r="F33" s="1674">
        <f t="shared" si="1"/>
        <v>131056</v>
      </c>
      <c r="G33" s="1674">
        <f t="shared" si="1"/>
        <v>71962</v>
      </c>
      <c r="H33" s="1674">
        <f t="shared" si="1"/>
        <v>199451</v>
      </c>
      <c r="I33" s="1674">
        <f t="shared" si="1"/>
        <v>0</v>
      </c>
      <c r="J33" s="1674">
        <f t="shared" si="1"/>
        <v>0</v>
      </c>
      <c r="K33" s="1674">
        <f t="shared" si="1"/>
        <v>6523419</v>
      </c>
      <c r="L33" s="1674">
        <f t="shared" si="1"/>
        <v>6195862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131178</v>
      </c>
      <c r="D37" s="1573">
        <v>22328</v>
      </c>
      <c r="E37" s="1573">
        <v>2506</v>
      </c>
      <c r="F37" s="1573">
        <v>71</v>
      </c>
      <c r="G37" s="1573"/>
      <c r="H37" s="1573"/>
      <c r="I37" s="1574"/>
      <c r="J37" s="1574"/>
      <c r="K37" s="1672">
        <f t="shared" si="2"/>
        <v>156083</v>
      </c>
      <c r="L37" s="1573">
        <v>154174</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v>2717</v>
      </c>
      <c r="G41" s="1573"/>
      <c r="H41" s="1573"/>
      <c r="I41" s="1574"/>
      <c r="J41" s="1574"/>
      <c r="K41" s="1672">
        <f t="shared" si="2"/>
        <v>2717</v>
      </c>
      <c r="L41" s="1573">
        <v>3000</v>
      </c>
    </row>
    <row r="42" spans="1:14" ht="12.75" customHeight="1" thickBot="1" x14ac:dyDescent="0.25">
      <c r="A42" s="1380" t="s">
        <v>556</v>
      </c>
      <c r="B42" s="1381" t="s">
        <v>711</v>
      </c>
      <c r="C42" s="1674">
        <f>SUM(C36:C41)</f>
        <v>131178</v>
      </c>
      <c r="D42" s="1674">
        <f t="shared" ref="D42:L42" si="3">SUM(D36:D41)</f>
        <v>22328</v>
      </c>
      <c r="E42" s="1674">
        <f t="shared" si="3"/>
        <v>2506</v>
      </c>
      <c r="F42" s="1674">
        <f t="shared" si="3"/>
        <v>2788</v>
      </c>
      <c r="G42" s="1674">
        <f t="shared" si="3"/>
        <v>0</v>
      </c>
      <c r="H42" s="1674">
        <f t="shared" si="3"/>
        <v>0</v>
      </c>
      <c r="I42" s="1674">
        <f t="shared" si="3"/>
        <v>0</v>
      </c>
      <c r="J42" s="1674">
        <f t="shared" si="3"/>
        <v>0</v>
      </c>
      <c r="K42" s="1674">
        <f t="shared" si="3"/>
        <v>158800</v>
      </c>
      <c r="L42" s="1674">
        <f t="shared" si="3"/>
        <v>157174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3230</v>
      </c>
      <c r="D44" s="1586"/>
      <c r="E44" s="1586">
        <v>6066</v>
      </c>
      <c r="F44" s="1586"/>
      <c r="G44" s="1586"/>
      <c r="H44" s="1586"/>
      <c r="I44" s="1574"/>
      <c r="J44" s="1574"/>
      <c r="K44" s="1678">
        <f>SUM(C44:J44)</f>
        <v>9296</v>
      </c>
      <c r="L44" s="1586">
        <v>11000</v>
      </c>
    </row>
    <row r="45" spans="1:14" x14ac:dyDescent="0.2">
      <c r="A45" s="1274" t="s">
        <v>810</v>
      </c>
      <c r="B45" s="503">
        <v>2220</v>
      </c>
      <c r="C45" s="1573">
        <v>21375</v>
      </c>
      <c r="D45" s="1573">
        <v>10567</v>
      </c>
      <c r="E45" s="1573">
        <v>7194</v>
      </c>
      <c r="F45" s="1573">
        <v>1019</v>
      </c>
      <c r="G45" s="1573"/>
      <c r="H45" s="1573"/>
      <c r="I45" s="1574"/>
      <c r="J45" s="1574"/>
      <c r="K45" s="1678">
        <f>SUM(C45:J45)</f>
        <v>40155</v>
      </c>
      <c r="L45" s="1573">
        <v>73169</v>
      </c>
    </row>
    <row r="46" spans="1:14" x14ac:dyDescent="0.2">
      <c r="A46" s="1274" t="s">
        <v>811</v>
      </c>
      <c r="B46" s="503">
        <v>2230</v>
      </c>
      <c r="C46" s="1573"/>
      <c r="D46" s="1573"/>
      <c r="E46" s="1573">
        <v>31723</v>
      </c>
      <c r="F46" s="1573"/>
      <c r="G46" s="1573"/>
      <c r="H46" s="1573"/>
      <c r="I46" s="1574"/>
      <c r="J46" s="1574"/>
      <c r="K46" s="1678">
        <f>SUM(C46:J46)</f>
        <v>31723</v>
      </c>
      <c r="L46" s="1573">
        <v>0</v>
      </c>
    </row>
    <row r="47" spans="1:14" ht="12.75" customHeight="1" thickBot="1" x14ac:dyDescent="0.25">
      <c r="A47" s="1380" t="s">
        <v>557</v>
      </c>
      <c r="B47" s="1381" t="s">
        <v>32</v>
      </c>
      <c r="C47" s="1674">
        <f>SUM(C44:C46)</f>
        <v>24605</v>
      </c>
      <c r="D47" s="1674">
        <f t="shared" ref="D47:K47" si="4">SUM(D44:D46)</f>
        <v>10567</v>
      </c>
      <c r="E47" s="1674">
        <f t="shared" si="4"/>
        <v>44983</v>
      </c>
      <c r="F47" s="1674">
        <f t="shared" si="4"/>
        <v>1019</v>
      </c>
      <c r="G47" s="1674">
        <f t="shared" si="4"/>
        <v>0</v>
      </c>
      <c r="H47" s="1674">
        <f t="shared" si="4"/>
        <v>0</v>
      </c>
      <c r="I47" s="1674">
        <f t="shared" si="4"/>
        <v>0</v>
      </c>
      <c r="J47" s="1674">
        <f t="shared" si="4"/>
        <v>0</v>
      </c>
      <c r="K47" s="1674">
        <f t="shared" si="4"/>
        <v>81174</v>
      </c>
      <c r="L47" s="1674">
        <f>SUM(L44:L46)</f>
        <v>84169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5500</v>
      </c>
      <c r="D49" s="1586">
        <v>10</v>
      </c>
      <c r="E49" s="1586">
        <v>85495</v>
      </c>
      <c r="F49" s="1586">
        <v>402</v>
      </c>
      <c r="G49" s="1586"/>
      <c r="H49" s="1586">
        <v>417</v>
      </c>
      <c r="I49" s="1574"/>
      <c r="J49" s="1574"/>
      <c r="K49" s="1678">
        <f>SUM(C49:J49)</f>
        <v>91824</v>
      </c>
      <c r="L49" s="1586">
        <v>88113</v>
      </c>
    </row>
    <row r="50" spans="1:14" x14ac:dyDescent="0.2">
      <c r="A50" s="1274" t="s">
        <v>813</v>
      </c>
      <c r="B50" s="503">
        <v>2320</v>
      </c>
      <c r="C50" s="1573">
        <v>224520</v>
      </c>
      <c r="D50" s="1573">
        <v>28018</v>
      </c>
      <c r="E50" s="1573">
        <v>6512</v>
      </c>
      <c r="F50" s="1573">
        <v>2447</v>
      </c>
      <c r="G50" s="1573"/>
      <c r="H50" s="1573"/>
      <c r="I50" s="1574"/>
      <c r="J50" s="1574"/>
      <c r="K50" s="1678">
        <f>SUM(C50:J50)</f>
        <v>261497</v>
      </c>
      <c r="L50" s="1573">
        <v>264755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230020</v>
      </c>
      <c r="D53" s="1674">
        <f t="shared" ref="D53:L53" si="5">SUM(D49:D52)</f>
        <v>28028</v>
      </c>
      <c r="E53" s="1674">
        <f t="shared" si="5"/>
        <v>92007</v>
      </c>
      <c r="F53" s="1674">
        <f t="shared" si="5"/>
        <v>2849</v>
      </c>
      <c r="G53" s="1674">
        <f t="shared" si="5"/>
        <v>0</v>
      </c>
      <c r="H53" s="1674">
        <f t="shared" si="5"/>
        <v>417</v>
      </c>
      <c r="I53" s="1674">
        <f t="shared" si="5"/>
        <v>0</v>
      </c>
      <c r="J53" s="1674">
        <f t="shared" si="5"/>
        <v>0</v>
      </c>
      <c r="K53" s="1674">
        <f t="shared" si="5"/>
        <v>353321</v>
      </c>
      <c r="L53" s="1674">
        <f t="shared" si="5"/>
        <v>352868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451077</v>
      </c>
      <c r="D55" s="1586">
        <v>59695</v>
      </c>
      <c r="E55" s="1586">
        <v>8564</v>
      </c>
      <c r="F55" s="1586">
        <v>1598</v>
      </c>
      <c r="G55" s="1586"/>
      <c r="H55" s="1586">
        <v>726</v>
      </c>
      <c r="I55" s="1574"/>
      <c r="J55" s="1574"/>
      <c r="K55" s="1678">
        <f>SUM(C55:J55)</f>
        <v>521660</v>
      </c>
      <c r="L55" s="1586">
        <v>540946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451077</v>
      </c>
      <c r="D57" s="1679">
        <f t="shared" ref="D57:K57" si="6">SUM(D55:D56)</f>
        <v>59695</v>
      </c>
      <c r="E57" s="1679">
        <f t="shared" si="6"/>
        <v>8564</v>
      </c>
      <c r="F57" s="1679">
        <f t="shared" si="6"/>
        <v>1598</v>
      </c>
      <c r="G57" s="1679">
        <f t="shared" si="6"/>
        <v>0</v>
      </c>
      <c r="H57" s="1679">
        <f t="shared" si="6"/>
        <v>726</v>
      </c>
      <c r="I57" s="1679">
        <f t="shared" si="6"/>
        <v>0</v>
      </c>
      <c r="J57" s="1679">
        <f t="shared" si="6"/>
        <v>0</v>
      </c>
      <c r="K57" s="1679">
        <f t="shared" si="6"/>
        <v>521660</v>
      </c>
      <c r="L57" s="1674">
        <f>SUM(L55:L56)</f>
        <v>540946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53342</v>
      </c>
      <c r="D60" s="1573">
        <v>6643</v>
      </c>
      <c r="E60" s="1573">
        <v>3290</v>
      </c>
      <c r="F60" s="1573">
        <v>19299</v>
      </c>
      <c r="G60" s="1573"/>
      <c r="H60" s="1573">
        <v>140</v>
      </c>
      <c r="I60" s="1574"/>
      <c r="J60" s="1574"/>
      <c r="K60" s="1678">
        <f t="shared" si="7"/>
        <v>82714</v>
      </c>
      <c r="L60" s="1573">
        <v>63689</v>
      </c>
      <c r="M60" s="501"/>
      <c r="N60" s="501"/>
    </row>
    <row r="61" spans="1:14" s="321" customFormat="1" x14ac:dyDescent="0.2">
      <c r="A61" s="1274" t="s">
        <v>195</v>
      </c>
      <c r="B61" s="503">
        <v>2540</v>
      </c>
      <c r="C61" s="1573"/>
      <c r="D61" s="1573"/>
      <c r="E61" s="1573">
        <v>184755</v>
      </c>
      <c r="F61" s="1573"/>
      <c r="G61" s="1573"/>
      <c r="H61" s="1573"/>
      <c r="I61" s="1574"/>
      <c r="J61" s="1574"/>
      <c r="K61" s="1678">
        <f t="shared" si="7"/>
        <v>184755</v>
      </c>
      <c r="L61" s="1573">
        <v>152000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112178</v>
      </c>
      <c r="D63" s="1573">
        <v>6571</v>
      </c>
      <c r="E63" s="1573">
        <v>1974</v>
      </c>
      <c r="F63" s="1573">
        <v>154740</v>
      </c>
      <c r="G63" s="1573"/>
      <c r="H63" s="1573"/>
      <c r="I63" s="1574"/>
      <c r="J63" s="1574"/>
      <c r="K63" s="1678">
        <f t="shared" si="7"/>
        <v>275463</v>
      </c>
      <c r="L63" s="1573">
        <v>304360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165520</v>
      </c>
      <c r="D65" s="1674">
        <f t="shared" ref="D65:L65" si="8">SUM(D59:D64)</f>
        <v>13214</v>
      </c>
      <c r="E65" s="1674">
        <f t="shared" si="8"/>
        <v>190019</v>
      </c>
      <c r="F65" s="1674">
        <f t="shared" si="8"/>
        <v>174039</v>
      </c>
      <c r="G65" s="1674">
        <f t="shared" si="8"/>
        <v>0</v>
      </c>
      <c r="H65" s="1674">
        <f t="shared" si="8"/>
        <v>140</v>
      </c>
      <c r="I65" s="1674">
        <f t="shared" si="8"/>
        <v>0</v>
      </c>
      <c r="J65" s="1674">
        <f t="shared" si="8"/>
        <v>0</v>
      </c>
      <c r="K65" s="1674">
        <f t="shared" si="8"/>
        <v>542932</v>
      </c>
      <c r="L65" s="1674">
        <f t="shared" si="8"/>
        <v>520049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1002400</v>
      </c>
      <c r="D74" s="1681">
        <f t="shared" ref="D74:K74" si="10">SUM(D42,D47,D53,D57,D65,D72,D73)</f>
        <v>133832</v>
      </c>
      <c r="E74" s="1681">
        <f t="shared" si="10"/>
        <v>338079</v>
      </c>
      <c r="F74" s="1681">
        <f t="shared" si="10"/>
        <v>182293</v>
      </c>
      <c r="G74" s="1681">
        <f t="shared" si="10"/>
        <v>0</v>
      </c>
      <c r="H74" s="1681">
        <f t="shared" si="10"/>
        <v>1283</v>
      </c>
      <c r="I74" s="1681">
        <f t="shared" si="10"/>
        <v>0</v>
      </c>
      <c r="J74" s="1681">
        <f t="shared" si="10"/>
        <v>0</v>
      </c>
      <c r="K74" s="1681">
        <f t="shared" si="10"/>
        <v>1657887</v>
      </c>
      <c r="L74" s="1681">
        <f>SUM(L42,L47,L53,L57,L65,L72,L73)</f>
        <v>1655206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54931</v>
      </c>
      <c r="F79" s="1673"/>
      <c r="G79" s="1673"/>
      <c r="H79" s="1573"/>
      <c r="I79" s="1582"/>
      <c r="J79" s="1582"/>
      <c r="K79" s="1672">
        <f t="shared" si="11"/>
        <v>54931</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54931</v>
      </c>
      <c r="F84" s="1673"/>
      <c r="G84" s="1673"/>
      <c r="H84" s="1674">
        <f>SUM(H78:H83)</f>
        <v>0</v>
      </c>
      <c r="I84" s="1582"/>
      <c r="J84" s="1582"/>
      <c r="K84" s="1674">
        <f>SUM(K78:K83)</f>
        <v>54931</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140781</v>
      </c>
      <c r="I86" s="1582"/>
      <c r="J86" s="1582"/>
      <c r="K86" s="1681">
        <f t="shared" ref="K86:K98" si="12">H86</f>
        <v>140781</v>
      </c>
      <c r="L86" s="1626">
        <v>180000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140781</v>
      </c>
      <c r="I92" s="1582"/>
      <c r="J92" s="1582"/>
      <c r="K92" s="1681">
        <f t="shared" si="12"/>
        <v>140781</v>
      </c>
      <c r="L92" s="1674">
        <f>SUM(L85:L91)</f>
        <v>180000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54931</v>
      </c>
      <c r="F102" s="1673"/>
      <c r="G102" s="1673"/>
      <c r="H102" s="1681">
        <f>SUM(H84,H92,H100,H101)</f>
        <v>140781</v>
      </c>
      <c r="I102" s="1582"/>
      <c r="J102" s="1582"/>
      <c r="K102" s="1681">
        <f>SUM(K84,K92,K100,K101)</f>
        <v>195712</v>
      </c>
      <c r="L102" s="1681">
        <f>SUM(L84,L92,L100,L101)</f>
        <v>180000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20000</v>
      </c>
      <c r="M113" s="502"/>
      <c r="N113" s="502"/>
    </row>
    <row r="114" spans="1:14" ht="12.75" customHeight="1" thickTop="1" thickBot="1" x14ac:dyDescent="0.25">
      <c r="A114" s="1380" t="s">
        <v>48</v>
      </c>
      <c r="B114" s="1388"/>
      <c r="C114" s="1674">
        <f>SUM(C33,C74,C75,C102,C112,C113)</f>
        <v>6218053</v>
      </c>
      <c r="D114" s="1674">
        <f t="shared" ref="D114:K114" si="13">SUM(D33,D74,D75,D102,D112,D113)</f>
        <v>765256</v>
      </c>
      <c r="E114" s="1674">
        <f t="shared" si="13"/>
        <v>666883</v>
      </c>
      <c r="F114" s="1674">
        <f t="shared" si="13"/>
        <v>313349</v>
      </c>
      <c r="G114" s="1674">
        <f t="shared" si="13"/>
        <v>71962</v>
      </c>
      <c r="H114" s="1674">
        <f>SUM(H33,H74,H75,H102,H112,H113)</f>
        <v>341515</v>
      </c>
      <c r="I114" s="1674">
        <f t="shared" si="13"/>
        <v>0</v>
      </c>
      <c r="J114" s="1674">
        <f t="shared" si="13"/>
        <v>0</v>
      </c>
      <c r="K114" s="1674">
        <f t="shared" si="13"/>
        <v>8377018</v>
      </c>
      <c r="L114" s="1674">
        <f>SUM(L33,L74,L75,L102,L112,L113)</f>
        <v>8051068</v>
      </c>
    </row>
    <row r="115" spans="1:14" ht="13.5" thickTop="1" x14ac:dyDescent="0.2">
      <c r="A115" s="2273" t="s">
        <v>989</v>
      </c>
      <c r="B115" s="2274"/>
      <c r="C115" s="1675"/>
      <c r="D115" s="1675"/>
      <c r="E115" s="1675"/>
      <c r="F115" s="1675"/>
      <c r="G115" s="1675"/>
      <c r="H115" s="1675"/>
      <c r="I115" s="1675"/>
      <c r="J115" s="1675"/>
      <c r="K115" s="1689">
        <f>'Revenues 9-14'!C268-'Expenditures 15-22'!K114</f>
        <v>-715564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8" t="s">
        <v>293</v>
      </c>
      <c r="B117" s="227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v>26477</v>
      </c>
      <c r="D123" s="1573"/>
      <c r="E123" s="1573"/>
      <c r="F123" s="1573"/>
      <c r="G123" s="1573">
        <v>28634</v>
      </c>
      <c r="H123" s="1573"/>
      <c r="I123" s="1574"/>
      <c r="J123" s="1574"/>
      <c r="K123" s="1674">
        <f>SUM(C123:J123)</f>
        <v>55111</v>
      </c>
      <c r="L123" s="1573">
        <v>56500</v>
      </c>
    </row>
    <row r="124" spans="1:14" ht="14.25" thickTop="1" thickBot="1" x14ac:dyDescent="0.25">
      <c r="A124" s="1274" t="s">
        <v>195</v>
      </c>
      <c r="B124" s="503">
        <v>2540</v>
      </c>
      <c r="C124" s="1573">
        <v>264106</v>
      </c>
      <c r="D124" s="1573">
        <v>31752</v>
      </c>
      <c r="E124" s="1573">
        <v>203443</v>
      </c>
      <c r="F124" s="1573">
        <v>67129</v>
      </c>
      <c r="G124" s="1573">
        <v>820</v>
      </c>
      <c r="H124" s="1573"/>
      <c r="I124" s="1574"/>
      <c r="J124" s="1574"/>
      <c r="K124" s="1674">
        <f>SUM(C124:J124)</f>
        <v>567250</v>
      </c>
      <c r="L124" s="1573">
        <v>582319</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290583</v>
      </c>
      <c r="D127" s="1674">
        <f t="shared" ref="D127:L127" si="14">SUM(D122:D126)</f>
        <v>31752</v>
      </c>
      <c r="E127" s="1674">
        <f t="shared" si="14"/>
        <v>203443</v>
      </c>
      <c r="F127" s="1674">
        <f t="shared" si="14"/>
        <v>67129</v>
      </c>
      <c r="G127" s="1674">
        <f t="shared" si="14"/>
        <v>29454</v>
      </c>
      <c r="H127" s="1674">
        <f t="shared" si="14"/>
        <v>0</v>
      </c>
      <c r="I127" s="1674">
        <f t="shared" si="14"/>
        <v>0</v>
      </c>
      <c r="J127" s="1674">
        <f t="shared" si="14"/>
        <v>0</v>
      </c>
      <c r="K127" s="1674">
        <f t="shared" si="14"/>
        <v>622361</v>
      </c>
      <c r="L127" s="1674">
        <f t="shared" si="14"/>
        <v>638819</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290583</v>
      </c>
      <c r="D129" s="1681">
        <f t="shared" ref="D129:L129" si="15">SUM(D120,D127,D128)</f>
        <v>31752</v>
      </c>
      <c r="E129" s="1681">
        <f t="shared" si="15"/>
        <v>203443</v>
      </c>
      <c r="F129" s="1681">
        <f t="shared" si="15"/>
        <v>67129</v>
      </c>
      <c r="G129" s="1681">
        <f t="shared" si="15"/>
        <v>29454</v>
      </c>
      <c r="H129" s="1681">
        <f t="shared" si="15"/>
        <v>0</v>
      </c>
      <c r="I129" s="1681">
        <f t="shared" si="15"/>
        <v>0</v>
      </c>
      <c r="J129" s="1681">
        <f t="shared" si="15"/>
        <v>0</v>
      </c>
      <c r="K129" s="1681">
        <f t="shared" si="15"/>
        <v>622361</v>
      </c>
      <c r="L129" s="1681">
        <f t="shared" si="15"/>
        <v>638819</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10000</v>
      </c>
    </row>
    <row r="151" spans="1:14" ht="12.75" customHeight="1" thickTop="1" thickBot="1" x14ac:dyDescent="0.25">
      <c r="A151" s="2290" t="s">
        <v>616</v>
      </c>
      <c r="B151" s="2270"/>
      <c r="C151" s="1674">
        <f>SUM(C129,C130,C139,C149,C150)</f>
        <v>290583</v>
      </c>
      <c r="D151" s="1674">
        <f t="shared" ref="D151:K151" si="16">SUM(D129,D130,D139,D149,D150)</f>
        <v>31752</v>
      </c>
      <c r="E151" s="1674">
        <f t="shared" si="16"/>
        <v>203443</v>
      </c>
      <c r="F151" s="1674">
        <f t="shared" si="16"/>
        <v>67129</v>
      </c>
      <c r="G151" s="1674">
        <f t="shared" si="16"/>
        <v>29454</v>
      </c>
      <c r="H151" s="1674">
        <f t="shared" si="16"/>
        <v>0</v>
      </c>
      <c r="I151" s="1674">
        <f t="shared" si="16"/>
        <v>0</v>
      </c>
      <c r="J151" s="1674">
        <f t="shared" si="16"/>
        <v>0</v>
      </c>
      <c r="K151" s="1674">
        <f t="shared" si="16"/>
        <v>622361</v>
      </c>
      <c r="L151" s="1674">
        <f>SUM(L129,L130,L139,L149,L150)</f>
        <v>648819</v>
      </c>
    </row>
    <row r="152" spans="1:14" ht="12.75" customHeight="1" thickTop="1" x14ac:dyDescent="0.2">
      <c r="A152" s="2293" t="s">
        <v>1168</v>
      </c>
      <c r="B152" s="2294"/>
      <c r="C152" s="1675"/>
      <c r="D152" s="1675"/>
      <c r="E152" s="1675"/>
      <c r="F152" s="1675"/>
      <c r="G152" s="1675"/>
      <c r="H152" s="1675"/>
      <c r="I152" s="1675"/>
      <c r="J152" s="1673"/>
      <c r="K152" s="1689">
        <f>'Revenues 9-14'!D268-'Expenditures 15-22'!K151</f>
        <v>56788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8" t="s">
        <v>617</v>
      </c>
      <c r="B154" s="228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116163</v>
      </c>
      <c r="I169" s="1673"/>
      <c r="J169" s="1673"/>
      <c r="K169" s="1672">
        <f>SUM(C169:H169)</f>
        <v>116163</v>
      </c>
      <c r="L169" s="1695"/>
    </row>
    <row r="170" spans="1:14" ht="33.75" customHeight="1" x14ac:dyDescent="0.2">
      <c r="A170" s="543" t="s">
        <v>1651</v>
      </c>
      <c r="B170" s="545" t="s">
        <v>31</v>
      </c>
      <c r="C170" s="1673"/>
      <c r="D170" s="1673"/>
      <c r="E170" s="1673"/>
      <c r="F170" s="1673"/>
      <c r="G170" s="1673"/>
      <c r="H170" s="1646">
        <v>1040000</v>
      </c>
      <c r="I170" s="1673"/>
      <c r="J170" s="1673"/>
      <c r="K170" s="1672">
        <f>SUM(C170:J170)</f>
        <v>1040000</v>
      </c>
      <c r="L170" s="1646">
        <v>1168360</v>
      </c>
    </row>
    <row r="171" spans="1:14" ht="15.75" customHeight="1" x14ac:dyDescent="0.2">
      <c r="A171" s="507" t="s">
        <v>761</v>
      </c>
      <c r="B171" s="546" t="s">
        <v>84</v>
      </c>
      <c r="C171" s="1673"/>
      <c r="D171" s="1673"/>
      <c r="E171" s="1573"/>
      <c r="F171" s="1673"/>
      <c r="G171" s="1673"/>
      <c r="H171" s="1646">
        <v>1000</v>
      </c>
      <c r="I171" s="1582"/>
      <c r="J171" s="1673"/>
      <c r="K171" s="1672">
        <f>SUM(C171:J171)</f>
        <v>1000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1157163</v>
      </c>
      <c r="I172" s="1684"/>
      <c r="J172" s="1673"/>
      <c r="K172" s="1681">
        <f>SUM(K168,K169,K170,K171)</f>
        <v>1157163</v>
      </c>
      <c r="L172" s="1681">
        <f>SUM(L168,L169,L170,L171)</f>
        <v>1169360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1157163</v>
      </c>
      <c r="I174" s="1684"/>
      <c r="J174" s="1673"/>
      <c r="K174" s="1681">
        <f>SUM(K160,K172,K173)</f>
        <v>1157163</v>
      </c>
      <c r="L174" s="1681">
        <f>SUM(L160,L172,L173)</f>
        <v>1169360</v>
      </c>
    </row>
    <row r="175" spans="1:14" ht="13.5" thickTop="1" x14ac:dyDescent="0.2">
      <c r="A175" s="2273" t="s">
        <v>989</v>
      </c>
      <c r="B175" s="2274"/>
      <c r="C175" s="1673"/>
      <c r="D175" s="1673"/>
      <c r="E175" s="1673"/>
      <c r="F175" s="1673"/>
      <c r="G175" s="1673"/>
      <c r="H175" s="1675"/>
      <c r="I175" s="1673"/>
      <c r="J175" s="1673"/>
      <c r="K175" s="1689">
        <f>'Revenues 9-14'!E268-'Expenditures 15-22'!K174</f>
        <v>-3219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219200</v>
      </c>
      <c r="D182" s="1573">
        <v>30559</v>
      </c>
      <c r="E182" s="1573">
        <v>192146</v>
      </c>
      <c r="F182" s="1573">
        <v>49304</v>
      </c>
      <c r="G182" s="1573">
        <v>27564</v>
      </c>
      <c r="H182" s="1573"/>
      <c r="I182" s="1574"/>
      <c r="J182" s="1574"/>
      <c r="K182" s="1672">
        <f>SUM(C182:J182)</f>
        <v>518773</v>
      </c>
      <c r="L182" s="1573">
        <v>512027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219200</v>
      </c>
      <c r="D184" s="1681">
        <f t="shared" ref="D184:J184" si="17">SUM(D180,D182,D183)</f>
        <v>30559</v>
      </c>
      <c r="E184" s="1681">
        <f t="shared" si="17"/>
        <v>192146</v>
      </c>
      <c r="F184" s="1681">
        <f t="shared" si="17"/>
        <v>49304</v>
      </c>
      <c r="G184" s="1681">
        <f t="shared" si="17"/>
        <v>27564</v>
      </c>
      <c r="H184" s="1681">
        <f t="shared" si="17"/>
        <v>0</v>
      </c>
      <c r="I184" s="1681">
        <f t="shared" si="17"/>
        <v>0</v>
      </c>
      <c r="J184" s="1681">
        <f t="shared" si="17"/>
        <v>0</v>
      </c>
      <c r="K184" s="1681">
        <f>SUM(K180,K182,K183)</f>
        <v>518773</v>
      </c>
      <c r="L184" s="1681">
        <f>SUM(L180, L182:L183)</f>
        <v>512027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219200</v>
      </c>
      <c r="D210" s="1674">
        <f>SUM(D184,D185)</f>
        <v>30559</v>
      </c>
      <c r="E210" s="1674">
        <f>SUM(E184,E185,E196)</f>
        <v>192146</v>
      </c>
      <c r="F210" s="1674">
        <f>SUM(F184,F185)</f>
        <v>49304</v>
      </c>
      <c r="G210" s="1674">
        <f>SUM(G184,G185)</f>
        <v>27564</v>
      </c>
      <c r="H210" s="1674">
        <f>SUM(H184,H185,H196,H208,H209)</f>
        <v>0</v>
      </c>
      <c r="I210" s="1674">
        <f>SUM(I184,I185)</f>
        <v>0</v>
      </c>
      <c r="J210" s="1674">
        <f>SUM(J184,J185)</f>
        <v>0</v>
      </c>
      <c r="K210" s="1672">
        <f>SUM(K184,K185,K196,K208,K209)</f>
        <v>518773</v>
      </c>
      <c r="L210" s="1674">
        <f>SUM(L184,L185,L196,L208,L209)</f>
        <v>512027</v>
      </c>
    </row>
    <row r="211" spans="1:14" ht="13.5" thickTop="1" x14ac:dyDescent="0.2">
      <c r="A211" s="2273" t="s">
        <v>989</v>
      </c>
      <c r="B211" s="2274"/>
      <c r="C211" s="1675"/>
      <c r="D211" s="1675"/>
      <c r="E211" s="1675"/>
      <c r="F211" s="1675"/>
      <c r="G211" s="1675"/>
      <c r="H211" s="1675"/>
      <c r="I211" s="1673"/>
      <c r="J211" s="1673"/>
      <c r="K211" s="1689">
        <f>'Revenues 9-14'!F268-'Expenditures 15-22'!K210</f>
        <v>-7103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5" t="s">
        <v>959</v>
      </c>
      <c r="B213" s="229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63476</v>
      </c>
      <c r="E215" s="1673"/>
      <c r="F215" s="1673"/>
      <c r="G215" s="1673"/>
      <c r="H215" s="1673"/>
      <c r="I215" s="1673"/>
      <c r="J215" s="1673"/>
      <c r="K215" s="1672">
        <f>D215</f>
        <v>63476</v>
      </c>
      <c r="L215" s="1573">
        <v>68755</v>
      </c>
    </row>
    <row r="216" spans="1:14" x14ac:dyDescent="0.2">
      <c r="A216" s="1274" t="s">
        <v>162</v>
      </c>
      <c r="B216" s="503" t="s">
        <v>961</v>
      </c>
      <c r="C216" s="1673"/>
      <c r="D216" s="1574">
        <v>27423</v>
      </c>
      <c r="E216" s="1673"/>
      <c r="F216" s="1673"/>
      <c r="G216" s="1673"/>
      <c r="H216" s="1673"/>
      <c r="I216" s="1673"/>
      <c r="J216" s="1673"/>
      <c r="K216" s="1672">
        <f t="shared" ref="K216:K228" si="19">D216</f>
        <v>27423</v>
      </c>
      <c r="L216" s="1573">
        <v>27100</v>
      </c>
    </row>
    <row r="217" spans="1:14" x14ac:dyDescent="0.2">
      <c r="A217" s="1274" t="s">
        <v>163</v>
      </c>
      <c r="B217" s="503">
        <v>1200</v>
      </c>
      <c r="C217" s="1673"/>
      <c r="D217" s="1573">
        <v>64439</v>
      </c>
      <c r="E217" s="1673"/>
      <c r="F217" s="1673"/>
      <c r="G217" s="1673"/>
      <c r="H217" s="1673"/>
      <c r="I217" s="1673"/>
      <c r="J217" s="1673"/>
      <c r="K217" s="1672">
        <f t="shared" si="19"/>
        <v>64439</v>
      </c>
      <c r="L217" s="1573">
        <v>81400</v>
      </c>
    </row>
    <row r="218" spans="1:14" x14ac:dyDescent="0.2">
      <c r="A218" s="1274" t="s">
        <v>276</v>
      </c>
      <c r="B218" s="503" t="s">
        <v>962</v>
      </c>
      <c r="C218" s="1673"/>
      <c r="D218" s="1574">
        <v>2676</v>
      </c>
      <c r="E218" s="1673"/>
      <c r="F218" s="1673"/>
      <c r="G218" s="1673"/>
      <c r="H218" s="1673"/>
      <c r="I218" s="1673"/>
      <c r="J218" s="1673"/>
      <c r="K218" s="1672">
        <f t="shared" si="19"/>
        <v>2676</v>
      </c>
      <c r="L218" s="1573">
        <v>2700</v>
      </c>
    </row>
    <row r="219" spans="1:14" x14ac:dyDescent="0.2">
      <c r="A219" s="1274" t="s">
        <v>277</v>
      </c>
      <c r="B219" s="503">
        <v>1250</v>
      </c>
      <c r="C219" s="1673"/>
      <c r="D219" s="1573">
        <v>8073</v>
      </c>
      <c r="E219" s="1673"/>
      <c r="F219" s="1673"/>
      <c r="G219" s="1673"/>
      <c r="H219" s="1673"/>
      <c r="I219" s="1673"/>
      <c r="J219" s="1673"/>
      <c r="K219" s="1672">
        <f t="shared" si="19"/>
        <v>8073</v>
      </c>
      <c r="L219" s="1573">
        <v>3375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2887</v>
      </c>
      <c r="E222" s="1673"/>
      <c r="F222" s="1673"/>
      <c r="G222" s="1673"/>
      <c r="H222" s="1673"/>
      <c r="I222" s="1673"/>
      <c r="J222" s="1673"/>
      <c r="K222" s="1672">
        <f t="shared" si="19"/>
        <v>2887</v>
      </c>
      <c r="L222" s="1573">
        <v>2800</v>
      </c>
    </row>
    <row r="223" spans="1:14" x14ac:dyDescent="0.2">
      <c r="A223" s="1274" t="s">
        <v>957</v>
      </c>
      <c r="B223" s="503">
        <v>1500</v>
      </c>
      <c r="C223" s="1673"/>
      <c r="D223" s="1573">
        <v>7800</v>
      </c>
      <c r="E223" s="1673"/>
      <c r="F223" s="1673"/>
      <c r="G223" s="1673"/>
      <c r="H223" s="1673"/>
      <c r="I223" s="1673"/>
      <c r="J223" s="1673"/>
      <c r="K223" s="1672">
        <f t="shared" si="19"/>
        <v>7800</v>
      </c>
      <c r="L223" s="1573">
        <v>8000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1069</v>
      </c>
      <c r="E226" s="1673"/>
      <c r="F226" s="1673"/>
      <c r="G226" s="1673"/>
      <c r="H226" s="1673"/>
      <c r="I226" s="1673"/>
      <c r="J226" s="1673"/>
      <c r="K226" s="1672">
        <f t="shared" si="19"/>
        <v>1069</v>
      </c>
      <c r="L226" s="1573">
        <v>1050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177843</v>
      </c>
      <c r="E229" s="1673"/>
      <c r="F229" s="1673"/>
      <c r="G229" s="1673"/>
      <c r="H229" s="1673"/>
      <c r="I229" s="1673"/>
      <c r="J229" s="1673"/>
      <c r="K229" s="1674">
        <f>SUM(K215:K228)</f>
        <v>177843</v>
      </c>
      <c r="L229" s="1674">
        <f>SUM(L215:L228)</f>
        <v>195180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1728</v>
      </c>
      <c r="E233" s="1673"/>
      <c r="F233" s="1673"/>
      <c r="G233" s="1673"/>
      <c r="H233" s="1673"/>
      <c r="I233" s="1673"/>
      <c r="J233" s="1673"/>
      <c r="K233" s="1672">
        <f t="shared" si="20"/>
        <v>1728</v>
      </c>
      <c r="L233" s="1573">
        <v>1700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1728</v>
      </c>
      <c r="E238" s="1673"/>
      <c r="F238" s="1673"/>
      <c r="G238" s="1673"/>
      <c r="H238" s="1673"/>
      <c r="I238" s="1673"/>
      <c r="J238" s="1673"/>
      <c r="K238" s="1674">
        <f>SUM(K232:K237)</f>
        <v>1728</v>
      </c>
      <c r="L238" s="1674">
        <f>SUM(L232:L237)</f>
        <v>1700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3286</v>
      </c>
      <c r="E241" s="1673"/>
      <c r="F241" s="1673"/>
      <c r="G241" s="1673"/>
      <c r="H241" s="1673"/>
      <c r="I241" s="1673"/>
      <c r="J241" s="1673"/>
      <c r="K241" s="1678">
        <f>D241</f>
        <v>3286</v>
      </c>
      <c r="L241" s="1573">
        <v>3300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3286</v>
      </c>
      <c r="E243" s="1673"/>
      <c r="F243" s="1673"/>
      <c r="G243" s="1673"/>
      <c r="H243" s="1673"/>
      <c r="I243" s="1673"/>
      <c r="J243" s="1673"/>
      <c r="K243" s="1674">
        <f>SUM(K240:K242)</f>
        <v>3286</v>
      </c>
      <c r="L243" s="1674">
        <f>SUM(L240:L242)</f>
        <v>3300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788</v>
      </c>
      <c r="E245" s="1673"/>
      <c r="F245" s="1673"/>
      <c r="G245" s="1673"/>
      <c r="H245" s="1673"/>
      <c r="I245" s="1673"/>
      <c r="J245" s="1673"/>
      <c r="K245" s="1678">
        <f>D245</f>
        <v>788</v>
      </c>
      <c r="L245" s="1586">
        <v>925</v>
      </c>
    </row>
    <row r="246" spans="1:12" x14ac:dyDescent="0.2">
      <c r="A246" s="1274" t="s">
        <v>813</v>
      </c>
      <c r="B246" s="503">
        <v>2320</v>
      </c>
      <c r="C246" s="1673"/>
      <c r="D246" s="1573">
        <v>14360</v>
      </c>
      <c r="E246" s="1673"/>
      <c r="F246" s="1673"/>
      <c r="G246" s="1673"/>
      <c r="H246" s="1673"/>
      <c r="I246" s="1673"/>
      <c r="J246" s="1673"/>
      <c r="K246" s="1678">
        <f t="shared" ref="K246:K256" si="21">D246</f>
        <v>14360</v>
      </c>
      <c r="L246" s="1573">
        <v>13600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15148</v>
      </c>
      <c r="E257" s="1673"/>
      <c r="F257" s="1673"/>
      <c r="G257" s="1673"/>
      <c r="H257" s="1673"/>
      <c r="I257" s="1673"/>
      <c r="J257" s="1673"/>
      <c r="K257" s="1674">
        <f>SUM(K245:K256)</f>
        <v>15148</v>
      </c>
      <c r="L257" s="1674">
        <f>SUM(L245:L256)</f>
        <v>14525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28851</v>
      </c>
      <c r="E259" s="1673"/>
      <c r="F259" s="1673"/>
      <c r="G259" s="1673"/>
      <c r="H259" s="1673"/>
      <c r="I259" s="1673"/>
      <c r="J259" s="1673"/>
      <c r="K259" s="1678">
        <f>D259</f>
        <v>28851</v>
      </c>
      <c r="L259" s="1586">
        <v>30100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28851</v>
      </c>
      <c r="E261" s="1673"/>
      <c r="F261" s="1673"/>
      <c r="G261" s="1673"/>
      <c r="H261" s="1673"/>
      <c r="I261" s="1673"/>
      <c r="J261" s="1673"/>
      <c r="K261" s="1674">
        <f>SUM(K259:K260)</f>
        <v>28851</v>
      </c>
      <c r="L261" s="1674">
        <f>SUM(L259:L260)</f>
        <v>30100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10018</v>
      </c>
      <c r="E264" s="1673"/>
      <c r="F264" s="1673"/>
      <c r="G264" s="1673"/>
      <c r="H264" s="1673"/>
      <c r="I264" s="1673"/>
      <c r="J264" s="1673"/>
      <c r="K264" s="1678">
        <f t="shared" ref="K264:K269" si="22">D264</f>
        <v>10018</v>
      </c>
      <c r="L264" s="1573">
        <v>9350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44457</v>
      </c>
      <c r="E266" s="1673"/>
      <c r="F266" s="1673"/>
      <c r="G266" s="1673"/>
      <c r="H266" s="1673"/>
      <c r="I266" s="1673"/>
      <c r="J266" s="1673"/>
      <c r="K266" s="1678">
        <f t="shared" si="22"/>
        <v>44457</v>
      </c>
      <c r="L266" s="1573">
        <v>35700</v>
      </c>
    </row>
    <row r="267" spans="1:14" x14ac:dyDescent="0.2">
      <c r="A267" s="1274" t="s">
        <v>947</v>
      </c>
      <c r="B267" s="503">
        <v>2550</v>
      </c>
      <c r="C267" s="1673"/>
      <c r="D267" s="1573">
        <v>31461</v>
      </c>
      <c r="E267" s="1673"/>
      <c r="F267" s="1673"/>
      <c r="G267" s="1673"/>
      <c r="H267" s="1673"/>
      <c r="I267" s="1673"/>
      <c r="J267" s="1673"/>
      <c r="K267" s="1678">
        <f t="shared" si="22"/>
        <v>31461</v>
      </c>
      <c r="L267" s="1573">
        <v>38500</v>
      </c>
    </row>
    <row r="268" spans="1:14" x14ac:dyDescent="0.2">
      <c r="A268" s="1274" t="s">
        <v>100</v>
      </c>
      <c r="B268" s="503">
        <v>2560</v>
      </c>
      <c r="C268" s="1673"/>
      <c r="D268" s="1573">
        <v>17881</v>
      </c>
      <c r="E268" s="1673"/>
      <c r="F268" s="1673"/>
      <c r="G268" s="1673"/>
      <c r="H268" s="1673"/>
      <c r="I268" s="1673"/>
      <c r="J268" s="1673"/>
      <c r="K268" s="1678">
        <f t="shared" si="22"/>
        <v>17881</v>
      </c>
      <c r="L268" s="1573">
        <v>18600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103817</v>
      </c>
      <c r="E270" s="1673"/>
      <c r="F270" s="1673"/>
      <c r="G270" s="1673"/>
      <c r="H270" s="1673"/>
      <c r="I270" s="1673"/>
      <c r="J270" s="1673"/>
      <c r="K270" s="1674">
        <f>SUM(K263:K269)</f>
        <v>103817</v>
      </c>
      <c r="L270" s="1674">
        <f>SUM(L263:L269)</f>
        <v>102150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152830</v>
      </c>
      <c r="E279" s="1673"/>
      <c r="F279" s="1673"/>
      <c r="G279" s="1673"/>
      <c r="H279" s="1673"/>
      <c r="I279" s="1673"/>
      <c r="J279" s="1673"/>
      <c r="K279" s="1681">
        <f>SUM(K238,K243,K257,K261,K270,K277,K278)</f>
        <v>152830</v>
      </c>
      <c r="L279" s="1681">
        <f>SUM(L238,L243,L257,L261,L270,L277,L278)</f>
        <v>151775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1" t="s">
        <v>502</v>
      </c>
      <c r="B295" s="2292"/>
      <c r="C295" s="1673"/>
      <c r="D295" s="1674">
        <f>SUM(D229,D279,D280,D285)</f>
        <v>330673</v>
      </c>
      <c r="E295" s="1673"/>
      <c r="F295" s="1673"/>
      <c r="G295" s="1673"/>
      <c r="H295" s="1674">
        <f>H293</f>
        <v>0</v>
      </c>
      <c r="I295" s="1673"/>
      <c r="J295" s="1673"/>
      <c r="K295" s="1674">
        <f>SUM(K229,K279,K280,K285,K293,K294)</f>
        <v>330673</v>
      </c>
      <c r="L295" s="1674">
        <f>SUM(L229,L279,L280,L285,L293,L294)</f>
        <v>346955</v>
      </c>
    </row>
    <row r="296" spans="1:14" ht="13.5" thickTop="1" x14ac:dyDescent="0.2">
      <c r="A296" s="2273" t="s">
        <v>989</v>
      </c>
      <c r="B296" s="2274"/>
      <c r="C296" s="1673"/>
      <c r="D296" s="1675"/>
      <c r="E296" s="1673"/>
      <c r="F296" s="1673"/>
      <c r="G296" s="1673"/>
      <c r="H296" s="1707"/>
      <c r="I296" s="1673"/>
      <c r="J296" s="1673"/>
      <c r="K296" s="1689">
        <f>'Revenues 9-14'!G268-'Expenditures 15-22'!K295</f>
        <v>19762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3" t="s">
        <v>142</v>
      </c>
      <c r="B298" s="227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462825</v>
      </c>
      <c r="H301" s="1573"/>
      <c r="I301" s="1574"/>
      <c r="J301" s="1574"/>
      <c r="K301" s="1672">
        <f>SUM(C301:J301)</f>
        <v>462825</v>
      </c>
      <c r="L301" s="1574">
        <v>452704</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462825</v>
      </c>
      <c r="H303" s="1681">
        <f t="shared" si="23"/>
        <v>0</v>
      </c>
      <c r="I303" s="1681">
        <f t="shared" si="23"/>
        <v>0</v>
      </c>
      <c r="J303" s="1681">
        <f t="shared" si="23"/>
        <v>0</v>
      </c>
      <c r="K303" s="1681">
        <f t="shared" si="23"/>
        <v>462825</v>
      </c>
      <c r="L303" s="1681">
        <f t="shared" si="23"/>
        <v>452704</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8" t="s">
        <v>275</v>
      </c>
      <c r="B312" s="2289"/>
      <c r="C312" s="1674">
        <f>SUM(C303)</f>
        <v>0</v>
      </c>
      <c r="D312" s="1674">
        <f>SUM(D303)</f>
        <v>0</v>
      </c>
      <c r="E312" s="1674">
        <f>SUM(E303,E310)</f>
        <v>0</v>
      </c>
      <c r="F312" s="1674">
        <f>SUM(F303)</f>
        <v>0</v>
      </c>
      <c r="G312" s="1674">
        <f>SUM(G303)</f>
        <v>462825</v>
      </c>
      <c r="H312" s="1674">
        <f>SUM(H303,H310)</f>
        <v>0</v>
      </c>
      <c r="I312" s="1674">
        <f>SUM(I303)</f>
        <v>0</v>
      </c>
      <c r="J312" s="1674">
        <f>SUM(J303)</f>
        <v>0</v>
      </c>
      <c r="K312" s="1674">
        <f>SUM(K303,K310,K311)</f>
        <v>462825</v>
      </c>
      <c r="L312" s="1674">
        <f>SUM(L303,L310,L311)</f>
        <v>452704</v>
      </c>
      <c r="M312" s="539"/>
      <c r="N312" s="539"/>
    </row>
    <row r="313" spans="1:14" ht="13.5" thickTop="1" x14ac:dyDescent="0.2">
      <c r="A313" s="2284" t="s">
        <v>989</v>
      </c>
      <c r="B313" s="2285"/>
      <c r="C313" s="1677"/>
      <c r="D313" s="1677"/>
      <c r="E313" s="1677"/>
      <c r="F313" s="1677"/>
      <c r="G313" s="1677"/>
      <c r="H313" s="1677"/>
      <c r="I313" s="1677"/>
      <c r="J313" s="1677"/>
      <c r="K313" s="1696">
        <f>'Revenues 9-14'!H268-'Expenditures 15-22'!K312</f>
        <v>-462382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7" t="s">
        <v>148</v>
      </c>
      <c r="B315" s="229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9" t="s">
        <v>892</v>
      </c>
      <c r="B317" s="229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6" t="s">
        <v>989</v>
      </c>
      <c r="B343" s="228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6" t="s">
        <v>960</v>
      </c>
      <c r="B345" s="227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3" t="s">
        <v>989</v>
      </c>
      <c r="B368" s="2274"/>
      <c r="C368" s="1694"/>
      <c r="D368" s="1694"/>
      <c r="E368" s="1677"/>
      <c r="F368" s="1677"/>
      <c r="G368" s="1677"/>
      <c r="H368" s="1677"/>
      <c r="I368" s="1677"/>
      <c r="J368" s="1676"/>
      <c r="K368" s="1672">
        <f>'Revenues 9-14'!K268-'Expenditures 15-22'!K367</f>
        <v>25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purl.org/dc/elements/1.1/"/>
    <ds:schemaRef ds:uri="http://schemas.microsoft.com/office/2006/metadata/properties"/>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Finding 2020-002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2020-10-12T20:53:29Z</cp:lastPrinted>
  <dcterms:created xsi:type="dcterms:W3CDTF">2003-10-29T19:06:34Z</dcterms:created>
  <dcterms:modified xsi:type="dcterms:W3CDTF">2020-10-21T22:16:31Z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