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36D95B8-0822-4973-A58A-54192CE1A96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6" r:id="rId32"/>
    <sheet name="SF&amp;QC Sec-3" sheetId="176" r:id="rId33"/>
    <sheet name="SSPAF" sheetId="177" r:id="rId34"/>
    <sheet name="CAP" sheetId="187" r:id="rId35"/>
  </sheets>
  <definedNames>
    <definedName name="_xlnm._FilterDatabase" localSheetId="23" hidden="1">'AFR20'!$A$1:$F$7884</definedName>
    <definedName name="CAP" localSheetId="31">#REF!</definedName>
    <definedName name="CAP">#REF!</definedName>
    <definedName name="pass" localSheetId="31">#REF!</definedName>
    <definedName name="pass">#REF!</definedName>
    <definedName name="pass1" localSheetId="31">#REF!</definedName>
    <definedName name="pass1">#REF!</definedName>
    <definedName name="pass2" localSheetId="31">#REF!</definedName>
    <definedName name="pass2">#REF!</definedName>
    <definedName name="pass3" localSheetId="31">#REF!</definedName>
    <definedName name="pass3">#REF!</definedName>
    <definedName name="pass4" localSheetId="31">#REF!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CHNME1" localSheetId="31">#REF!</definedName>
    <definedName name="SCHNME1">#REF!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6" s="1"/>
  <c r="B4" i="177"/>
  <c r="B4" i="187" s="1"/>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D22" i="37"/>
  <c r="L22" i="37"/>
  <c r="D24" i="37"/>
  <c r="B4270" i="106" s="1"/>
  <c r="D4270" i="106" s="1"/>
  <c r="F56" i="34" l="1"/>
  <c r="B7832" i="106" s="1"/>
  <c r="D7832" i="106" s="1"/>
  <c r="F50" i="34"/>
  <c r="F42" i="34"/>
  <c r="F52" i="34"/>
  <c r="B7831" i="106" s="1"/>
  <c r="D7831" i="106" s="1"/>
  <c r="B7078" i="106"/>
  <c r="D7078" i="106" s="1"/>
  <c r="D36" i="108"/>
  <c r="H33" i="118"/>
  <c r="D14" i="4"/>
  <c r="B2570" i="106" s="1"/>
  <c r="D2570" i="106" s="1"/>
  <c r="G35" i="108"/>
  <c r="H28" i="118"/>
  <c r="E34" i="108"/>
  <c r="H365" i="29"/>
  <c r="B7242" i="106" s="1"/>
  <c r="D7242" i="106" s="1"/>
  <c r="B2724" i="106"/>
  <c r="D2724" i="106" s="1"/>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L16" i="11"/>
  <c r="B2061" i="106" s="1"/>
  <c r="D2061" i="106" s="1"/>
  <c r="J16" i="4"/>
  <c r="B6226" i="106" s="1"/>
  <c r="D6226" i="106" s="1"/>
  <c r="L114" i="29"/>
  <c r="J151" i="29"/>
  <c r="B7052" i="106" s="1"/>
  <c r="D705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B3678" i="106" s="1"/>
  <c r="D3678"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6" i="36"/>
  <c r="H24" i="118"/>
  <c r="K24" i="118" s="1"/>
  <c r="O23" i="118" s="1"/>
  <c r="O25" i="118" s="1"/>
  <c r="D35" i="36"/>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<sst xmlns="http://schemas.openxmlformats.org/spreadsheetml/2006/main" count="5212" uniqueCount="2110">
  <si>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</si>
  <si>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</si>
  <si>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</si>
  <si>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</si>
  <si>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</si>
  <si>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</si>
  <si>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</si>
  <si>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</si>
  <si>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</si>
  <si>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</si>
  <si>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</si>
  <si>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</si>
  <si>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</si>
  <si>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</si>
  <si>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</si>
  <si>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</si>
  <si>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</si>
  <si>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</si>
  <si>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</si>
  <si>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</si>
  <si>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</si>
  <si>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</si>
  <si>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</si>
  <si>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</si>
  <si>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</si>
  <si>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</si>
  <si>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</si>
  <si>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</si>
  <si>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</si>
  <si>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</si>
  <si>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</si>
  <si>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</si>
  <si>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</si>
  <si>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</si>
  <si>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</si>
  <si>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</si>
  <si>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</si>
  <si>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</si>
  <si>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</si>
  <si>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</si>
  <si>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</si>
  <si>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</si>
  <si>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</si>
  <si>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</si>
  <si>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</si>
  <si>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</si>
  <si>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</si>
  <si>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</si>
  <si>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</si>
  <si>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</si>
  <si>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</si>
  <si>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</si>
  <si>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</si>
  <si>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</si>
  <si>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</si>
  <si>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</si>
  <si>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</si>
  <si>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</si>
  <si>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</si>
  <si>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</si>
  <si>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</si>
  <si>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</si>
  <si>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</si>
  <si>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</si>
  <si>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</si>
  <si>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</si>
  <si>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</si>
  <si>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</si>
  <si>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</si>
  <si>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</si>
  <si>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</si>
  <si>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</si>
  <si>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</si>
  <si>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</si>
  <si>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</si>
  <si>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</si>
  <si>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</si>
  <si>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</si>
  <si>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</si>
  <si>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</si>
  <si>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</si>
  <si>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</si>
  <si>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</si>
  <si>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</si>
  <si>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</si>
  <si>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</si>
  <si>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</si>
  <si>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</si>
  <si>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</si>
  <si>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</si>
  <si>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</si>
  <si>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</si>
  <si>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</si>
  <si>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</si>
  <si>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</si>
  <si>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</si>
  <si>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</si>
  <si>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</si>
  <si>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</si>
  <si>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</si>
  <si>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</si>
  <si>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</si>
  <si>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</si>
  <si>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</si>
  <si>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</si>
  <si>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</si>
  <si>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</si>
  <si>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</si>
  <si>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</si>
  <si>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</si>
  <si>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</si>
  <si>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</si>
  <si>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</si>
  <si>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</si>
  <si>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</si>
  <si>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</si>
  <si>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</si>
  <si>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</si>
  <si>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</si>
  <si>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</si>
  <si>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</si>
  <si>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</si>
  <si>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</si>
  <si>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</si>
  <si>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</si>
  <si>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</si>
  <si>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</si>
  <si>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</si>
  <si>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</si>
  <si>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</si>
  <si>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</si>
  <si>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</si>
  <si>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</si>
  <si>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</si>
  <si>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</si>
  <si>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</si>
  <si>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</si>
  <si>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</si>
  <si>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</si>
  <si>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</si>
  <si>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</si>
  <si>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</si>
  <si>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</si>
  <si>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</si>
  <si>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</si>
  <si>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</si>
  <si>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</si>
  <si>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</si>
  <si>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</si>
  <si>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</si>
  <si>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</si>
  <si>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</si>
  <si>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</si>
  <si>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</si>
  <si>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</si>
  <si>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</si>
  <si>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</si>
  <si>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</si>
  <si>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</si>
  <si>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</si>
  <si>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</si>
  <si>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</si>
  <si>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</si>
  <si>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</si>
  <si>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</si>
  <si>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</si>
  <si>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</si>
  <si>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</si>
  <si>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</si>
  <si>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</si>
  <si>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</si>
  <si>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</si>
  <si>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</si>
  <si>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</si>
  <si>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</si>
  <si>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</si>
  <si>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</si>
  <si>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</si>
  <si>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</si>
  <si>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</si>
  <si>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</si>
  <si>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</si>
  <si>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</si>
  <si>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</si>
  <si>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</si>
  <si>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</si>
  <si>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</si>
  <si>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</si>
  <si>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</si>
  <si>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</si>
  <si>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</si>
  <si>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</si>
  <si>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</si>
  <si>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</si>
  <si>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</si>
  <si>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</si>
  <si>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</si>
  <si>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</si>
  <si>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</si>
  <si>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</si>
  <si>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</si>
  <si>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</si>
  <si>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</si>
  <si>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</si>
  <si>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</si>
  <si>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</si>
  <si>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</si>
  <si>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</si>
  <si>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</si>
  <si>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</si>
  <si>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</si>
  <si>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</si>
  <si>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</si>
  <si>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</si>
  <si>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</si>
  <si>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</si>
  <si>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</si>
  <si>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</si>
  <si>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</si>
  <si>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</si>
  <si>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</si>
  <si>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</si>
  <si>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</si>
  <si>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</si>
  <si>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</si>
  <si>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</si>
  <si>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</si>
  <si>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</si>
  <si>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</si>
  <si>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</si>
  <si>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</si>
  <si>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</si>
  <si>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</si>
  <si>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</si>
  <si>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</si>
  <si>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</si>
  <si>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</si>
  <si>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</si>
  <si>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</si>
  <si>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</si>
  <si>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</si>
  <si>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</si>
  <si>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</si>
  <si>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</si>
  <si>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</si>
  <si>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</si>
  <si>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</si>
  <si>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</si>
  <si>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</si>
  <si>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</si>
  <si>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</si>
  <si>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</si>
  <si>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</si>
  <si>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</si>
  <si>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</si>
  <si>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</si>
  <si>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</si>
  <si>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</si>
  <si>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</si>
  <si>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</si>
  <si>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</si>
  <si>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</si>
  <si>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</si>
  <si>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</si>
  <si>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</si>
  <si>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</si>
  <si>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</si>
  <si>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</si>
  <si>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</si>
  <si>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</si>
  <si>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</si>
  <si>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</si>
  <si>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</si>
  <si>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</si>
  <si>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</si>
  <si>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</si>
  <si>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</si>
  <si>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</si>
  <si>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</si>
  <si>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</si>
  <si>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</si>
  <si>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</si>
  <si>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</si>
  <si>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</si>
  <si>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</si>
  <si>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</si>
  <si>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</si>
  <si>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</si>
  <si>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</si>
  <si>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</si>
  <si>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</si>
  <si>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</si>
  <si>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</si>
  <si>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</si>
  <si>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</si>
  <si>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</si>
  <si>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</si>
  <si>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</si>
  <si>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</si>
  <si>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</si>
  <si>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</si>
  <si>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</si>
  <si>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</si>
  <si>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</si>
  <si>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</si>
  <si>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</si>
  <si>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</si>
  <si>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</si>
  <si>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</si>
  <si>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</si>
  <si>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</si>
  <si>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</si>
  <si>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</si>
  <si>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</si>
  <si>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</si>
  <si>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</si>
  <si>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</si>
  <si>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</si>
  <si>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</si>
  <si>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</si>
  <si>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</si>
  <si>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</si>
  <si>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</si>
  <si>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</si>
  <si>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</si>
  <si>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</si>
  <si>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</si>
  <si>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</si>
  <si>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</si>
  <si>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</si>
  <si>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</si>
  <si>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</si>
  <si>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</si>
  <si>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</si>
  <si>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</si>
  <si>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</si>
  <si>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</si>
  <si>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</si>
  <si>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</si>
  <si>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</si>
  <si>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</si>
  <si>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</si>
  <si>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</si>
  <si>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</si>
  <si>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</si>
  <si>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</si>
  <si>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</si>
  <si>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</si>
  <si>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</si>
  <si>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</si>
  <si>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</si>
  <si>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</si>
  <si>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</si>
  <si>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</si>
  <si>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</si>
  <si>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</si>
  <si>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</si>
  <si>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</si>
  <si>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</si>
  <si>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</si>
  <si>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</si>
  <si>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</si>
  <si>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</si>
  <si>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</si>
  <si>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</si>
  <si>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</si>
  <si>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</si>
  <si>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</si>
  <si>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</si>
  <si>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</si>
  <si>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</si>
  <si>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</si>
  <si>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</si>
  <si>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</si>
  <si>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</si>
  <si>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</si>
  <si>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</si>
  <si>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</si>
  <si>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</si>
  <si>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</si>
  <si>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</si>
  <si>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</si>
  <si>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</si>
  <si>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</si>
  <si>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</si>
  <si>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</si>
  <si>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</si>
  <si>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</si>
  <si>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</si>
  <si>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</si>
  <si>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</si>
  <si>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</si>
  <si>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</si>
  <si>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</si>
  <si>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</si>
  <si>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</si>
  <si>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</si>
  <si>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</si>
  <si>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</si>
  <si>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</si>
  <si>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</si>
  <si>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</si>
  <si>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</si>
  <si>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</si>
  <si>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</si>
  <si>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</si>
  <si>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</si>
  <si>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</si>
  <si>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</si>
  <si>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</si>
  <si>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</si>
  <si>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</si>
  <si>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</si>
  <si>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</si>
  <si>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</si>
  <si>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</si>
  <si>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</si>
  <si>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</si>
  <si>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</si>
  <si>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</si>
  <si>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</si>
  <si>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</si>
  <si>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</si>
  <si>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</si>
  <si>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</si>
  <si>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</si>
  <si>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</si>
  <si>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</si>
  <si>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</si>
  <si>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</si>
  <si>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</si>
  <si>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</si>
  <si>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</si>
  <si>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</si>
  <si>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</si>
  <si>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</si>
  <si>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</si>
  <si>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</si>
  <si>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</si>
  <si>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</si>
  <si>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</si>
  <si>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</si>
  <si>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</si>
  <si>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</si>
  <si>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</si>
  <si>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</si>
  <si>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</si>
  <si>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</si>
  <si>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</si>
  <si>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</si>
  <si>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</si>
  <si>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</si>
  <si>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</si>
  <si>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</si>
  <si>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</si>
  <si>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</si>
  <si>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</si>
  <si>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</si>
  <si>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</si>
  <si>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</si>
  <si>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</si>
  <si>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</si>
  <si>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</si>
  <si>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</si>
  <si>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</si>
  <si>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</si>
  <si>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</si>
  <si>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</si>
  <si>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</si>
  <si>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</si>
  <si>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</si>
  <si>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</si>
  <si>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</si>
  <si>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</si>
  <si>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</si>
  <si>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</si>
  <si>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</si>
  <si>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</si>
  <si>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</si>
  <si>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</si>
  <si>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</si>
  <si>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</si>
  <si>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</si>
  <si>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</si>
  <si>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</si>
  <si>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</si>
  <si>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</si>
  <si>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</si>
  <si>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</si>
  <si>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</si>
  <si>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</si>
  <si>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</si>
  <si>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</si>
  <si>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</si>
  <si>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</si>
  <si>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</si>
  <si>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</si>
  <si>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</si>
  <si>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</si>
  <si>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</si>
  <si>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</si>
  <si>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</si>
  <si>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</si>
  <si>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</si>
  <si>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</si>
  <si>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</si>
  <si>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</si>
  <si>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</si>
  <si>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</si>
  <si>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</si>
  <si>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</si>
  <si>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</si>
  <si>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</si>
  <si>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</si>
  <si>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</si>
  <si>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</si>
  <si>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</si>
  <si>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</si>
  <si>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</si>
  <si>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</si>
  <si>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</si>
  <si>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</si>
  <si>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</si>
  <si>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</si>
  <si>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</si>
  <si>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</si>
  <si>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</si>
  <si>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</si>
  <si>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</si>
  <si>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</si>
  <si>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</si>
  <si>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</si>
  <si>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</si>
  <si>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</si>
  <si>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</si>
  <si>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</si>
  <si>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</si>
  <si>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</si>
  <si>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</si>
  <si>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</si>
  <si>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</si>
  <si>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</si>
  <si>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</si>
  <si>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</si>
  <si>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</si>
  <si>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</si>
  <si>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</si>
  <si>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</si>
  <si>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</si>
  <si>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</si>
  <si>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</si>
  <si>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</si>
  <si>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</si>
  <si>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</si>
  <si>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</si>
  <si>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</si>
  <si>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</si>
  <si>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</si>
  <si>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</si>
  <si>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</si>
  <si>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</si>
  <si>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</si>
  <si>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</si>
  <si>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</si>
  <si>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</si>
  <si>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</si>
  <si>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</si>
  <si>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</si>
  <si>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</si>
  <si>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</si>
  <si>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</si>
  <si>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</si>
  <si>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</si>
  <si>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</si>
  <si>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</si>
  <si>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</si>
  <si>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</si>
  <si>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</si>
  <si>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</si>
  <si>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</si>
  <si>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</si>
  <si>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</si>
  <si>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</si>
  <si>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</si>
  <si>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</si>
  <si>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</si>
  <si>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</si>
  <si>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</si>
  <si>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</si>
  <si>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</si>
  <si>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</si>
  <si>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</si>
  <si>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</si>
  <si>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</si>
  <si>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</si>
  <si>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</si>
  <si>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</si>
  <si>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</si>
  <si>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</si>
  <si>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</si>
  <si>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</si>
  <si>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</si>
  <si>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</si>
  <si>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</si>
  <si>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</si>
  <si>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</si>
  <si>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</si>
  <si>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</si>
  <si>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</si>
  <si>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</si>
  <si>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</si>
  <si>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</si>
  <si>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</si>
  <si>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</si>
  <si>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</si>
  <si>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</si>
  <si>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</si>
  <si>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</si>
  <si>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</si>
  <si>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</si>
  <si>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</si>
  <si>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</si>
  <si>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</si>
  <si>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</si>
  <si>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</si>
  <si>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</si>
  <si>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</si>
  <si>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</si>
  <si>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</si>
  <si>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</si>
  <si>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</si>
  <si>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</si>
  <si>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</si>
  <si>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</si>
  <si>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</si>
  <si>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</si>
  <si>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</si>
  <si>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</si>
  <si>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</si>
  <si>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</si>
  <si>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</si>
  <si>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</si>
  <si>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</si>
  <si>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</si>
  <si>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</si>
  <si>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</si>
  <si>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</si>
  <si>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</si>
  <si>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</si>
  <si>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</si>
  <si>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</si>
  <si>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</si>
  <si>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</si>
  <si>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</si>
  <si>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</si>
  <si>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</si>
  <si>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</si>
  <si>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</si>
  <si>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</si>
  <si>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</si>
  <si>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</si>
  <si>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</si>
  <si>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</si>
  <si>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</si>
  <si>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</si>
  <si>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</si>
  <si>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</si>
  <si>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</si>
  <si>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</si>
  <si>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</si>
  <si>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</si>
  <si>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</si>
  <si>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</si>
  <si>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</si>
  <si>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</si>
  <si>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</si>
  <si>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</si>
  <si>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</si>
  <si>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</si>
  <si>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</si>
  <si>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</si>
  <si>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</si>
  <si>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</si>
  <si>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</si>
  <si>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</si>
  <si>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</si>
  <si>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</si>
  <si>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</si>
  <si>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</si>
  <si>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</si>
  <si>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</si>
  <si>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</si>
  <si>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</si>
  <si>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</si>
  <si>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</si>
  <si>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</si>
  <si>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</si>
  <si>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</si>
  <si>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</si>
  <si>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</si>
  <si>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</si>
  <si>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</si>
  <si>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</si>
  <si>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</si>
  <si>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</si>
  <si>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</si>
  <si>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</si>
  <si>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</si>
  <si>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</si>
  <si>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</si>
  <si>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</si>
  <si>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</si>
  <si>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</si>
  <si>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</si>
  <si>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</si>
  <si>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</si>
  <si>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</si>
  <si>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</si>
  <si>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</si>
  <si>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</si>
  <si>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</si>
  <si>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</si>
  <si>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</si>
  <si>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</si>
  <si>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</si>
  <si>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</si>
  <si>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</si>
  <si>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</si>
  <si>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</si>
  <si>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</si>
  <si>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</si>
  <si>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</si>
  <si>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</si>
  <si>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</si>
  <si>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</si>
  <si>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</si>
  <si>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</si>
  <si>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</si>
  <si>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</si>
  <si>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</si>
  <si>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</si>
  <si>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</si>
  <si>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</si>
  <si>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</si>
  <si>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</si>
  <si>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</si>
  <si>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</si>
  <si>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</si>
  <si>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</si>
  <si>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</si>
  <si>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</si>
  <si>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</si>
  <si>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</si>
  <si>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</si>
  <si>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</si>
  <si>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</si>
  <si>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</si>
  <si>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</si>
  <si>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</si>
  <si>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</si>
  <si>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</si>
  <si>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</si>
  <si>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</si>
  <si>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</si>
  <si>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</si>
  <si>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</si>
  <si>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</si>
  <si>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</si>
  <si>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</si>
  <si>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</si>
  <si>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</si>
  <si>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</si>
  <si>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</si>
  <si>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</si>
  <si>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</si>
  <si>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</si>
  <si>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</si>
  <si>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</si>
  <si>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</si>
  <si>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</si>
  <si>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</si>
  <si>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</si>
  <si>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</si>
  <si>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</si>
  <si>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</si>
  <si>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</si>
  <si>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</si>
  <si>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</si>
  <si>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</si>
  <si>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</si>
  <si>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</si>
  <si>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</si>
  <si>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</si>
  <si>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</si>
  <si>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</si>
  <si>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</si>
  <si>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</si>
  <si>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</si>
  <si>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</si>
  <si>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</si>
  <si>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</si>
  <si>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</si>
  <si>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</si>
  <si>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</si>
  <si>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</si>
  <si>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</si>
  <si>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</si>
  <si>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</si>
  <si>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</si>
  <si>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</si>
  <si>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</si>
  <si>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</si>
  <si>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</si>
  <si>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</si>
  <si>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</si>
  <si>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</si>
  <si>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</si>
  <si>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</si>
  <si>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</si>
  <si>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</si>
  <si>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</si>
  <si>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</si>
  <si>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</si>
  <si>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</si>
  <si>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</si>
  <si>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</si>
  <si>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</si>
  <si>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</si>
  <si>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</si>
  <si>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</si>
  <si>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</si>
  <si>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</si>
  <si>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</si>
  <si>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</si>
  <si>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</si>
  <si>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</si>
  <si>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</si>
  <si>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</si>
  <si>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</si>
  <si>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</si>
  <si>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</si>
  <si>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</si>
  <si>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</si>
  <si>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</si>
  <si>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</si>
  <si>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</si>
  <si>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</si>
  <si>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</si>
  <si>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</si>
  <si>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</si>
  <si>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</si>
  <si>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</si>
  <si>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</si>
  <si>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</si>
  <si>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</si>
  <si>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</si>
  <si>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</si>
  <si>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</si>
  <si>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</si>
  <si>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</si>
  <si>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</si>
  <si>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</si>
  <si>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</si>
  <si>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</si>
  <si>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</si>
  <si>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</si>
  <si>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</si>
  <si>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</si>
  <si>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</si>
  <si>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</si>
  <si>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</si>
  <si>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</si>
  <si>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</si>
  <si>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</si>
  <si>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</si>
  <si>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</si>
  <si>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</si>
  <si>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</si>
  <si>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</si>
  <si>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</si>
  <si>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</si>
  <si>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</si>
  <si>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</si>
  <si>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</si>
  <si>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</si>
  <si>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</si>
  <si>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</si>
  <si>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</si>
  <si>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</si>
  <si>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</si>
  <si>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</si>
  <si>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</si>
  <si>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</si>
  <si>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</si>
  <si>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</si>
  <si>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</si>
  <si>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</si>
  <si>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</si>
  <si>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</si>
  <si>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</si>
  <si>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</si>
  <si>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</si>
  <si>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</si>
  <si>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</si>
  <si>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</si>
  <si>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</si>
  <si>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</si>
  <si>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</si>
  <si>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</si>
  <si>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</si>
  <si>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</si>
  <si>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</si>
  <si>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</si>
  <si>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</si>
  <si>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</si>
  <si>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</si>
  <si>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</si>
  <si>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</si>
  <si>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</si>
  <si>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</si>
  <si>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</si>
  <si>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</si>
  <si>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</si>
  <si>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</si>
  <si>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</si>
  <si>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</si>
  <si>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</si>
  <si>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</si>
  <si>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</si>
  <si>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</si>
  <si>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</si>
  <si>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</si>
  <si>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</si>
  <si>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</si>
  <si>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</si>
  <si>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</si>
  <si>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</si>
  <si>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</si>
  <si>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</si>
  <si>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</si>
  <si>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</si>
  <si>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</si>
  <si>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</si>
  <si>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</si>
  <si>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</si>
  <si>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</si>
  <si>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</si>
  <si>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</si>
  <si>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</si>
  <si>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</si>
  <si>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</si>
  <si>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</si>
  <si>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</si>
  <si>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</si>
  <si>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</si>
  <si>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</si>
  <si>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</si>
  <si>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</si>
  <si>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</si>
  <si>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</si>
  <si>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</si>
  <si>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</si>
  <si>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</si>
  <si>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</si>
  <si>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</si>
  <si>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</si>
  <si>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</si>
  <si>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</si>
  <si>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</si>
  <si>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</si>
  <si>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</si>
  <si>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</si>
  <si>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</si>
  <si>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</si>
  <si>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</si>
  <si>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</si>
  <si>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</si>
  <si>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</si>
  <si>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</si>
  <si>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</si>
  <si>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</si>
  <si>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</si>
  <si>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</si>
  <si>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</si>
  <si>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</si>
  <si>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</si>
  <si>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</si>
  <si>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</si>
  <si>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</si>
  <si>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</si>
  <si>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</si>
  <si>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</si>
  <si>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</si>
  <si>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</si>
  <si>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</si>
  <si>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</si>
  <si>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</si>
  <si>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</si>
  <si>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</si>
  <si>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</si>
  <si>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</si>
  <si>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</si>
  <si>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</si>
  <si>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</si>
  <si>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</si>
  <si>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</si>
  <si>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</si>
  <si>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</si>
  <si>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</si>
  <si>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</si>
  <si>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</si>
  <si>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</si>
  <si>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</si>
  <si>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</si>
  <si>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</si>
  <si>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</si>
  <si>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</si>
  <si>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</si>
  <si>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</si>
  <si>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</si>
  <si>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</si>
  <si>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</si>
  <si>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</si>
  <si>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</si>
  <si>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</si>
  <si>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</si>
  <si>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</si>
  <si>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</si>
  <si>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</si>
  <si>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</si>
  <si>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</si>
  <si>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</si>
  <si>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</si>
  <si>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</si>
  <si>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</si>
  <si>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</si>
  <si>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</si>
  <si>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</si>
  <si>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</si>
  <si>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</si>
  <si>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</si>
  <si>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</si>
  <si>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</si>
  <si>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</si>
  <si>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</si>
  <si>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</si>
  <si>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</si>
  <si>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</si>
  <si>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</si>
  <si>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</si>
  <si>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</si>
  <si>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</si>
  <si>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</si>
  <si>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</si>
  <si>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</si>
  <si>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</si>
  <si>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</si>
  <si>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</si>
  <si>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</si>
  <si>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</si>
  <si>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</si>
  <si>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</si>
  <si>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</si>
  <si>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</si>
  <si>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</si>
  <si>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</si>
  <si>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</si>
  <si>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</si>
  <si>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</si>
  <si>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</si>
  <si>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</si>
  <si>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</si>
  <si>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</si>
  <si>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</si>
  <si>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</si>
  <si>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</si>
  <si>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</si>
  <si>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</si>
  <si>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</si>
  <si>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</si>
  <si>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</si>
  <si>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</si>
  <si>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</si>
  <si>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</si>
  <si>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</si>
  <si>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</si>
  <si>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</si>
  <si>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</si>
  <si>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</si>
  <si>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</si>
  <si>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</si>
  <si>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</si>
  <si>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</si>
  <si>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</si>
  <si>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</si>
  <si>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</si>
  <si>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</si>
  <si>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</si>
  <si>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</si>
  <si>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</si>
  <si>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</si>
  <si>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</si>
  <si>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</si>
  <si>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</si>
  <si>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</si>
  <si>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</si>
  <si>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</si>
  <si>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</si>
  <si>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</si>
  <si>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</si>
  <si>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</si>
  <si>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</si>
  <si>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</si>
  <si>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</si>
  <si>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</si>
  <si>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</si>
  <si>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</si>
  <si>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</si>
  <si>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</si>
  <si>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</si>
  <si>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</si>
  <si>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</si>
  <si>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</si>
  <si>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</si>
  <si>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</si>
  <si>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</si>
  <si>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</si>
  <si>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</si>
  <si>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</si>
  <si>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</si>
  <si>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</si>
  <si>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</si>
  <si>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</si>
  <si>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</si>
  <si>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</si>
  <si>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</si>
  <si>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</si>
  <si>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</si>
  <si>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</si>
  <si>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</si>
  <si>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</si>
  <si>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</si>
  <si>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</si>
  <si>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</si>
  <si>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</si>
  <si>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</si>
  <si>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</si>
  <si>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</si>
  <si>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</si>
  <si>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</si>
  <si>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</si>
  <si>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</si>
  <si>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</si>
  <si>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</si>
  <si>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</si>
  <si>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</si>
  <si>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</si>
  <si>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</si>
  <si>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</si>
  <si>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</si>
  <si>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</si>
  <si>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</si>
  <si>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</si>
  <si>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</si>
  <si>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</si>
  <si>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</si>
  <si>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</si>
  <si>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</si>
  <si>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</si>
  <si>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</si>
  <si>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</si>
  <si>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</si>
  <si>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</si>
  <si>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</si>
  <si>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</si>
  <si>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</si>
  <si>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</si>
  <si>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</si>
  <si>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</si>
  <si>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</si>
  <si>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</si>
  <si>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</si>
  <si>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</si>
  <si>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</si>
  <si>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</si>
  <si>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</si>
  <si>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</si>
  <si>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</si>
  <si>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</si>
  <si>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</si>
  <si>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</si>
  <si>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</si>
  <si>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</si>
  <si>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</si>
  <si>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</si>
  <si>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</si>
  <si>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</si>
  <si>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</si>
  <si>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</si>
  <si>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</si>
  <si>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</si>
  <si>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</si>
  <si>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</si>
  <si>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</si>
  <si>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</si>
  <si>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</si>
  <si>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</si>
  <si>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</si>
  <si>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</si>
  <si>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</si>
  <si>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</si>
  <si>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</si>
  <si>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</si>
  <si>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</si>
  <si>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</si>
  <si>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</si>
  <si>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</si>
  <si>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</si>
  <si>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</si>
  <si>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</si>
  <si>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</si>
  <si>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</si>
  <si>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</si>
  <si>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</si>
  <si>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</si>
  <si>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</si>
  <si>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</si>
  <si>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</si>
  <si>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</si>
  <si>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</si>
  <si>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</si>
  <si>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</si>
  <si>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</si>
  <si>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</si>
  <si>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</si>
  <si>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</si>
  <si>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</si>
  <si>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</si>
  <si>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</si>
  <si>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</si>
  <si>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</si>
  <si>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</si>
  <si>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</si>
  <si>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</si>
  <si>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</si>
  <si>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</si>
  <si>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</si>
  <si>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</si>
  <si>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</si>
  <si>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</si>
  <si>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</si>
  <si>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</si>
  <si>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</si>
  <si>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</si>
  <si>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</si>
  <si>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</si>
  <si>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</si>
  <si>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</si>
  <si>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</si>
  <si>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</si>
  <si>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</si>
  <si>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</si>
  <si>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</si>
  <si>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</si>
  <si>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</si>
  <si>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</si>
  <si>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</si>
  <si>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</si>
  <si>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</si>
  <si>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</si>
  <si>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</si>
  <si>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</si>
  <si>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</si>
  <si>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</si>
  <si>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</si>
  <si>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</si>
  <si>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</si>
  <si>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</si>
  <si>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</si>
  <si>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</si>
  <si>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</si>
  <si>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</si>
  <si>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</si>
  <si>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</si>
  <si>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</si>
  <si>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</si>
  <si>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</si>
  <si>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</si>
  <si>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</si>
  <si>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</si>
  <si>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</si>
  <si>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</si>
  <si>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</si>
  <si>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</si>
  <si>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</si>
  <si>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</si>
  <si>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</si>
  <si>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</si>
  <si>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</si>
  <si>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</si>
  <si>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</si>
  <si>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</si>
  <si>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</si>
  <si>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</si>
  <si>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</si>
  <si>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</si>
  <si>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</si>
  <si>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</si>
  <si>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</si>
  <si>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</si>
  <si>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</si>
  <si>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</si>
  <si>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</si>
  <si>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</si>
  <si>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</si>
  <si>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</si>
  <si>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</si>
  <si>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</si>
  <si>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</si>
  <si>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</si>
  <si>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</si>
  <si>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</si>
  <si>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</si>
  <si>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</si>
  <si>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</si>
  <si>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</si>
  <si>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</si>
  <si>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</si>
  <si>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</si>
  <si>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</si>
  <si>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</si>
  <si>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</si>
  <si>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</si>
  <si>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</si>
  <si>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</si>
  <si>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</si>
  <si>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</si>
  <si>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</si>
  <si>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</si>
  <si>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</si>
  <si>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</si>
  <si>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</si>
  <si>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</si>
  <si>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</si>
  <si>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</si>
  <si>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</si>
  <si>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</si>
  <si>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</si>
  <si>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</si>
  <si>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</si>
  <si>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</si>
  <si>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</si>
  <si>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</si>
  <si>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</si>
  <si>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</si>
  <si>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</si>
  <si>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</si>
  <si>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</si>
  <si>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</si>
  <si>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</si>
  <si>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</si>
  <si>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</si>
  <si>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</si>
  <si>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</si>
  <si>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</si>
  <si>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</si>
  <si>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</si>
  <si>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</si>
  <si>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</si>
  <si>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</si>
  <si>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</si>
  <si>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</si>
  <si>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</si>
  <si>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</si>
  <si>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</si>
  <si>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</si>
  <si>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</si>
  <si>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</si>
  <si>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</si>
  <si>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</si>
  <si>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</si>
  <si>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</si>
  <si>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</si>
  <si>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</si>
  <si>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</si>
  <si>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</si>
  <si>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</si>
  <si>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</si>
  <si>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</si>
  <si>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</si>
  <si>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</si>
  <si>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</si>
  <si>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</si>
  <si>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</si>
  <si>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</si>
  <si>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</si>
  <si>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</si>
  <si>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</si>
  <si>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</si>
  <si>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</si>
  <si>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</si>
  <si>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</si>
  <si>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</si>
  <si>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</si>
  <si>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</si>
  <si>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</si>
  <si>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</si>
  <si>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</si>
  <si>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</si>
  <si>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</si>
  <si>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</si>
  <si>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</si>
  <si>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</si>
  <si>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</si>
  <si>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</si>
  <si>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</si>
  <si>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</si>
  <si>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</si>
  <si>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</si>
  <si>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</si>
  <si>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</si>
  <si>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</si>
  <si>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</si>
  <si>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</si>
  <si>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</si>
  <si>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</si>
  <si>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</si>
  <si>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</si>
  <si>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</si>
  <si>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</si>
  <si>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</si>
  <si>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</si>
  <si>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</si>
  <si>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</si>
  <si>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</si>
  <si>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</si>
  <si>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</si>
  <si>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</si>
  <si>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</si>
  <si>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</si>
  <si>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</si>
  <si>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</si>
  <si>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</si>
  <si>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</si>
  <si>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</si>
  <si>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</si>
  <si>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</si>
  <si>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</si>
  <si>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</si>
  <si>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</si>
  <si>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</si>
  <si>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</si>
  <si>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</si>
  <si>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</si>
  <si>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</si>
  <si>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</si>
  <si>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</si>
  <si>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</si>
  <si>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</si>
  <si>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</si>
  <si>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</si>
  <si>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</si>
  <si>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</si>
  <si>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</si>
  <si>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</si>
  <si>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</si>
  <si>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</si>
  <si>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</si>
  <si>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</si>
  <si>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</si>
  <si>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</si>
  <si>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</si>
  <si>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</si>
  <si>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</si>
  <si>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</si>
  <si>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</si>
  <si>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</si>
  <si>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</si>
  <si>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</si>
  <si>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</si>
  <si>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</si>
  <si>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</si>
  <si>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</si>
  <si>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</si>
  <si>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</si>
  <si>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</si>
  <si>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</si>
  <si>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</si>
  <si>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</si>
  <si>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</si>
  <si>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</si>
  <si>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</si>
  <si>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</si>
  <si>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</si>
  <si>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</si>
  <si>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</si>
  <si>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</si>
  <si>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</si>
  <si>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</si>
  <si>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</si>
  <si>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</si>
  <si>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</si>
  <si>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</si>
  <si>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</si>
  <si>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</si>
  <si>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</si>
  <si>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</si>
  <si>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</si>
  <si>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</si>
  <si>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</si>
  <si>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</si>
  <si>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</si>
  <si>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</si>
  <si>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</si>
  <si>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</si>
  <si>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</si>
  <si>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</si>
  <si>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</si>
  <si>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</si>
  <si>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</si>
  <si>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</si>
  <si>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</si>
  <si>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</si>
  <si>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</si>
  <si>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</si>
  <si>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</si>
  <si>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</si>
  <si>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</si>
  <si>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</si>
  <si>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</si>
  <si>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</si>
  <si>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</si>
  <si>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</si>
  <si>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</si>
  <si>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</si>
  <si>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</si>
  <si>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</si>
  <si>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</si>
  <si>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</si>
  <si>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</si>
  <si>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</si>
  <si>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</si>
  <si>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</si>
  <si>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</si>
  <si>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</si>
  <si>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</si>
  <si>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</si>
  <si>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</si>
  <si>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</si>
  <si>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</si>
  <si>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</si>
  <si>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</si>
  <si>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</si>
  <si>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</si>
  <si>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</si>
  <si>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</si>
  <si>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</si>
  <si>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</si>
  <si>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</si>
  <si>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</si>
  <si>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</si>
  <si>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</si>
  <si>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</si>
  <si>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</si>
  <si>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</si>
  <si>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</si>
  <si>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</si>
  <si>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</si>
  <si>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</si>
  <si>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</si>
  <si>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</si>
  <si>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</si>
  <si>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</si>
  <si>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</si>
  <si>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</si>
  <si>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</si>
  <si>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</si>
  <si>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</si>
  <si>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</si>
  <si>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</si>
  <si>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</si>
  <si>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</si>
  <si>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</si>
  <si>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</si>
  <si>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</si>
  <si>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</si>
  <si>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</si>
  <si>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</si>
  <si>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</si>
  <si>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</si>
  <si>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</si>
  <si>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</si>
  <si>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</si>
  <si>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</si>
  <si>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</si>
  <si>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</si>
  <si>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</si>
  <si>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</si>
  <si>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</si>
  <si>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</si>
  <si>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</si>
  <si>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</si>
  <si>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</si>
  <si>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</si>
  <si>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</si>
  <si>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</si>
  <si>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</si>
  <si>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</si>
  <si>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</si>
  <si>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</si>
  <si>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</si>
  <si>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</si>
  <si>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</si>
  <si>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</si>
  <si>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</si>
  <si>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</si>
  <si>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</si>
  <si>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</si>
  <si>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</si>
  <si>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</si>
  <si>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</si>
  <si>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</si>
  <si>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</si>
  <si>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</si>
  <si>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</si>
  <si>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</si>
  <si>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</si>
  <si>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</si>
  <si>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</si>
  <si>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</si>
  <si>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</si>
  <si>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</si>
  <si>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</si>
  <si>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</si>
  <si>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</si>
  <si>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</si>
  <si>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</si>
  <si>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</si>
  <si>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</si>
  <si>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</si>
  <si>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</si>
  <si>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</si>
  <si>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</si>
  <si>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</si>
  <si>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</si>
  <si>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</si>
  <si>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</si>
  <si>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</si>
  <si>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</si>
  <si>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</si>
  <si>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</si>
  <si>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</si>
  <si>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</si>
  <si>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</si>
  <si>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</si>
  <si>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</si>
  <si>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</si>
  <si>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</si>
  <si>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</si>
  <si>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</si>
  <si>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</si>
  <si>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</si>
  <si>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</si>
  <si>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</si>
  <si>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</si>
  <si>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</si>
  <si>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</si>
  <si>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</si>
  <si>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</si>
  <si>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</si>
  <si>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</si>
  <si>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</si>
  <si>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</si>
  <si>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</si>
  <si>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</si>
  <si>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</si>
  <si>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</si>
  <si>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</si>
  <si>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</si>
  <si>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</si>
  <si>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</si>
  <si>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</si>
  <si>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</si>
  <si>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</si>
  <si>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</si>
  <si>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</si>
  <si>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</si>
  <si>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</si>
  <si>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</si>
  <si>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</si>
  <si>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</si>
  <si>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</si>
  <si>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</si>
  <si>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</si>
  <si>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</si>
  <si>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</si>
  <si>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</si>
  <si>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</si>
  <si>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</si>
  <si>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</si>
  <si>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</si>
  <si>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</si>
  <si>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</si>
  <si>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</si>
  <si>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</si>
  <si>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</si>
  <si>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</si>
  <si>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</si>
  <si>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</si>
  <si>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</si>
  <si>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</si>
  <si>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</si>
  <si>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</si>
  <si>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</si>
  <si>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</si>
  <si>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</si>
  <si>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</si>
  <si>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</si>
  <si>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</si>
  <si>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</si>
  <si>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</si>
  <si>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</si>
  <si>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</si>
  <si>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</si>
  <si>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</si>
  <si>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</si>
  <si>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</si>
  <si>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</si>
  <si>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</si>
  <si>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</si>
  <si>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</si>
  <si>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</si>
  <si>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</si>
  <si>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</si>
  <si>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</si>
  <si>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</si>
  <si>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</si>
  <si>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</si>
  <si>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</si>
  <si>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</si>
  <si>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</si>
  <si>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</si>
  <si>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</si>
  <si>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</si>
  <si>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</si>
  <si>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</si>
  <si>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</si>
  <si>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</si>
  <si>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</si>
  <si>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</si>
  <si>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</si>
  <si>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</si>
  <si>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</si>
  <si>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</si>
  <si>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</si>
  <si>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</si>
  <si>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</si>
  <si>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</si>
  <si>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</si>
  <si>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</si>
  <si>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</si>
  <si>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</si>
  <si>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</si>
  <si>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</si>
  <si>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</si>
  <si>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</si>
  <si>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</si>
  <si>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</si>
  <si>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</si>
  <si>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</si>
  <si>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</si>
  <si>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</si>
  <si>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</si>
  <si>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</si>
  <si>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</si>
  <si>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</si>
  <si>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</si>
  <si>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</si>
  <si>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</si>
  <si>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</si>
  <si>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</si>
  <si>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</si>
  <si>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</si>
  <si>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</si>
  <si>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</si>
  <si>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</si>
  <si>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</si>
  <si>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</si>
  <si>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</si>
  <si>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</si>
  <si>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</si>
  <si>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</si>
  <si>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</si>
  <si>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</si>
  <si>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</si>
  <si>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</si>
  <si>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</si>
  <si>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</si>
  <si>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</si>
  <si>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</si>
  <si>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</si>
  <si>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</si>
  <si>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</si>
  <si>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</si>
  <si>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</si>
  <si>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</si>
  <si>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</si>
  <si>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</si>
  <si>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</si>
  <si>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</si>
  <si>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</si>
  <si>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</si>
  <si>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</si>
  <si>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</si>
  <si>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</si>
  <si>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</si>
  <si>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</si>
  <si>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</si>
  <si>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</si>
  <si>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</si>
  <si>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</si>
  <si>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</si>
  <si>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</si>
  <si>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</si>
  <si>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</si>
  <si>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</si>
  <si>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</si>
  <si>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</si>
  <si>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</si>
  <si>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</si>
  <si>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</si>
  <si>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</si>
  <si>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</si>
  <si>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</si>
  <si>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</si>
  <si>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</si>
  <si>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</si>
  <si>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</si>
  <si>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</si>
  <si>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</si>
  <si>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</si>
  <si>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</si>
  <si>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</si>
  <si>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</si>
  <si>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</si>
  <si>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</si>
  <si>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</si>
  <si>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</si>
  <si>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</si>
  <si>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</si>
  <si>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</si>
  <si>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</si>
  <si>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</si>
  <si>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</si>
  <si>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</si>
  <si>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</si>
  <si>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</si>
  <si>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</si>
  <si>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</si>
  <si>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</si>
  <si>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</si>
  <si>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</si>
  <si>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</si>
  <si>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</si>
  <si>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</si>
  <si>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</si>
  <si>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</si>
  <si>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</si>
  <si>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</si>
  <si>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</si>
  <si>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</si>
  <si>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</si>
  <si>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</si>
  <si>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</si>
  <si>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</si>
  <si>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</si>
  <si>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</si>
  <si>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</si>
  <si>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</si>
  <si>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</si>
  <si>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</si>
  <si>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</si>
  <si>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</si>
  <si>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</si>
  <si>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</si>
  <si>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</si>
  <si>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</si>
  <si>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</si>
  <si>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</si>
  <si>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</si>
  <si>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</si>
  <si>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</si>
  <si>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</si>
  <si>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</si>
  <si>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</si>
  <si>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</si>
  <si>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</si>
  <si>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</si>
  <si>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</si>
  <si>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</si>
  <si>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</si>
  <si>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</si>
  <si>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</si>
  <si>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</si>
  <si>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</si>
  <si>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</si>
  <si>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</si>
  <si>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</si>
  <si>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</si>
  <si>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</si>
  <si>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</si>
  <si>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</si>
  <si>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</si>
  <si>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</si>
  <si>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</si>
  <si>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</si>
  <si>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</si>
  <si>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</si>
  <si>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</si>
  <si>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</si>
  <si>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</si>
  <si>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</si>
  <si>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</si>
  <si>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</si>
  <si>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</si>
  <si>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</si>
  <si>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</si>
  <si>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</si>
  <si>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</si>
  <si>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</si>
  <si>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</si>
  <si>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</si>
  <si>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</si>
  <si>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</si>
  <si>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</si>
  <si>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</si>
  <si>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</si>
  <si>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</si>
  <si>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</si>
  <si>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</si>
  <si>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</si>
  <si>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</si>
  <si>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</si>
  <si>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</si>
  <si>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</si>
  <si>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</si>
  <si>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</si>
  <si>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</si>
  <si>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</si>
  <si>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</si>
  <si>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</si>
  <si>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</si>
  <si>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</si>
  <si>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</si>
  <si>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</si>
  <si>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</si>
  <si>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</si>
  <si>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</si>
  <si>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</si>
  <si>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</si>
  <si>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</si>
  <si>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</si>
  <si>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</si>
  <si>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</si>
  <si>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</si>
  <si>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</si>
  <si>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</si>
  <si>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</si>
  <si>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</si>
  <si>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</si>
  <si>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</si>
  <si>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</si>
  <si>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</si>
  <si>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</si>
  <si>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</si>
  <si>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</si>
  <si>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</si>
  <si>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</si>
  <si>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</si>
  <si>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</si>
  <si>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</si>
  <si>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</si>
  <si>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</si>
  <si>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</si>
  <si>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</si>
  <si>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</si>
  <si>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</si>
  <si>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</si>
  <si>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</si>
  <si>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</si>
  <si>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</si>
  <si>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</si>
  <si>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</si>
  <si>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</si>
  <si>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</si>
  <si>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</si>
  <si>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</si>
  <si>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</si>
  <si>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</si>
  <si>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</si>
  <si>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</si>
  <si>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</si>
  <si>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</si>
  <si>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</si>
  <si>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</si>
  <si>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</si>
  <si>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</si>
  <si>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</si>
  <si>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</si>
  <si>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</si>
  <si>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</si>
  <si>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</si>
  <si>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</si>
  <si>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</si>
  <si>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</si>
  <si>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</si>
  <si>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</si>
  <si>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</si>
  <si>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</si>
  <si>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</si>
  <si>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</si>
  <si>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</si>
  <si>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</si>
  <si>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</si>
  <si>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</si>
  <si>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</si>
  <si>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</si>
  <si>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</si>
  <si>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</si>
  <si>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</si>
  <si>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</si>
  <si>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</si>
  <si>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</si>
  <si>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</si>
  <si>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</si>
  <si>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</si>
  <si>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</si>
  <si>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</si>
  <si>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</si>
  <si>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</si>
  <si>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</si>
  <si>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</si>
  <si>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</si>
  <si>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</si>
  <si>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</si>
  <si>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</si>
  <si>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</si>
  <si>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</si>
  <si>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</si>
  <si>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</si>
  <si>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</si>
  <si>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</si>
  <si>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</si>
  <si>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</si>
  <si>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</si>
  <si>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</si>
  <si>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</si>
  <si>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</si>
  <si>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</si>
  <si>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</si>
  <si>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</si>
  <si>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</si>
  <si>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</si>
  <si>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one individual.</t>
  </si>
  <si>
    <t>Inadequate segregation of duties increases the risk of misstatements in the financial statements.</t>
  </si>
  <si>
    <t>One individual has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</si>
  <si>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</si>
  <si>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</si>
  <si>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Spring Lake CCSD No. 606</t>
  </si>
  <si>
    <t>53-090-6060-04</t>
  </si>
  <si>
    <t>2019-001</t>
  </si>
  <si>
    <t>Lack of Segregation of Duties</t>
  </si>
  <si>
    <t>Unresolved - See Finding 2020-001</t>
  </si>
  <si>
    <r>
      <t>CORRECTIVE ACTION PLAN FOR CURRENT YEAR AUDIT FINDINGS</t>
    </r>
    <r>
      <rPr>
        <b/>
        <vertAlign val="superscript"/>
        <sz val="9"/>
        <rFont val="Arial"/>
        <family val="2"/>
      </rPr>
      <t>21</t>
    </r>
  </si>
  <si>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</si>
  <si>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</si>
  <si>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</si>
  <si>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</si>
  <si>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</si>
  <si>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</si>
  <si>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</si>
  <si>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Charles Nagel, Superintendent</t>
  </si>
  <si>
    <t>Management Response:</t>
  </si>
  <si>
    <t>The Board of Education has determined that the current internal control system is</t>
  </si>
  <si>
    <t>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</si>
  <si>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</si>
  <si>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2020-</t>
  </si>
  <si>
    <t>Tazewell</t>
  </si>
  <si>
    <t>13650 N. Manito Road</t>
  </si>
  <si>
    <t>Manito</t>
  </si>
  <si>
    <t>cnagel@springlake606.org</t>
  </si>
  <si>
    <t>Charles Nagel</t>
  </si>
  <si>
    <t>Jason A. Hohulin, CPA</t>
  </si>
  <si>
    <t>Part C - #20 See Finding 2019-001</t>
  </si>
  <si>
    <t>Pekin PSD #108, Pekin PCHS #303, Rankin District #98</t>
  </si>
  <si>
    <t>Rankin #98, South Pekin #137</t>
  </si>
  <si>
    <t>Homefield</t>
  </si>
  <si>
    <t>Rankin CDS #98, PCHS #303, Pekin #108, North Pekin #102, South Pekin #137</t>
  </si>
  <si>
    <t>Tazewell - Mason County Special Education Cooperative</t>
  </si>
  <si>
    <t>State of Illinois Joint Purchasing</t>
  </si>
  <si>
    <t>Rankin #98</t>
  </si>
  <si>
    <t>Page 12, Line 180 - REAP Grant</t>
  </si>
  <si>
    <t>Page 29, Line 80 "PLEASE ENTER CONTRACTS PAID IN THE CURRENT YEAR"</t>
  </si>
  <si>
    <t>For the current fiscal year under audit, the district did not have any qualifying contracts exceeding</t>
  </si>
  <si>
    <t>the $25,000 limit.</t>
  </si>
  <si>
    <t>jhohulin@gorenzcpa.com</t>
  </si>
  <si>
    <t>NONE</t>
  </si>
  <si>
    <t>Page 10, Line 107 - Accident Fund Insurance Group Dividend</t>
  </si>
  <si>
    <t>See PDF Version</t>
  </si>
  <si>
    <t xml:space="preserve">   Spring Lake CCSD 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</si>
</sst>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4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4">
        <f>+'AFR20'!E4</f>
        <v>44119</v>
      </c>
      <c r="C1" s="2144"/>
      <c r="D1" s="2145"/>
      <c r="I1" s="2103" t="s">
        <v>402</v>
      </c>
      <c r="J1" s="2104"/>
      <c r="K1" s="2104"/>
      <c r="L1" s="2104"/>
      <c r="M1" s="2104"/>
      <c r="N1" s="2104"/>
      <c r="O1" s="2104"/>
      <c r="P1" s="2104"/>
      <c r="Q1" s="2104"/>
      <c r="R1" s="2104"/>
      <c r="S1" s="2104"/>
    </row>
    <row r="2" spans="1:32" ht="12" customHeight="1" x14ac:dyDescent="0.2">
      <c r="A2" s="1831" t="str">
        <f>"Due to ISBE on "</f>
        <v xml:space="preserve">Due to ISBE on </v>
      </c>
      <c r="B2" s="2146">
        <f>+'AFR20'!F4</f>
        <v>44151</v>
      </c>
      <c r="C2" s="2146"/>
      <c r="D2" s="2147"/>
      <c r="I2" s="2105" t="s">
        <v>2003</v>
      </c>
      <c r="J2" s="2104"/>
      <c r="K2" s="2104"/>
      <c r="L2" s="2104"/>
      <c r="M2" s="2104"/>
      <c r="N2" s="2104"/>
      <c r="O2" s="2104"/>
      <c r="P2" s="2104"/>
      <c r="Q2" s="2104"/>
      <c r="R2" s="2104"/>
      <c r="S2" s="2104"/>
    </row>
    <row r="3" spans="1:32" ht="12" customHeight="1" x14ac:dyDescent="0.2">
      <c r="A3" s="1834" t="str">
        <f>"SD/JA"&amp;MID('AFR20'!E2,3,2)</f>
        <v>SD/JA20</v>
      </c>
      <c r="B3" s="151"/>
      <c r="C3" s="151"/>
      <c r="D3" s="152"/>
      <c r="I3" s="2105" t="s">
        <v>52</v>
      </c>
      <c r="J3" s="2104"/>
      <c r="K3" s="2104"/>
      <c r="L3" s="2104"/>
      <c r="M3" s="2104"/>
      <c r="N3" s="2104"/>
      <c r="O3" s="2104"/>
      <c r="P3" s="2104"/>
      <c r="Q3" s="2104"/>
      <c r="R3" s="2104"/>
      <c r="S3" s="2104"/>
    </row>
    <row r="4" spans="1:32" ht="12" customHeight="1" x14ac:dyDescent="0.2">
      <c r="A4" s="37"/>
      <c r="I4" s="2105" t="s">
        <v>521</v>
      </c>
      <c r="J4" s="2104"/>
      <c r="K4" s="2104"/>
      <c r="L4" s="2104"/>
      <c r="M4" s="2104"/>
      <c r="N4" s="2104"/>
      <c r="O4" s="2104"/>
      <c r="P4" s="2104"/>
      <c r="Q4" s="2104"/>
      <c r="R4" s="2104"/>
      <c r="S4" s="2104"/>
    </row>
    <row r="5" spans="1:32" ht="14.1" customHeight="1" x14ac:dyDescent="0.2">
      <c r="B5" s="101" t="s">
        <v>2051</v>
      </c>
      <c r="C5" s="26" t="s">
        <v>904</v>
      </c>
      <c r="D5" s="81"/>
      <c r="E5" s="81"/>
      <c r="H5" s="38"/>
      <c r="I5" s="2113" t="s">
        <v>675</v>
      </c>
      <c r="J5" s="2112"/>
      <c r="K5" s="2112"/>
      <c r="L5" s="2112"/>
      <c r="M5" s="2112"/>
      <c r="N5" s="2112"/>
      <c r="O5" s="2112"/>
      <c r="P5" s="2112"/>
      <c r="Q5" s="2112"/>
      <c r="R5" s="2112"/>
      <c r="S5" s="2112"/>
      <c r="AF5" s="1827"/>
    </row>
    <row r="6" spans="1:32" ht="14.1" customHeight="1" x14ac:dyDescent="0.2">
      <c r="B6" s="101"/>
      <c r="C6" s="26" t="s">
        <v>905</v>
      </c>
      <c r="D6" s="81"/>
      <c r="E6" s="81"/>
      <c r="I6" s="2111" t="s">
        <v>877</v>
      </c>
      <c r="J6" s="2112"/>
      <c r="K6" s="2112"/>
      <c r="L6" s="2112"/>
      <c r="M6" s="2112"/>
      <c r="N6" s="2112"/>
      <c r="O6" s="2112"/>
      <c r="P6" s="2112"/>
      <c r="Q6" s="2112"/>
      <c r="R6" s="2112"/>
      <c r="S6" s="2112"/>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669</v>
      </c>
      <c r="J9" s="2109"/>
      <c r="K9" s="2109"/>
      <c r="L9" s="2109"/>
      <c r="M9" s="2109"/>
      <c r="N9" s="2109"/>
      <c r="O9" s="2109"/>
      <c r="P9" s="2109"/>
      <c r="Q9" s="2109"/>
      <c r="R9" s="2109"/>
      <c r="S9" s="2110"/>
      <c r="T9" s="2161" t="s">
        <v>530</v>
      </c>
      <c r="U9" s="2162"/>
      <c r="V9" s="2162"/>
      <c r="W9" s="2162"/>
      <c r="X9" s="2162"/>
      <c r="Y9" s="2162"/>
      <c r="Z9" s="2162"/>
      <c r="AA9" s="2163"/>
    </row>
    <row r="10" spans="1:32" ht="13.5" customHeight="1" x14ac:dyDescent="0.2">
      <c r="A10" s="2168" t="s">
        <v>670</v>
      </c>
      <c r="B10" s="2169"/>
      <c r="C10" s="2169"/>
      <c r="D10" s="2169"/>
      <c r="E10" s="2169"/>
      <c r="F10" s="2169"/>
      <c r="G10" s="2169"/>
      <c r="H10" s="2170"/>
      <c r="I10" s="29"/>
      <c r="J10" s="30"/>
      <c r="K10" s="28"/>
      <c r="R10" s="30"/>
      <c r="S10" s="30"/>
      <c r="T10" s="2164"/>
      <c r="U10" s="2112"/>
      <c r="V10" s="2112"/>
      <c r="W10" s="2112"/>
      <c r="X10" s="2112"/>
      <c r="Y10" s="2112"/>
      <c r="Z10" s="2112"/>
      <c r="AA10" s="2118"/>
    </row>
    <row r="11" spans="1:32" ht="14.25" customHeight="1" x14ac:dyDescent="0.2">
      <c r="A11" s="2171" t="s">
        <v>949</v>
      </c>
      <c r="B11" s="2172"/>
      <c r="C11" s="2172"/>
      <c r="D11" s="2172"/>
      <c r="E11" s="2172"/>
      <c r="F11" s="2172"/>
      <c r="G11" s="2172"/>
      <c r="H11" s="2173"/>
      <c r="I11" s="27"/>
      <c r="J11" s="71"/>
      <c r="K11" s="27"/>
      <c r="O11" s="144" t="s">
        <v>2051</v>
      </c>
      <c r="P11" s="97" t="s">
        <v>199</v>
      </c>
      <c r="Q11" s="30"/>
      <c r="R11" s="28"/>
      <c r="S11" s="27"/>
      <c r="T11" s="2165"/>
      <c r="U11" s="2166"/>
      <c r="V11" s="2166"/>
      <c r="W11" s="2166"/>
      <c r="X11" s="2166"/>
      <c r="Y11" s="2166"/>
      <c r="Z11" s="2166"/>
      <c r="AA11" s="216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4">
        <v>53090606004</v>
      </c>
      <c r="B13" s="2125"/>
      <c r="C13" s="2125"/>
      <c r="D13" s="2125"/>
      <c r="E13" s="2125"/>
      <c r="F13" s="2125"/>
      <c r="G13" s="2125"/>
      <c r="H13" s="2126"/>
      <c r="I13" s="31"/>
      <c r="J13" s="30"/>
      <c r="K13" s="28"/>
      <c r="L13" s="30"/>
      <c r="M13" s="30"/>
      <c r="N13" s="30"/>
      <c r="O13" s="30"/>
      <c r="P13" s="30"/>
      <c r="Q13" s="30"/>
      <c r="R13" s="30"/>
      <c r="S13" s="30"/>
      <c r="T13" s="2130" t="s">
        <v>2052</v>
      </c>
      <c r="U13" s="2131"/>
      <c r="V13" s="2131"/>
      <c r="W13" s="2131"/>
      <c r="X13" s="2131"/>
      <c r="Y13" s="2132"/>
      <c r="Z13" s="2132"/>
      <c r="AA13" s="213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7" t="s">
        <v>2087</v>
      </c>
      <c r="B15" s="2128"/>
      <c r="C15" s="2128"/>
      <c r="D15" s="2128"/>
      <c r="E15" s="2128"/>
      <c r="F15" s="2128"/>
      <c r="G15" s="2128"/>
      <c r="H15" s="2129"/>
      <c r="T15" s="2134" t="s">
        <v>2092</v>
      </c>
      <c r="U15" s="2091"/>
      <c r="V15" s="2091"/>
      <c r="W15" s="2091"/>
      <c r="X15" s="2091"/>
      <c r="Y15" s="2135"/>
      <c r="Z15" s="2135"/>
      <c r="AA15" s="213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7" t="s">
        <v>2109</v>
      </c>
      <c r="B17" s="2098"/>
      <c r="C17" s="2098"/>
      <c r="D17" s="2098"/>
      <c r="E17" s="2098"/>
      <c r="F17" s="2098"/>
      <c r="G17" s="2098"/>
      <c r="H17" s="2123"/>
      <c r="T17" s="2141" t="s">
        <v>2053</v>
      </c>
      <c r="U17" s="2142"/>
      <c r="V17" s="2142"/>
      <c r="W17" s="2142"/>
      <c r="X17" s="2142"/>
      <c r="Y17" s="2142"/>
      <c r="Z17" s="2142"/>
      <c r="AA17" s="2143"/>
    </row>
    <row r="18" spans="1:27" ht="13.5" customHeight="1" x14ac:dyDescent="0.2">
      <c r="A18" s="82" t="s">
        <v>527</v>
      </c>
      <c r="B18" s="73"/>
      <c r="C18" s="69"/>
      <c r="D18" s="73"/>
      <c r="E18" s="73"/>
      <c r="F18" s="73"/>
      <c r="G18" s="73"/>
      <c r="H18" s="53"/>
      <c r="I18" s="2122" t="s">
        <v>671</v>
      </c>
      <c r="J18" s="2073"/>
      <c r="K18" s="2073"/>
      <c r="L18" s="2073"/>
      <c r="M18" s="2073"/>
      <c r="N18" s="2073"/>
      <c r="O18" s="2073"/>
      <c r="P18" s="2073"/>
      <c r="Q18" s="2073"/>
      <c r="R18" s="2073"/>
      <c r="S18" s="2074"/>
      <c r="T18" s="82" t="s">
        <v>706</v>
      </c>
      <c r="U18" s="48"/>
      <c r="V18" s="69"/>
      <c r="W18" s="47"/>
      <c r="X18" s="82" t="s">
        <v>264</v>
      </c>
      <c r="Y18" s="78"/>
      <c r="Z18" s="154" t="s">
        <v>672</v>
      </c>
      <c r="AA18" s="44"/>
    </row>
    <row r="19" spans="1:27" ht="13.5" customHeight="1" x14ac:dyDescent="0.2">
      <c r="A19" s="2127" t="s">
        <v>2088</v>
      </c>
      <c r="B19" s="2083"/>
      <c r="C19" s="2083"/>
      <c r="D19" s="2083"/>
      <c r="E19" s="2083"/>
      <c r="F19" s="2083"/>
      <c r="G19" s="2083"/>
      <c r="H19" s="2063"/>
      <c r="I19" s="30"/>
      <c r="J19" s="96"/>
      <c r="K19" s="40"/>
      <c r="L19" s="38"/>
      <c r="M19" s="109" t="s">
        <v>312</v>
      </c>
      <c r="P19" s="27"/>
      <c r="Q19" s="27"/>
      <c r="R19" s="27"/>
      <c r="S19" s="31"/>
      <c r="T19" s="2127" t="s">
        <v>2054</v>
      </c>
      <c r="U19" s="2062"/>
      <c r="V19" s="2062"/>
      <c r="W19" s="2063"/>
      <c r="X19" s="2139" t="s">
        <v>2055</v>
      </c>
      <c r="Y19" s="2140"/>
      <c r="Z19" s="2137">
        <v>61614</v>
      </c>
      <c r="AA19" s="213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1" t="s">
        <v>2089</v>
      </c>
      <c r="B21" s="2062"/>
      <c r="C21" s="2062"/>
      <c r="D21" s="2062"/>
      <c r="E21" s="2062"/>
      <c r="F21" s="2062"/>
      <c r="G21" s="2062"/>
      <c r="H21" s="2063"/>
      <c r="I21" s="2117" t="s">
        <v>673</v>
      </c>
      <c r="J21" s="2112"/>
      <c r="K21" s="2112"/>
      <c r="L21" s="2112"/>
      <c r="M21" s="2112"/>
      <c r="N21" s="2112"/>
      <c r="O21" s="2112"/>
      <c r="P21" s="2112"/>
      <c r="Q21" s="2112"/>
      <c r="R21" s="2112"/>
      <c r="S21" s="2118"/>
      <c r="T21" s="2152" t="s">
        <v>2056</v>
      </c>
      <c r="U21" s="2153"/>
      <c r="V21" s="2153"/>
      <c r="W21" s="2153"/>
      <c r="X21" s="2158" t="s">
        <v>2057</v>
      </c>
      <c r="Y21" s="2159"/>
      <c r="Z21" s="2159"/>
      <c r="AA21" s="2160"/>
    </row>
    <row r="22" spans="1:27" ht="13.5" customHeight="1" x14ac:dyDescent="0.2">
      <c r="A22" s="84" t="s">
        <v>528</v>
      </c>
      <c r="B22" s="56"/>
      <c r="C22" s="56"/>
      <c r="D22" s="56"/>
      <c r="E22" s="56"/>
      <c r="F22" s="56"/>
      <c r="G22" s="56"/>
      <c r="H22" s="57"/>
      <c r="I22" s="2119" t="s">
        <v>1412</v>
      </c>
      <c r="J22" s="2120"/>
      <c r="K22" s="2120"/>
      <c r="L22" s="2120"/>
      <c r="M22" s="2120"/>
      <c r="N22" s="2120"/>
      <c r="O22" s="2120"/>
      <c r="P22" s="2120"/>
      <c r="Q22" s="2120"/>
      <c r="R22" s="2120"/>
      <c r="S22" s="2121"/>
      <c r="T22" s="82" t="s">
        <v>1499</v>
      </c>
      <c r="U22" s="48"/>
      <c r="V22" s="69"/>
      <c r="W22" s="48"/>
      <c r="X22" s="155" t="s">
        <v>1307</v>
      </c>
      <c r="Z22" s="43"/>
      <c r="AA22" s="44"/>
    </row>
    <row r="23" spans="1:27" ht="13.5" customHeight="1" x14ac:dyDescent="0.2">
      <c r="A23" s="2114" t="s">
        <v>2090</v>
      </c>
      <c r="B23" s="2115"/>
      <c r="C23" s="2115"/>
      <c r="D23" s="2115"/>
      <c r="E23" s="2115"/>
      <c r="F23" s="2115"/>
      <c r="G23" s="2115"/>
      <c r="H23" s="2116"/>
      <c r="T23" s="2097" t="s">
        <v>2058</v>
      </c>
      <c r="U23" s="2151"/>
      <c r="V23" s="2151"/>
      <c r="W23" s="2151"/>
      <c r="X23" s="2155">
        <v>44501</v>
      </c>
      <c r="Y23" s="2156"/>
      <c r="Z23" s="2156"/>
      <c r="AA23" s="2157"/>
    </row>
    <row r="24" spans="1:27" ht="14.1" customHeight="1" x14ac:dyDescent="0.2">
      <c r="A24" s="85" t="s">
        <v>672</v>
      </c>
      <c r="B24" s="46"/>
      <c r="C24" s="46"/>
      <c r="D24" s="46"/>
      <c r="E24" s="46"/>
      <c r="F24" s="46"/>
      <c r="G24" s="46"/>
      <c r="H24" s="58"/>
      <c r="J24" s="2084">
        <f>IF(B5="x",IF(AUDITCHECK!D29="AFR form Incomplete.","",IF(AUDITCHECK!D29="Deficit reduction plan is required.","School District must complete a deficit reduction plan in the 2020-2021 Budget",)),"")</f>
        <v>0</v>
      </c>
      <c r="K24" s="2084"/>
      <c r="L24" s="2084"/>
      <c r="M24" s="2084"/>
      <c r="N24" s="2084"/>
      <c r="O24" s="2084"/>
      <c r="P24" s="2084"/>
      <c r="Q24" s="2084"/>
      <c r="R24" s="2084"/>
      <c r="S24" s="2085"/>
      <c r="T24" s="102" t="s">
        <v>528</v>
      </c>
      <c r="U24" s="103"/>
      <c r="V24" s="103"/>
      <c r="W24" s="103"/>
      <c r="X24" s="104"/>
      <c r="Y24" s="104"/>
      <c r="Z24" s="104"/>
      <c r="AA24" s="105"/>
    </row>
    <row r="25" spans="1:27" ht="14.1" customHeight="1" x14ac:dyDescent="0.2">
      <c r="A25" s="2061">
        <v>61546</v>
      </c>
      <c r="B25" s="2062"/>
      <c r="C25" s="2062"/>
      <c r="D25" s="2062"/>
      <c r="E25" s="2062"/>
      <c r="F25" s="2062"/>
      <c r="G25" s="2062"/>
      <c r="H25" s="2063"/>
      <c r="I25" s="110"/>
      <c r="J25" s="2086"/>
      <c r="K25" s="2086"/>
      <c r="L25" s="2086"/>
      <c r="M25" s="2086"/>
      <c r="N25" s="2086"/>
      <c r="O25" s="2086"/>
      <c r="P25" s="2086"/>
      <c r="Q25" s="2086"/>
      <c r="R25" s="2086"/>
      <c r="S25" s="2087"/>
      <c r="T25" s="2148" t="s">
        <v>2105</v>
      </c>
      <c r="U25" s="2149"/>
      <c r="V25" s="2149"/>
      <c r="W25" s="2149"/>
      <c r="X25" s="2149"/>
      <c r="Y25" s="2149"/>
      <c r="Z25" s="2149"/>
      <c r="AA25" s="21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2" t="s">
        <v>1494</v>
      </c>
      <c r="J27" s="2073"/>
      <c r="K27" s="2073"/>
      <c r="L27" s="2073"/>
      <c r="M27" s="2073"/>
      <c r="N27" s="2073"/>
      <c r="O27" s="2073"/>
      <c r="P27" s="2073"/>
      <c r="Q27" s="2073"/>
      <c r="R27" s="2073"/>
      <c r="S27" s="207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3"/>
      <c r="Q35" s="2062"/>
      <c r="R35" s="206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7" t="s">
        <v>2091</v>
      </c>
      <c r="B38" s="2098"/>
      <c r="C38" s="2098"/>
      <c r="D38" s="2098"/>
      <c r="E38" s="2098"/>
      <c r="F38" s="2062"/>
      <c r="G38" s="2062"/>
      <c r="H38" s="2063"/>
      <c r="I38" s="2090"/>
      <c r="J38" s="2091"/>
      <c r="K38" s="2091"/>
      <c r="L38" s="2091"/>
      <c r="M38" s="2091"/>
      <c r="N38" s="2091"/>
      <c r="O38" s="2091"/>
      <c r="P38" s="2092"/>
      <c r="Q38" s="2092"/>
      <c r="R38" s="2092"/>
      <c r="S38" s="2093"/>
      <c r="T38" s="2134"/>
      <c r="U38" s="2091"/>
      <c r="V38" s="2091"/>
      <c r="W38" s="2091"/>
      <c r="X38" s="2092"/>
      <c r="Y38" s="2092"/>
      <c r="Z38" s="2092"/>
      <c r="AA38" s="2093"/>
    </row>
    <row r="39" spans="1:27" ht="12" customHeight="1" x14ac:dyDescent="0.2">
      <c r="A39" s="2067" t="s">
        <v>528</v>
      </c>
      <c r="B39" s="2068"/>
      <c r="C39" s="69"/>
      <c r="D39" s="66"/>
      <c r="E39" s="66"/>
      <c r="F39" s="76"/>
      <c r="G39" s="66"/>
      <c r="H39" s="53"/>
      <c r="I39" s="2067" t="s">
        <v>528</v>
      </c>
      <c r="J39" s="2068"/>
      <c r="K39" s="2068"/>
      <c r="L39" s="2068"/>
      <c r="M39" s="2068"/>
      <c r="N39" s="64"/>
      <c r="O39" s="69"/>
      <c r="P39" s="69"/>
      <c r="Q39" s="75"/>
      <c r="R39" s="69"/>
      <c r="S39" s="53"/>
      <c r="T39" s="69" t="s">
        <v>528</v>
      </c>
      <c r="U39" s="48"/>
      <c r="V39" s="69"/>
      <c r="W39" s="47"/>
      <c r="X39" s="75"/>
      <c r="Y39" s="43"/>
      <c r="Z39" s="43"/>
      <c r="AA39" s="44"/>
    </row>
    <row r="40" spans="1:27" ht="13.5" customHeight="1" x14ac:dyDescent="0.2">
      <c r="A40" s="2075" t="s">
        <v>2090</v>
      </c>
      <c r="B40" s="2076"/>
      <c r="C40" s="2077"/>
      <c r="D40" s="2077"/>
      <c r="E40" s="2077"/>
      <c r="F40" s="2078"/>
      <c r="G40" s="2078"/>
      <c r="H40" s="2079"/>
      <c r="I40" s="2100"/>
      <c r="J40" s="2101"/>
      <c r="K40" s="2101"/>
      <c r="L40" s="2101"/>
      <c r="M40" s="2101"/>
      <c r="N40" s="2101"/>
      <c r="O40" s="2101"/>
      <c r="P40" s="2101"/>
      <c r="Q40" s="2101"/>
      <c r="R40" s="2101"/>
      <c r="S40" s="2102"/>
      <c r="T40" s="2100"/>
      <c r="U40" s="2154"/>
      <c r="V40" s="2101"/>
      <c r="W40" s="2101"/>
      <c r="X40" s="2101"/>
      <c r="Y40" s="2101"/>
      <c r="Z40" s="2101"/>
      <c r="AA40" s="210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9">
        <v>3095452241</v>
      </c>
      <c r="B42" s="2081"/>
      <c r="C42" s="2082"/>
      <c r="D42" s="2080">
        <v>3095452695</v>
      </c>
      <c r="E42" s="2081"/>
      <c r="F42" s="2081"/>
      <c r="G42" s="2081"/>
      <c r="H42" s="2082"/>
      <c r="I42" s="2064"/>
      <c r="J42" s="2065"/>
      <c r="K42" s="2065"/>
      <c r="L42" s="2065"/>
      <c r="M42" s="2065"/>
      <c r="N42" s="2065"/>
      <c r="O42" s="2066"/>
      <c r="P42" s="2099"/>
      <c r="Q42" s="2065"/>
      <c r="R42" s="2065"/>
      <c r="S42" s="2066"/>
      <c r="T42" s="2064"/>
      <c r="U42" s="2065"/>
      <c r="V42" s="2065"/>
      <c r="W42" s="2066"/>
      <c r="X42" s="2099"/>
      <c r="Y42" s="2065"/>
      <c r="Z42" s="2065"/>
      <c r="AA42" s="206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4"/>
      <c r="B44" s="2095"/>
      <c r="C44" s="2095"/>
      <c r="D44" s="2095"/>
      <c r="E44" s="2095"/>
      <c r="F44" s="2095"/>
      <c r="G44" s="2095"/>
      <c r="H44" s="2096"/>
      <c r="I44" s="2069"/>
      <c r="J44" s="2070"/>
      <c r="K44" s="2070"/>
      <c r="L44" s="2070"/>
      <c r="M44" s="2070"/>
      <c r="N44" s="2070"/>
      <c r="O44" s="2070"/>
      <c r="P44" s="2070"/>
      <c r="Q44" s="2070"/>
      <c r="R44" s="2070"/>
      <c r="S44" s="2071"/>
      <c r="T44" s="2069"/>
      <c r="U44" s="2088"/>
      <c r="V44" s="2088"/>
      <c r="W44" s="2088"/>
      <c r="X44" s="2088"/>
      <c r="Y44" s="2088"/>
      <c r="Z44" s="2070"/>
      <c r="AA44" s="207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7" t="s">
        <v>1056</v>
      </c>
      <c r="B35" s="2177"/>
      <c r="C35" s="2177"/>
      <c r="D35" s="2177"/>
      <c r="E35" s="217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4" t="s">
        <v>686</v>
      </c>
      <c r="B40" s="2174"/>
      <c r="C40" s="2174"/>
      <c r="D40" s="2174"/>
      <c r="E40" s="2174"/>
    </row>
    <row r="41" spans="1:5" x14ac:dyDescent="0.2">
      <c r="A41" s="2175" t="s">
        <v>1591</v>
      </c>
      <c r="B41" s="2175"/>
      <c r="C41" s="2175"/>
      <c r="D41" s="2175"/>
      <c r="E41" s="2175"/>
    </row>
    <row r="42" spans="1:5" ht="12.75" customHeight="1" x14ac:dyDescent="0.2">
      <c r="A42" s="2176" t="s">
        <v>1015</v>
      </c>
      <c r="B42" s="2176"/>
      <c r="C42" s="2176"/>
      <c r="D42" s="2176"/>
      <c r="E42" s="217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8" t="s">
        <v>1158</v>
      </c>
      <c r="B2" s="2178"/>
      <c r="C2" s="2178"/>
      <c r="D2" s="2178"/>
      <c r="E2" s="2178"/>
      <c r="F2" s="2178"/>
      <c r="G2" s="2178"/>
      <c r="H2" s="2178"/>
      <c r="I2" s="2178"/>
      <c r="J2" s="217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2" t="s">
        <v>1616</v>
      </c>
      <c r="B35" s="2193"/>
      <c r="C35" s="2193"/>
      <c r="D35" s="2193"/>
      <c r="E35" s="2194"/>
      <c r="F35" s="2194"/>
      <c r="G35" s="2194"/>
      <c r="H35" s="2194"/>
      <c r="I35" s="219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2" t="s">
        <v>310</v>
      </c>
      <c r="B47" s="2195"/>
      <c r="C47" s="2195"/>
      <c r="D47" s="2195"/>
      <c r="E47" s="2196"/>
      <c r="F47" s="2196"/>
      <c r="G47" s="2196"/>
      <c r="H47" s="2196"/>
      <c r="I47" s="219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36161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9"/>
      <c r="C57" s="2200"/>
      <c r="D57" s="2200"/>
      <c r="E57" s="2200"/>
      <c r="F57" s="2200"/>
      <c r="G57" s="2200"/>
      <c r="H57" s="2200"/>
      <c r="I57" s="2200"/>
      <c r="J57" s="2201"/>
    </row>
    <row r="58" spans="1:10" s="176" customFormat="1" x14ac:dyDescent="0.2">
      <c r="A58" s="248"/>
      <c r="B58" s="2202"/>
      <c r="C58" s="2203"/>
      <c r="D58" s="2203"/>
      <c r="E58" s="2203"/>
      <c r="F58" s="2203"/>
      <c r="G58" s="2203"/>
      <c r="H58" s="2203"/>
      <c r="I58" s="2203"/>
      <c r="J58" s="2204"/>
    </row>
    <row r="59" spans="1:10" s="176" customFormat="1" x14ac:dyDescent="0.2">
      <c r="A59" s="248"/>
      <c r="B59" s="2202"/>
      <c r="C59" s="2203"/>
      <c r="D59" s="2203"/>
      <c r="E59" s="2203"/>
      <c r="F59" s="2203"/>
      <c r="G59" s="2203"/>
      <c r="H59" s="2203"/>
      <c r="I59" s="2203"/>
      <c r="J59" s="2204"/>
    </row>
    <row r="60" spans="1:10" s="176" customFormat="1" x14ac:dyDescent="0.2">
      <c r="A60" s="248"/>
      <c r="B60" s="2202"/>
      <c r="C60" s="2203"/>
      <c r="D60" s="2203"/>
      <c r="E60" s="2203"/>
      <c r="F60" s="2203"/>
      <c r="G60" s="2203"/>
      <c r="H60" s="2203"/>
      <c r="I60" s="2203"/>
      <c r="J60" s="2204"/>
    </row>
    <row r="61" spans="1:10" s="176" customFormat="1" x14ac:dyDescent="0.2">
      <c r="A61" s="248"/>
      <c r="B61" s="2202"/>
      <c r="C61" s="2203"/>
      <c r="D61" s="2203"/>
      <c r="E61" s="2203"/>
      <c r="F61" s="2203"/>
      <c r="G61" s="2203"/>
      <c r="H61" s="2203"/>
      <c r="I61" s="2203"/>
      <c r="J61" s="2204"/>
    </row>
    <row r="62" spans="1:10" s="176" customFormat="1" x14ac:dyDescent="0.2">
      <c r="A62" s="248"/>
      <c r="B62" s="2202"/>
      <c r="C62" s="2203"/>
      <c r="D62" s="2203"/>
      <c r="E62" s="2203"/>
      <c r="F62" s="2203"/>
      <c r="G62" s="2203"/>
      <c r="H62" s="2203"/>
      <c r="I62" s="2203"/>
      <c r="J62" s="2204"/>
    </row>
    <row r="63" spans="1:10" s="176" customFormat="1" x14ac:dyDescent="0.2">
      <c r="A63" s="248"/>
      <c r="B63" s="2202"/>
      <c r="C63" s="2203"/>
      <c r="D63" s="2203"/>
      <c r="E63" s="2203"/>
      <c r="F63" s="2203"/>
      <c r="G63" s="2203"/>
      <c r="H63" s="2203"/>
      <c r="I63" s="2203"/>
      <c r="J63" s="2204"/>
    </row>
    <row r="64" spans="1:10" s="176" customFormat="1" x14ac:dyDescent="0.2">
      <c r="A64" s="248"/>
      <c r="B64" s="2202"/>
      <c r="C64" s="2203"/>
      <c r="D64" s="2203"/>
      <c r="E64" s="2203"/>
      <c r="F64" s="2203"/>
      <c r="G64" s="2203"/>
      <c r="H64" s="2203"/>
      <c r="I64" s="2203"/>
      <c r="J64" s="2204"/>
    </row>
    <row r="65" spans="1:11" s="176" customFormat="1" x14ac:dyDescent="0.2">
      <c r="A65" s="248"/>
      <c r="B65" s="2202"/>
      <c r="C65" s="2203"/>
      <c r="D65" s="2203"/>
      <c r="E65" s="2203"/>
      <c r="F65" s="2203"/>
      <c r="G65" s="2203"/>
      <c r="H65" s="2203"/>
      <c r="I65" s="2203"/>
      <c r="J65" s="2204"/>
    </row>
    <row r="66" spans="1:11" s="176" customFormat="1" x14ac:dyDescent="0.2">
      <c r="A66" s="248"/>
      <c r="B66" s="2202"/>
      <c r="C66" s="2203"/>
      <c r="D66" s="2203"/>
      <c r="E66" s="2203"/>
      <c r="F66" s="2203"/>
      <c r="G66" s="2203"/>
      <c r="H66" s="2203"/>
      <c r="I66" s="2203"/>
      <c r="J66" s="2204"/>
    </row>
    <row r="67" spans="1:11" s="176" customFormat="1" ht="9" customHeight="1" x14ac:dyDescent="0.2">
      <c r="A67" s="249"/>
      <c r="B67" s="2205"/>
      <c r="C67" s="2206"/>
      <c r="D67" s="2206"/>
      <c r="E67" s="2206"/>
      <c r="F67" s="2206"/>
      <c r="G67" s="2206"/>
      <c r="H67" s="2206"/>
      <c r="I67" s="2206"/>
      <c r="J67" s="220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2" t="s">
        <v>1312</v>
      </c>
      <c r="B70" s="2195"/>
      <c r="C70" s="2195"/>
      <c r="D70" s="2195"/>
      <c r="E70" s="2196"/>
      <c r="F70" s="2196"/>
      <c r="G70" s="2196"/>
      <c r="H70" s="2196"/>
      <c r="I70" s="219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7" t="s">
        <v>1309</v>
      </c>
      <c r="B83" s="2197"/>
      <c r="C83" s="2197"/>
      <c r="D83" s="219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8" t="s">
        <v>1989</v>
      </c>
      <c r="B85" s="2208"/>
      <c r="C85" s="2208"/>
      <c r="D85" s="2209"/>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10" t="s">
        <v>1989</v>
      </c>
      <c r="B88" s="2211"/>
      <c r="C88" s="2211"/>
      <c r="D88" s="2212"/>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9" t="s">
        <v>2093</v>
      </c>
      <c r="C102" s="2180"/>
      <c r="D102" s="2180"/>
      <c r="E102" s="2180"/>
      <c r="F102" s="2180"/>
      <c r="G102" s="2180"/>
      <c r="H102" s="2180"/>
      <c r="I102" s="2181"/>
    </row>
    <row r="103" spans="1:9" s="176" customFormat="1" ht="11.25" customHeight="1" x14ac:dyDescent="0.2">
      <c r="A103" s="294"/>
      <c r="B103" s="2182"/>
      <c r="C103" s="2183"/>
      <c r="D103" s="2183"/>
      <c r="E103" s="2183"/>
      <c r="F103" s="2183"/>
      <c r="G103" s="2183"/>
      <c r="H103" s="2183"/>
      <c r="I103" s="2184"/>
    </row>
    <row r="104" spans="1:9" s="176" customFormat="1" ht="11.25" customHeight="1" x14ac:dyDescent="0.2">
      <c r="A104" s="294"/>
      <c r="B104" s="2182"/>
      <c r="C104" s="2183"/>
      <c r="D104" s="2183"/>
      <c r="E104" s="2183"/>
      <c r="F104" s="2183"/>
      <c r="G104" s="2183"/>
      <c r="H104" s="2183"/>
      <c r="I104" s="2184"/>
    </row>
    <row r="105" spans="1:9" s="176" customFormat="1" x14ac:dyDescent="0.2">
      <c r="A105" s="294"/>
      <c r="B105" s="2182"/>
      <c r="C105" s="2183"/>
      <c r="D105" s="2183"/>
      <c r="E105" s="2183"/>
      <c r="F105" s="2183"/>
      <c r="G105" s="2183"/>
      <c r="H105" s="2183"/>
      <c r="I105" s="2184"/>
    </row>
    <row r="106" spans="1:9" s="176" customFormat="1" ht="11.25" customHeight="1" x14ac:dyDescent="0.2">
      <c r="A106" s="294"/>
      <c r="B106" s="2182"/>
      <c r="C106" s="2183"/>
      <c r="D106" s="2183"/>
      <c r="E106" s="2183"/>
      <c r="F106" s="2183"/>
      <c r="G106" s="2183"/>
      <c r="H106" s="2183"/>
      <c r="I106" s="2184"/>
    </row>
    <row r="107" spans="1:9" s="176" customFormat="1" ht="11.25" customHeight="1" x14ac:dyDescent="0.2">
      <c r="A107" s="294"/>
      <c r="B107" s="2182"/>
      <c r="C107" s="2183"/>
      <c r="D107" s="2183"/>
      <c r="E107" s="2183"/>
      <c r="F107" s="2183"/>
      <c r="G107" s="2183"/>
      <c r="H107" s="2183"/>
      <c r="I107" s="2184"/>
    </row>
    <row r="108" spans="1:9" s="176" customFormat="1" ht="11.25" customHeight="1" x14ac:dyDescent="0.2">
      <c r="A108" s="294"/>
      <c r="B108" s="2182"/>
      <c r="C108" s="2183"/>
      <c r="D108" s="2183"/>
      <c r="E108" s="2183"/>
      <c r="F108" s="2183"/>
      <c r="G108" s="2183"/>
      <c r="H108" s="2183"/>
      <c r="I108" s="2184"/>
    </row>
    <row r="109" spans="1:9" s="176" customFormat="1" ht="11.25" customHeight="1" x14ac:dyDescent="0.2">
      <c r="A109" s="294"/>
      <c r="B109" s="2182"/>
      <c r="C109" s="2183"/>
      <c r="D109" s="2183"/>
      <c r="E109" s="2183"/>
      <c r="F109" s="2183"/>
      <c r="G109" s="2183"/>
      <c r="H109" s="2183"/>
      <c r="I109" s="2184"/>
    </row>
    <row r="110" spans="1:9" s="176" customFormat="1" ht="11.25" customHeight="1" x14ac:dyDescent="0.2">
      <c r="A110" s="294"/>
      <c r="B110" s="2182"/>
      <c r="C110" s="2183"/>
      <c r="D110" s="2183"/>
      <c r="E110" s="2183"/>
      <c r="F110" s="2183"/>
      <c r="G110" s="2183"/>
      <c r="H110" s="2183"/>
      <c r="I110" s="2184"/>
    </row>
    <row r="111" spans="1:9" s="176" customFormat="1" ht="11.25" customHeight="1" x14ac:dyDescent="0.2">
      <c r="A111" s="294"/>
      <c r="B111" s="2182"/>
      <c r="C111" s="2183"/>
      <c r="D111" s="2183"/>
      <c r="E111" s="2183"/>
      <c r="F111" s="2183"/>
      <c r="G111" s="2183"/>
      <c r="H111" s="2183"/>
      <c r="I111" s="2184"/>
    </row>
    <row r="112" spans="1:9" s="176" customFormat="1" ht="11.25" customHeight="1" x14ac:dyDescent="0.2">
      <c r="A112" s="294"/>
      <c r="B112" s="2185"/>
      <c r="C112" s="2186"/>
      <c r="D112" s="2186"/>
      <c r="E112" s="2186"/>
      <c r="F112" s="2186"/>
      <c r="G112" s="2186"/>
      <c r="H112" s="2186"/>
      <c r="I112" s="218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8" t="s">
        <v>2052</v>
      </c>
      <c r="D114" s="218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9" t="s">
        <v>1319</v>
      </c>
      <c r="D117" s="2190"/>
      <c r="E117" s="2191"/>
      <c r="F117" s="2191"/>
      <c r="G117" s="2191"/>
      <c r="H117" s="2191"/>
      <c r="I117" s="282"/>
    </row>
    <row r="118" spans="1:9" s="176" customFormat="1" ht="24" customHeight="1" x14ac:dyDescent="0.2">
      <c r="A118" s="294"/>
      <c r="B118" s="294"/>
      <c r="C118" s="294"/>
      <c r="D118" s="301" t="s">
        <v>2108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zoomScaleSheetLayoutView="8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3" t="s">
        <v>383</v>
      </c>
      <c r="B1" s="2213"/>
      <c r="C1" s="2213"/>
      <c r="D1" s="2213"/>
      <c r="E1" s="2213"/>
      <c r="F1" s="2213"/>
      <c r="G1" s="2213"/>
      <c r="H1" s="2213"/>
      <c r="I1" s="2213"/>
      <c r="J1" s="2213"/>
      <c r="K1" s="2213"/>
      <c r="L1" s="2213"/>
      <c r="M1" s="221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12987943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3.06746E-2</v>
      </c>
      <c r="E10" s="333" t="s">
        <v>998</v>
      </c>
      <c r="F10" s="332">
        <v>2.7908999999999998E-3</v>
      </c>
      <c r="G10" s="333" t="s">
        <v>998</v>
      </c>
      <c r="H10" s="332">
        <v>1.7144E-3</v>
      </c>
      <c r="I10" s="333" t="s">
        <v>999</v>
      </c>
      <c r="J10" s="1424">
        <f>ROUND(D10+F10+H10,5)</f>
        <v>3.5180000000000003E-2</v>
      </c>
      <c r="K10" s="217"/>
      <c r="L10" s="332">
        <v>3.9899999999999999E-4</v>
      </c>
      <c r="M10" s="217"/>
    </row>
    <row r="11" spans="1:14" ht="7.5" customHeight="1" x14ac:dyDescent="0.2">
      <c r="B11" s="217"/>
      <c r="C11" s="217"/>
      <c r="D11" s="2223" t="str">
        <f>IF(SUM(J10)&lt;=0.0999999,"","Enter the Tax Rates by moving the decimal two places to the left.")</f>
        <v/>
      </c>
      <c r="E11" s="2224"/>
      <c r="F11" s="2224"/>
      <c r="G11" s="2224"/>
      <c r="H11" s="2224"/>
      <c r="I11" s="2224"/>
      <c r="J11" s="222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841287</v>
      </c>
      <c r="E16" s="1547"/>
      <c r="F16" s="1546">
        <f>SUM('Acct Summary 7-8'!C17,'Acct Summary 7-8'!D17,'Acct Summary 7-8'!F17)</f>
        <v>751635</v>
      </c>
      <c r="G16" s="1547"/>
      <c r="H16" s="1546">
        <f>SUM(D16-F16)</f>
        <v>89652</v>
      </c>
      <c r="I16" s="1548"/>
      <c r="J16" s="1546">
        <f>SUM('Acct Summary 7-8'!C81,'Acct Summary 7-8'!D81,'Acct Summary 7-8'!F81,'Acct Summary 7-8'!I81)</f>
        <v>336715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582</v>
      </c>
      <c r="D31" s="232" t="s">
        <v>1063</v>
      </c>
      <c r="E31" s="217"/>
      <c r="F31" s="217"/>
      <c r="G31" s="340"/>
      <c r="H31" s="1425">
        <f>IF(B31="X",(J7*0.069),IF(B32="X",(J7*0.138),"Enter x in a.or b."))</f>
        <v>896168.06700000004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4"/>
      <c r="C54" s="2215"/>
      <c r="D54" s="2215"/>
      <c r="E54" s="2215"/>
      <c r="F54" s="2215"/>
      <c r="G54" s="2215"/>
      <c r="H54" s="2215"/>
      <c r="I54" s="2215"/>
      <c r="J54" s="2215"/>
      <c r="K54" s="2215"/>
      <c r="L54" s="2216"/>
      <c r="M54" s="357"/>
    </row>
    <row r="55" spans="1:13" ht="12.75" customHeight="1" x14ac:dyDescent="0.2">
      <c r="B55" s="2217"/>
      <c r="C55" s="2218"/>
      <c r="D55" s="2218"/>
      <c r="E55" s="2218"/>
      <c r="F55" s="2218"/>
      <c r="G55" s="2218"/>
      <c r="H55" s="2218"/>
      <c r="I55" s="2218"/>
      <c r="J55" s="2218"/>
      <c r="K55" s="2218"/>
      <c r="L55" s="2219"/>
      <c r="M55" s="357"/>
    </row>
    <row r="56" spans="1:13" ht="12.75" customHeight="1" x14ac:dyDescent="0.2">
      <c r="B56" s="2217"/>
      <c r="C56" s="2218"/>
      <c r="D56" s="2218"/>
      <c r="E56" s="2218"/>
      <c r="F56" s="2218"/>
      <c r="G56" s="2218"/>
      <c r="H56" s="2218"/>
      <c r="I56" s="2218"/>
      <c r="J56" s="2218"/>
      <c r="K56" s="2218"/>
      <c r="L56" s="2219"/>
      <c r="M56" s="217"/>
    </row>
    <row r="57" spans="1:13" ht="12.75" customHeight="1" x14ac:dyDescent="0.2">
      <c r="B57" s="2217"/>
      <c r="C57" s="2218"/>
      <c r="D57" s="2218"/>
      <c r="E57" s="2218"/>
      <c r="F57" s="2218"/>
      <c r="G57" s="2218"/>
      <c r="H57" s="2218"/>
      <c r="I57" s="2218"/>
      <c r="J57" s="2218"/>
      <c r="K57" s="2218"/>
      <c r="L57" s="2219"/>
      <c r="M57" s="217"/>
    </row>
    <row r="58" spans="1:13" x14ac:dyDescent="0.2">
      <c r="B58" s="2220"/>
      <c r="C58" s="2221"/>
      <c r="D58" s="2221"/>
      <c r="E58" s="2221"/>
      <c r="F58" s="2221"/>
      <c r="G58" s="2221"/>
      <c r="H58" s="2221"/>
      <c r="I58" s="2221"/>
      <c r="J58" s="2221"/>
      <c r="K58" s="2221"/>
      <c r="L58" s="222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5"/>
      <c r="D61" s="222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1" sqref="D4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8"/>
      <c r="B1" s="2229"/>
      <c r="C1" s="2229"/>
      <c r="D1" s="361"/>
      <c r="E1" s="361"/>
      <c r="F1" s="361"/>
      <c r="G1" s="361"/>
      <c r="H1" s="361"/>
      <c r="I1" s="361"/>
      <c r="J1" s="361"/>
      <c r="K1" s="361"/>
      <c r="L1" s="361"/>
      <c r="M1" s="361"/>
      <c r="N1" s="361"/>
      <c r="O1" s="2228"/>
      <c r="P1" s="2229"/>
      <c r="Q1" s="2229"/>
    </row>
    <row r="2" spans="1:18" ht="15" x14ac:dyDescent="0.2">
      <c r="A2" s="2232" t="s">
        <v>552</v>
      </c>
      <c r="B2" s="2232"/>
      <c r="C2" s="2232"/>
      <c r="D2" s="2232"/>
      <c r="E2" s="2232"/>
      <c r="F2" s="2232"/>
      <c r="G2" s="2232"/>
      <c r="H2" s="2232"/>
      <c r="I2" s="2232"/>
      <c r="J2" s="2232"/>
      <c r="K2" s="2232"/>
      <c r="L2" s="2232"/>
      <c r="M2" s="2232"/>
      <c r="N2" s="2232"/>
      <c r="O2" s="2232"/>
      <c r="P2" s="2232"/>
      <c r="Q2" s="2232"/>
      <c r="R2" s="2232"/>
    </row>
    <row r="3" spans="1:18" ht="12.75" x14ac:dyDescent="0.2">
      <c r="A3" s="2233" t="s">
        <v>1396</v>
      </c>
      <c r="B3" s="2233"/>
      <c r="C3" s="2233"/>
      <c r="D3" s="2233"/>
      <c r="E3" s="2233"/>
      <c r="F3" s="2233"/>
      <c r="G3" s="2233"/>
      <c r="H3" s="2233"/>
      <c r="I3" s="2233"/>
      <c r="J3" s="2233"/>
      <c r="K3" s="2233"/>
      <c r="L3" s="2233"/>
      <c r="M3" s="2233"/>
      <c r="N3" s="2233"/>
      <c r="O3" s="2233"/>
      <c r="P3" s="2233"/>
      <c r="Q3" s="2233"/>
      <c r="R3" s="2233"/>
    </row>
    <row r="4" spans="1:18" x14ac:dyDescent="0.2">
      <c r="A4" s="2234" t="s">
        <v>1537</v>
      </c>
      <c r="B4" s="2234"/>
      <c r="C4" s="2234"/>
      <c r="D4" s="2234"/>
      <c r="E4" s="2234"/>
      <c r="F4" s="2234"/>
      <c r="G4" s="2234"/>
      <c r="H4" s="2234"/>
      <c r="I4" s="2234"/>
      <c r="J4" s="2234"/>
      <c r="K4" s="2234"/>
      <c r="L4" s="2234"/>
      <c r="M4" s="2234"/>
      <c r="N4" s="2234"/>
      <c r="O4" s="2234"/>
      <c r="P4" s="2234"/>
      <c r="Q4" s="2234"/>
      <c r="R4" s="223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Spring Lake CCSD 606</v>
      </c>
      <c r="E7" s="368"/>
      <c r="G7" s="247"/>
      <c r="H7" s="364"/>
      <c r="I7" s="364"/>
      <c r="J7" s="364"/>
      <c r="K7" s="364"/>
      <c r="L7" s="307"/>
      <c r="M7" s="307"/>
      <c r="N7" s="307"/>
      <c r="O7" s="307"/>
      <c r="P7" s="307"/>
    </row>
    <row r="8" spans="1:18" ht="12.75" x14ac:dyDescent="0.2">
      <c r="A8" s="307"/>
      <c r="B8" s="307"/>
      <c r="C8" s="366" t="s">
        <v>1115</v>
      </c>
      <c r="D8" s="369">
        <f>COVER!A13</f>
        <v>53090606004</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336715</v>
      </c>
      <c r="I12" s="380"/>
      <c r="J12" s="380"/>
      <c r="K12" s="1559">
        <f>TRUNC((H12/H13*100000),5)/100000</f>
        <v>0.4002379687</v>
      </c>
      <c r="L12" s="381"/>
      <c r="M12" s="337" t="s">
        <v>1134</v>
      </c>
      <c r="N12" s="337"/>
      <c r="O12" s="1562">
        <v>0.35</v>
      </c>
      <c r="P12" s="213"/>
      <c r="Q12" s="213"/>
    </row>
    <row r="13" spans="1:18" s="382" customFormat="1" ht="12.75" x14ac:dyDescent="0.2">
      <c r="A13" s="213"/>
      <c r="B13" s="377"/>
      <c r="C13" s="2230" t="s">
        <v>1313</v>
      </c>
      <c r="D13" s="2231"/>
      <c r="E13" s="213"/>
      <c r="F13" s="383" t="s">
        <v>788</v>
      </c>
      <c r="G13" s="378"/>
      <c r="H13" s="1551">
        <f>SUM('Acct Summary 7-8'!C8+'Acct Summary 7-8'!D8+'Acct Summary 7-8'!F8+'Acct Summary 7-8'!I8)+H14</f>
        <v>841287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751635</v>
      </c>
      <c r="I17" s="380"/>
      <c r="J17" s="389"/>
      <c r="K17" s="1559">
        <f>TRUNC((H17/H18*100000),5)/100000</f>
        <v>0.89343470180000006</v>
      </c>
      <c r="L17" s="381"/>
      <c r="M17" s="390" t="s">
        <v>1161</v>
      </c>
      <c r="O17" s="1565" t="str">
        <f>IF(AND(O16="2", J20 &gt; 2),"1",IF(AND(O16 = "1", J20 &gt; 2),"2",IF(AND(O16="1", J20 &gt;1),"1","0")))</f>
        <v>0</v>
      </c>
      <c r="P17" s="213"/>
    </row>
    <row r="18" spans="1:18" s="382" customFormat="1" ht="11.25" x14ac:dyDescent="0.2">
      <c r="A18" s="213"/>
      <c r="B18" s="377"/>
      <c r="C18" s="2230" t="s">
        <v>1306</v>
      </c>
      <c r="D18" s="2231"/>
      <c r="E18" s="213"/>
      <c r="F18" s="391" t="s">
        <v>789</v>
      </c>
      <c r="G18" s="378"/>
      <c r="H18" s="1551">
        <f>SUM('Acct Summary 7-8'!C8+'Acct Summary 7-8'!D8+'Acct Summary 7-8'!F8+'Acct Summary 7-8'!I8)+H19</f>
        <v>841287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27" t="s">
        <v>1395</v>
      </c>
      <c r="D24" s="2227"/>
      <c r="E24" s="213"/>
      <c r="F24" s="213" t="s">
        <v>442</v>
      </c>
      <c r="G24" s="378"/>
      <c r="H24" s="1551">
        <f>SUM('Assets-Liab 5-6'!C4+'Assets-Liab 5-6'!D4+'Assets-Liab 5-6'!F4+'Assets-Liab 5-6'!I4+'Assets-Liab 5-6'!C5+'Assets-Liab 5-6'!D5+'Assets-Liab 5-6'!F5+'Assets-Liab 5-6'!I5)</f>
        <v>337558</v>
      </c>
      <c r="I24" s="394"/>
      <c r="J24" s="394"/>
      <c r="K24" s="1555">
        <f>TRUNC(((H24/H25*100000)/100000),2)</f>
        <v>161.66999999999999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2087.875</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388378.45952999999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896168.06700000004</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7" sqref="A7:F7"/>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7" t="s">
        <v>967</v>
      </c>
      <c r="B3" s="2238"/>
      <c r="C3" s="1306"/>
      <c r="D3" s="1307"/>
      <c r="E3" s="1307"/>
      <c r="F3" s="1307"/>
      <c r="G3" s="1307"/>
      <c r="H3" s="1307"/>
      <c r="I3" s="1307"/>
      <c r="J3" s="1307"/>
      <c r="K3" s="1307"/>
      <c r="L3" s="1307"/>
      <c r="M3" s="1308"/>
      <c r="N3" s="1309"/>
    </row>
    <row r="4" spans="1:14" ht="13.5" customHeight="1" x14ac:dyDescent="0.2">
      <c r="A4" s="427" t="s">
        <v>1632</v>
      </c>
      <c r="B4" s="428"/>
      <c r="C4" s="1572">
        <v>255892</v>
      </c>
      <c r="D4" s="1573">
        <v>9359</v>
      </c>
      <c r="E4" s="1573">
        <v>0</v>
      </c>
      <c r="F4" s="1573">
        <v>56633</v>
      </c>
      <c r="G4" s="1573">
        <v>12067</v>
      </c>
      <c r="H4" s="1573">
        <v>0</v>
      </c>
      <c r="I4" s="1573">
        <v>15674</v>
      </c>
      <c r="J4" s="1574">
        <v>0</v>
      </c>
      <c r="K4" s="1573">
        <v>0</v>
      </c>
      <c r="L4" s="1573">
        <v>2764</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255892</v>
      </c>
      <c r="D13" s="1587">
        <f t="shared" ref="D13:L13" si="0">SUM(D4:D12)</f>
        <v>9359</v>
      </c>
      <c r="E13" s="1587">
        <f t="shared" si="0"/>
        <v>0</v>
      </c>
      <c r="F13" s="1587">
        <f t="shared" si="0"/>
        <v>56633</v>
      </c>
      <c r="G13" s="1587">
        <f t="shared" si="0"/>
        <v>12067</v>
      </c>
      <c r="H13" s="1587">
        <f t="shared" si="0"/>
        <v>0</v>
      </c>
      <c r="I13" s="1587">
        <f t="shared" si="0"/>
        <v>15674</v>
      </c>
      <c r="J13" s="1587">
        <f t="shared" si="0"/>
        <v>0</v>
      </c>
      <c r="K13" s="1587">
        <f t="shared" si="0"/>
        <v>0</v>
      </c>
      <c r="L13" s="1587">
        <f t="shared" si="0"/>
        <v>2764</v>
      </c>
      <c r="M13" s="1575"/>
      <c r="N13" s="1576"/>
    </row>
    <row r="14" spans="1:14" ht="18" customHeight="1" thickTop="1" x14ac:dyDescent="0.2">
      <c r="A14" s="2239" t="s">
        <v>146</v>
      </c>
      <c r="B14" s="2240"/>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1284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453536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1439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70130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526389</v>
      </c>
      <c r="N23" s="1594">
        <f>SUM(N21:N22)</f>
        <v>0</v>
      </c>
    </row>
    <row r="24" spans="1:14" ht="18" customHeight="1" thickTop="1" x14ac:dyDescent="0.2">
      <c r="A24" s="2241" t="s">
        <v>594</v>
      </c>
      <c r="B24" s="2242"/>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843</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2764</v>
      </c>
      <c r="M33" s="1575"/>
      <c r="N33" s="1576"/>
    </row>
    <row r="34" spans="1:14" ht="13.5" customHeight="1" thickBot="1" x14ac:dyDescent="0.25">
      <c r="A34" s="1427" t="s">
        <v>649</v>
      </c>
      <c r="B34" s="1428"/>
      <c r="C34" s="1600">
        <f>SUM(C25:C33)</f>
        <v>843</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2764</v>
      </c>
      <c r="M34" s="1575"/>
      <c r="N34" s="1585"/>
    </row>
    <row r="35" spans="1:14" ht="18" customHeight="1" thickTop="1" x14ac:dyDescent="0.2">
      <c r="A35" s="2243" t="s">
        <v>526</v>
      </c>
      <c r="B35" s="224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0</v>
      </c>
      <c r="E38" s="1573">
        <v>0</v>
      </c>
      <c r="F38" s="1573">
        <v>0</v>
      </c>
      <c r="G38" s="1573">
        <v>4916</v>
      </c>
      <c r="H38" s="1573">
        <v>0</v>
      </c>
      <c r="I38" s="1573">
        <v>0</v>
      </c>
      <c r="J38" s="1574">
        <v>0</v>
      </c>
      <c r="K38" s="1573">
        <v>0</v>
      </c>
      <c r="L38" s="1586">
        <v>0</v>
      </c>
      <c r="M38" s="1604"/>
      <c r="N38" s="1604"/>
    </row>
    <row r="39" spans="1:14" s="307" customFormat="1" ht="13.5" customHeight="1" x14ac:dyDescent="0.2">
      <c r="A39" s="438" t="s">
        <v>339</v>
      </c>
      <c r="B39" s="432">
        <v>730</v>
      </c>
      <c r="C39" s="1573">
        <v>255049</v>
      </c>
      <c r="D39" s="1573">
        <v>9359</v>
      </c>
      <c r="E39" s="1573">
        <v>0</v>
      </c>
      <c r="F39" s="1573">
        <v>56633</v>
      </c>
      <c r="G39" s="1573">
        <v>7151</v>
      </c>
      <c r="H39" s="1573">
        <v>0</v>
      </c>
      <c r="I39" s="1573">
        <v>15674</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526389</v>
      </c>
      <c r="N40" s="1604"/>
    </row>
    <row r="41" spans="1:14" ht="13.5" customHeight="1" thickBot="1" x14ac:dyDescent="0.25">
      <c r="A41" s="1426" t="s">
        <v>650</v>
      </c>
      <c r="B41" s="1405"/>
      <c r="C41" s="1594">
        <f>(SUM(C34,C37,C38,C39))</f>
        <v>255892</v>
      </c>
      <c r="D41" s="1594">
        <f t="shared" ref="D41:L41" si="2">SUM(D34,D37,D38:D39)</f>
        <v>9359</v>
      </c>
      <c r="E41" s="1594">
        <f t="shared" si="2"/>
        <v>0</v>
      </c>
      <c r="F41" s="1594">
        <f t="shared" si="2"/>
        <v>56633</v>
      </c>
      <c r="G41" s="1594">
        <f t="shared" si="2"/>
        <v>12067</v>
      </c>
      <c r="H41" s="1594">
        <f t="shared" si="2"/>
        <v>0</v>
      </c>
      <c r="I41" s="1594">
        <f t="shared" si="2"/>
        <v>15674</v>
      </c>
      <c r="J41" s="1594">
        <f t="shared" si="2"/>
        <v>0</v>
      </c>
      <c r="K41" s="1594">
        <f t="shared" si="2"/>
        <v>0</v>
      </c>
      <c r="L41" s="1594">
        <f t="shared" si="2"/>
        <v>2764</v>
      </c>
      <c r="M41" s="1594">
        <f>SUM(M40)</f>
        <v>526389</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7" sqref="A7:F7"/>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3"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5" t="s">
        <v>1165</v>
      </c>
      <c r="B3" s="2266"/>
      <c r="C3" s="1311"/>
      <c r="D3" s="1312"/>
      <c r="E3" s="1312"/>
      <c r="F3" s="1312"/>
      <c r="G3" s="1312"/>
      <c r="H3" s="1312"/>
      <c r="I3" s="1312"/>
      <c r="J3" s="1312"/>
      <c r="K3" s="1313"/>
      <c r="L3" s="446"/>
    </row>
    <row r="4" spans="1:13" ht="15.75" customHeight="1" x14ac:dyDescent="0.2">
      <c r="A4" s="1537" t="s">
        <v>1482</v>
      </c>
      <c r="B4" s="1538">
        <v>1000</v>
      </c>
      <c r="C4" s="1606">
        <f>'Revenues 9-14'!C109</f>
        <v>408497</v>
      </c>
      <c r="D4" s="1606">
        <f>'Revenues 9-14'!D109</f>
        <v>35683</v>
      </c>
      <c r="E4" s="1606">
        <f>'Revenues 9-14'!E109</f>
        <v>0</v>
      </c>
      <c r="F4" s="1606">
        <f>'Revenues 9-14'!F109</f>
        <v>21918</v>
      </c>
      <c r="G4" s="1606">
        <f>'Revenues 9-14'!G109</f>
        <v>26651</v>
      </c>
      <c r="H4" s="1606">
        <f>'Revenues 9-14'!H109</f>
        <v>0</v>
      </c>
      <c r="I4" s="1606">
        <f>'Revenues 9-14'!I109</f>
        <v>5100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250860</v>
      </c>
      <c r="D6" s="1607">
        <f>'Revenues 9-14'!D170</f>
        <v>0</v>
      </c>
      <c r="E6" s="1607">
        <f>'Revenues 9-14'!E170</f>
        <v>0</v>
      </c>
      <c r="F6" s="1607">
        <f>'Revenues 9-14'!F170</f>
        <v>52349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66880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726237</v>
      </c>
      <c r="D8" s="1594">
        <f t="shared" ref="D8:K8" si="0">SUM(D4:D7)</f>
        <v>35683</v>
      </c>
      <c r="E8" s="1594">
        <f t="shared" si="0"/>
        <v>0</v>
      </c>
      <c r="F8" s="1594">
        <f t="shared" si="0"/>
        <v>74267</v>
      </c>
      <c r="G8" s="1594">
        <f t="shared" si="0"/>
        <v>26651</v>
      </c>
      <c r="H8" s="1594">
        <f t="shared" si="0"/>
        <v>0</v>
      </c>
      <c r="I8" s="1594">
        <f t="shared" si="0"/>
        <v>5100</v>
      </c>
      <c r="J8" s="1594">
        <f t="shared" si="0"/>
        <v>0</v>
      </c>
      <c r="K8" s="1594">
        <f t="shared" si="0"/>
        <v>0</v>
      </c>
      <c r="L8" s="325"/>
    </row>
    <row r="9" spans="1:13" ht="15.75" thickTop="1" x14ac:dyDescent="0.2">
      <c r="A9" s="449" t="s">
        <v>1634</v>
      </c>
      <c r="B9" s="450">
        <v>3998</v>
      </c>
      <c r="C9" s="1586">
        <v>165357</v>
      </c>
      <c r="D9" s="1613"/>
      <c r="E9" s="1586"/>
      <c r="F9" s="1586"/>
      <c r="G9" s="1614"/>
      <c r="H9" s="1586"/>
      <c r="I9" s="1609" t="s">
        <v>1159</v>
      </c>
      <c r="J9" s="1583"/>
      <c r="K9" s="1586"/>
      <c r="L9" s="325"/>
    </row>
    <row r="10" spans="1:13" s="452" customFormat="1" ht="13.5" thickBot="1" x14ac:dyDescent="0.25">
      <c r="A10" s="1426" t="s">
        <v>1163</v>
      </c>
      <c r="B10" s="1407"/>
      <c r="C10" s="1594">
        <f>SUM(C8:C9)</f>
        <v>891594</v>
      </c>
      <c r="D10" s="1594">
        <f t="shared" ref="D10:K10" si="1">SUM(D8:D9)</f>
        <v>35683</v>
      </c>
      <c r="E10" s="1594">
        <f t="shared" si="1"/>
        <v>0</v>
      </c>
      <c r="F10" s="1594">
        <f t="shared" si="1"/>
        <v>74267</v>
      </c>
      <c r="G10" s="1594">
        <f t="shared" si="1"/>
        <v>26651</v>
      </c>
      <c r="H10" s="1594">
        <f t="shared" si="1"/>
        <v>0</v>
      </c>
      <c r="I10" s="1594">
        <f t="shared" si="1"/>
        <v>5100</v>
      </c>
      <c r="J10" s="1594">
        <f t="shared" si="1"/>
        <v>0</v>
      </c>
      <c r="K10" s="1594">
        <f t="shared" si="1"/>
        <v>0</v>
      </c>
      <c r="L10" s="451"/>
    </row>
    <row r="11" spans="1:13" s="452" customFormat="1" ht="16.7" customHeight="1" thickTop="1" x14ac:dyDescent="0.2">
      <c r="A11" s="2239" t="s">
        <v>1166</v>
      </c>
      <c r="B11" s="2240"/>
      <c r="C11" s="1602"/>
      <c r="D11" s="1603"/>
      <c r="E11" s="1603"/>
      <c r="F11" s="1603"/>
      <c r="G11" s="1603"/>
      <c r="H11" s="1603"/>
      <c r="I11" s="1603"/>
      <c r="J11" s="1603"/>
      <c r="K11" s="1615"/>
      <c r="L11" s="451"/>
    </row>
    <row r="12" spans="1:13" ht="15.75" customHeight="1" x14ac:dyDescent="0.2">
      <c r="A12" s="1314" t="s">
        <v>453</v>
      </c>
      <c r="B12" s="1316">
        <v>1000</v>
      </c>
      <c r="C12" s="1606">
        <f>'Expenditures 15-22'!K33</f>
        <v>335648</v>
      </c>
      <c r="D12" s="1616" t="s">
        <v>1159</v>
      </c>
      <c r="E12" s="1575" t="s">
        <v>1159</v>
      </c>
      <c r="F12" s="1575" t="s">
        <v>1159</v>
      </c>
      <c r="G12" s="1606">
        <f>'Expenditures 15-22'!K229</f>
        <v>7511</v>
      </c>
      <c r="H12" s="1617"/>
      <c r="I12" s="1575" t="s">
        <v>1159</v>
      </c>
      <c r="J12" s="1575" t="s">
        <v>1159</v>
      </c>
      <c r="K12" s="1617" t="s">
        <v>1159</v>
      </c>
      <c r="L12" s="325"/>
    </row>
    <row r="13" spans="1:13" ht="15.75" customHeight="1" x14ac:dyDescent="0.2">
      <c r="A13" s="1314" t="s">
        <v>454</v>
      </c>
      <c r="B13" s="1316">
        <v>2000</v>
      </c>
      <c r="C13" s="1607">
        <f>'Expenditures 15-22'!K74</f>
        <v>222006</v>
      </c>
      <c r="D13" s="1607">
        <f>'Expenditures 15-22'!K129</f>
        <v>41971</v>
      </c>
      <c r="E13" s="1576" t="s">
        <v>1159</v>
      </c>
      <c r="F13" s="1607">
        <f>'Expenditures 15-22'!K184</f>
        <v>45040</v>
      </c>
      <c r="G13" s="1607">
        <f>'Expenditures 15-22'!K279</f>
        <v>19672</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106970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664624</v>
      </c>
      <c r="D17" s="1594">
        <f t="shared" si="2"/>
        <v>41971</v>
      </c>
      <c r="E17" s="1594">
        <f t="shared" si="2"/>
        <v>0</v>
      </c>
      <c r="F17" s="1594">
        <f t="shared" si="2"/>
        <v>45040</v>
      </c>
      <c r="G17" s="1594">
        <f t="shared" si="2"/>
        <v>27183</v>
      </c>
      <c r="H17" s="1594">
        <f t="shared" si="2"/>
        <v>0</v>
      </c>
      <c r="I17" s="1575"/>
      <c r="J17" s="1594">
        <f>SUM(J12:J16)</f>
        <v>0</v>
      </c>
      <c r="K17" s="1594">
        <f>SUM(K12:K16)</f>
        <v>0</v>
      </c>
      <c r="L17" s="325"/>
    </row>
    <row r="18" spans="1:12" ht="15" customHeight="1" thickTop="1" x14ac:dyDescent="0.2">
      <c r="A18" s="1430" t="s">
        <v>1635</v>
      </c>
      <c r="B18" s="1431">
        <v>4180</v>
      </c>
      <c r="C18" s="1606">
        <f t="shared" ref="C18:H18" si="3">C9</f>
        <v>165357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829981</v>
      </c>
      <c r="D19" s="1594">
        <f t="shared" si="4"/>
        <v>41971</v>
      </c>
      <c r="E19" s="1594">
        <f t="shared" si="4"/>
        <v>0</v>
      </c>
      <c r="F19" s="1594">
        <f t="shared" si="4"/>
        <v>45040</v>
      </c>
      <c r="G19" s="1594">
        <f t="shared" si="4"/>
        <v>27183</v>
      </c>
      <c r="H19" s="1594">
        <f t="shared" si="4"/>
        <v>0</v>
      </c>
      <c r="I19" s="1575"/>
      <c r="J19" s="1594">
        <f>SUM(J17:J18)</f>
        <v>0</v>
      </c>
      <c r="K19" s="1594">
        <f>SUM(K17:K18)</f>
        <v>0</v>
      </c>
      <c r="L19" s="325"/>
    </row>
    <row r="20" spans="1:12" ht="16.5" thickTop="1" thickBot="1" x14ac:dyDescent="0.25">
      <c r="A20" s="2255" t="s">
        <v>1636</v>
      </c>
      <c r="B20" s="2256"/>
      <c r="C20" s="1622">
        <f>C8-C17</f>
        <v>61613</v>
      </c>
      <c r="D20" s="1622">
        <f t="shared" ref="D20:K20" si="5">D8-D17</f>
        <v>-6288</v>
      </c>
      <c r="E20" s="1622">
        <f t="shared" si="5"/>
        <v>0</v>
      </c>
      <c r="F20" s="1622">
        <f t="shared" si="5"/>
        <v>29227</v>
      </c>
      <c r="G20" s="1622">
        <f t="shared" si="5"/>
        <v>-532</v>
      </c>
      <c r="H20" s="1622">
        <f t="shared" si="5"/>
        <v>0</v>
      </c>
      <c r="I20" s="1622">
        <f t="shared" si="5"/>
        <v>5100</v>
      </c>
      <c r="J20" s="1622">
        <f t="shared" si="5"/>
        <v>0</v>
      </c>
      <c r="K20" s="1622">
        <f t="shared" si="5"/>
        <v>0</v>
      </c>
      <c r="L20" s="325"/>
    </row>
    <row r="21" spans="1:12" ht="16.7" customHeight="1" thickTop="1" x14ac:dyDescent="0.2">
      <c r="A21" s="2267" t="s">
        <v>591</v>
      </c>
      <c r="B21" s="2268"/>
      <c r="C21" s="1602"/>
      <c r="D21" s="1603"/>
      <c r="E21" s="1603"/>
      <c r="F21" s="1603"/>
      <c r="G21" s="1603"/>
      <c r="H21" s="1603"/>
      <c r="I21" s="1603"/>
      <c r="J21" s="1603"/>
      <c r="K21" s="1615"/>
      <c r="L21" s="453"/>
    </row>
    <row r="22" spans="1:12" ht="15.75" customHeight="1" collapsed="1" x14ac:dyDescent="0.2">
      <c r="A22" s="2263" t="s">
        <v>592</v>
      </c>
      <c r="B22" s="2264"/>
      <c r="C22" s="1582"/>
      <c r="D22" s="1582"/>
      <c r="E22" s="1582"/>
      <c r="F22" s="1582"/>
      <c r="G22" s="1582"/>
      <c r="H22" s="1582"/>
      <c r="I22" s="1582"/>
      <c r="J22" s="1582"/>
      <c r="K22" s="1582"/>
      <c r="L22" s="325"/>
    </row>
    <row r="23" spans="1:12" s="433" customFormat="1" ht="15.75" customHeight="1" x14ac:dyDescent="0.2">
      <c r="A23" s="2259" t="s">
        <v>290</v>
      </c>
      <c r="B23" s="2260"/>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61" t="s">
        <v>974</v>
      </c>
      <c r="B32" s="2262"/>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9" t="s">
        <v>371</v>
      </c>
      <c r="B44" s="2270"/>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63" t="s">
        <v>108</v>
      </c>
      <c r="B45" s="2264"/>
      <c r="C45" s="1625"/>
      <c r="D45" s="1625"/>
      <c r="E45" s="1625"/>
      <c r="F45" s="1625"/>
      <c r="G45" s="1625"/>
      <c r="H45" s="1625"/>
      <c r="I45" s="1625"/>
      <c r="J45" s="1625"/>
      <c r="K45" s="1625"/>
      <c r="L45" s="325"/>
    </row>
    <row r="46" spans="1:12" s="433" customFormat="1" ht="15.75" customHeight="1" x14ac:dyDescent="0.2">
      <c r="A46" s="2271" t="s">
        <v>109</v>
      </c>
      <c r="B46" s="2272"/>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5" t="s">
        <v>437</v>
      </c>
      <c r="B76" s="2246"/>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47" t="s">
        <v>1167</v>
      </c>
      <c r="B77" s="2248"/>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51" t="s">
        <v>593</v>
      </c>
      <c r="B78" s="2252"/>
      <c r="C78" s="1629">
        <f t="shared" ref="C78:K78" si="9">C20+C77</f>
        <v>61613</v>
      </c>
      <c r="D78" s="1629">
        <f t="shared" si="9"/>
        <v>-6288</v>
      </c>
      <c r="E78" s="1629">
        <f t="shared" si="9"/>
        <v>0</v>
      </c>
      <c r="F78" s="1629">
        <f t="shared" si="9"/>
        <v>29227</v>
      </c>
      <c r="G78" s="1629">
        <f t="shared" si="9"/>
        <v>-532</v>
      </c>
      <c r="H78" s="1629">
        <f t="shared" si="9"/>
        <v>0</v>
      </c>
      <c r="I78" s="1629">
        <f t="shared" si="9"/>
        <v>5100</v>
      </c>
      <c r="J78" s="1629">
        <f t="shared" si="9"/>
        <v>0</v>
      </c>
      <c r="K78" s="1629">
        <f t="shared" si="9"/>
        <v>0</v>
      </c>
      <c r="L78" s="457"/>
    </row>
    <row r="79" spans="1:12" ht="13.5" thickTop="1" x14ac:dyDescent="0.2">
      <c r="A79" s="1844" t="str">
        <f>"Fund Balances - July 1, "&amp;'AFR20'!E2-1</f>
        <v>Fund Balances - July 1, 2019</v>
      </c>
      <c r="B79" s="458"/>
      <c r="C79" s="1583">
        <v>193436</v>
      </c>
      <c r="D79" s="1583">
        <v>15647</v>
      </c>
      <c r="E79" s="1630">
        <v>0</v>
      </c>
      <c r="F79" s="1630">
        <v>27406</v>
      </c>
      <c r="G79" s="1630">
        <v>12599</v>
      </c>
      <c r="H79" s="1630">
        <v>0</v>
      </c>
      <c r="I79" s="1630">
        <v>10574</v>
      </c>
      <c r="J79" s="1630">
        <v>0</v>
      </c>
      <c r="K79" s="1630">
        <v>0</v>
      </c>
      <c r="L79" s="325"/>
    </row>
    <row r="80" spans="1:12" x14ac:dyDescent="0.2">
      <c r="A80" s="2257" t="s">
        <v>1772</v>
      </c>
      <c r="B80" s="2258"/>
      <c r="C80" s="1574">
        <v>0</v>
      </c>
      <c r="D80" s="1574">
        <v>0</v>
      </c>
      <c r="E80" s="1574">
        <v>0</v>
      </c>
      <c r="F80" s="1574">
        <v>0</v>
      </c>
      <c r="G80" s="1574">
        <v>0</v>
      </c>
      <c r="H80" s="1574">
        <v>0</v>
      </c>
      <c r="I80" s="1574">
        <v>0</v>
      </c>
      <c r="J80" s="1574">
        <v>0</v>
      </c>
      <c r="K80" s="1574">
        <v>0</v>
      </c>
      <c r="L80" s="325"/>
    </row>
    <row r="81" spans="1:12" ht="13.5" thickBot="1" x14ac:dyDescent="0.25">
      <c r="A81" s="2249" t="str">
        <f>"Fund Balances - June 30, "&amp;'AFR20'!E2</f>
        <v>Fund Balances - June 30, 2020</v>
      </c>
      <c r="B81" s="2250"/>
      <c r="C81" s="1594">
        <f>(SUM(C78:C80))</f>
        <v>255049</v>
      </c>
      <c r="D81" s="1594">
        <f>SUM(D78:D80)</f>
        <v>9359</v>
      </c>
      <c r="E81" s="1594">
        <f t="shared" ref="E81:K81" si="10">SUM(E78:E80)</f>
        <v>0</v>
      </c>
      <c r="F81" s="1594">
        <f t="shared" si="10"/>
        <v>56633</v>
      </c>
      <c r="G81" s="1594">
        <f t="shared" si="10"/>
        <v>12067</v>
      </c>
      <c r="H81" s="1594">
        <f t="shared" si="10"/>
        <v>0</v>
      </c>
      <c r="I81" s="1594">
        <f t="shared" si="10"/>
        <v>15674</v>
      </c>
      <c r="J81" s="1594">
        <f t="shared" si="10"/>
        <v>0</v>
      </c>
      <c r="K81" s="1594">
        <f t="shared" si="10"/>
        <v>0</v>
      </c>
      <c r="L81" s="325"/>
    </row>
    <row r="82" spans="1:12" ht="0.75" customHeight="1" thickTop="1" thickBot="1" x14ac:dyDescent="0.25">
      <c r="A82" s="459" t="s">
        <v>340</v>
      </c>
      <c r="B82" s="460"/>
      <c r="C82" s="461">
        <f>(C81-C79)</f>
        <v>61613</v>
      </c>
      <c r="D82" s="461">
        <f t="shared" ref="D82:K82" si="11">(D81-D79)</f>
        <v>-6288</v>
      </c>
      <c r="E82" s="461">
        <f t="shared" si="11"/>
        <v>0</v>
      </c>
      <c r="F82" s="461">
        <f t="shared" si="11"/>
        <v>29227</v>
      </c>
      <c r="G82" s="461">
        <f t="shared" si="11"/>
        <v>-532</v>
      </c>
      <c r="H82" s="461">
        <f t="shared" si="11"/>
        <v>0</v>
      </c>
      <c r="I82" s="461">
        <f t="shared" si="11"/>
        <v>5100</v>
      </c>
      <c r="J82" s="461">
        <f t="shared" si="11"/>
        <v>0</v>
      </c>
      <c r="K82" s="461">
        <f t="shared" si="11"/>
        <v>0</v>
      </c>
    </row>
    <row r="83" spans="1:12" ht="14.25" hidden="1" thickTop="1" thickBot="1" x14ac:dyDescent="0.25">
      <c r="A83" s="462" t="s">
        <v>341</v>
      </c>
      <c r="B83" s="428"/>
      <c r="C83" s="463">
        <f>C82/C81</f>
        <v>0.24157318789722759</v>
      </c>
      <c r="D83" s="463">
        <f t="shared" ref="D83:K83" si="12">D82/D81</f>
        <v>-0.67186665242013033</v>
      </c>
      <c r="E83" s="463" t="e">
        <f t="shared" si="12"/>
        <v>#DIV/0!</v>
      </c>
      <c r="F83" s="463">
        <f t="shared" si="12"/>
        <v>0.51607719880634961</v>
      </c>
      <c r="G83" s="463">
        <f t="shared" si="12"/>
        <v>-4.4087179912157125E-2</v>
      </c>
      <c r="H83" s="463" t="e">
        <f t="shared" si="12"/>
        <v>#DIV/0!</v>
      </c>
      <c r="I83" s="463">
        <f t="shared" si="12"/>
        <v>0.32537960954446854</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7" sqref="A7:F7"/>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3" t="s">
        <v>1779</v>
      </c>
      <c r="B1" s="416"/>
      <c r="C1" s="417" t="s">
        <v>422</v>
      </c>
      <c r="D1" s="417" t="s">
        <v>423</v>
      </c>
      <c r="E1" s="417" t="s">
        <v>424</v>
      </c>
      <c r="F1" s="417" t="s">
        <v>425</v>
      </c>
      <c r="G1" s="417" t="s">
        <v>426</v>
      </c>
      <c r="H1" s="417" t="s">
        <v>427</v>
      </c>
      <c r="I1" s="417" t="s">
        <v>428</v>
      </c>
      <c r="J1" s="417" t="s">
        <v>429</v>
      </c>
      <c r="K1" s="417" t="s">
        <v>751</v>
      </c>
    </row>
    <row r="2" spans="1:12" ht="36" x14ac:dyDescent="0.2">
      <c r="A2" s="225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389225</v>
      </c>
      <c r="D5" s="1586">
        <v>35628</v>
      </c>
      <c r="E5" s="1573">
        <v>0</v>
      </c>
      <c r="F5" s="1631">
        <v>21887</v>
      </c>
      <c r="G5" s="1573">
        <v>9613</v>
      </c>
      <c r="H5" s="1573">
        <v>0</v>
      </c>
      <c r="I5" s="1573">
        <v>5092</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2549</v>
      </c>
      <c r="D7" s="1573">
        <v>0</v>
      </c>
      <c r="E7" s="1575"/>
      <c r="F7" s="1574">
        <v>0</v>
      </c>
      <c r="G7" s="1574">
        <v>0</v>
      </c>
      <c r="H7" s="1574">
        <v>0</v>
      </c>
      <c r="I7" s="1575"/>
      <c r="J7" s="1575"/>
      <c r="K7" s="1575"/>
    </row>
    <row r="8" spans="1:12" x14ac:dyDescent="0.2">
      <c r="A8" s="427" t="s">
        <v>410</v>
      </c>
      <c r="B8" s="429">
        <v>1150</v>
      </c>
      <c r="C8" s="1580"/>
      <c r="D8" s="1580"/>
      <c r="E8" s="1582"/>
      <c r="F8" s="1582"/>
      <c r="G8" s="1586">
        <v>14419</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391774</v>
      </c>
      <c r="D12" s="1633">
        <f t="shared" si="0"/>
        <v>35628</v>
      </c>
      <c r="E12" s="1633">
        <f t="shared" si="0"/>
        <v>0</v>
      </c>
      <c r="F12" s="1633">
        <f t="shared" si="0"/>
        <v>21887</v>
      </c>
      <c r="G12" s="1633">
        <f t="shared" si="0"/>
        <v>24032</v>
      </c>
      <c r="H12" s="1633">
        <f t="shared" si="0"/>
        <v>0</v>
      </c>
      <c r="I12" s="1633">
        <f t="shared" si="0"/>
        <v>5092</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3558</v>
      </c>
      <c r="D16" s="1573">
        <v>0</v>
      </c>
      <c r="E16" s="1573">
        <v>0</v>
      </c>
      <c r="F16" s="1573">
        <v>0</v>
      </c>
      <c r="G16" s="1573">
        <v>2587</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3558</v>
      </c>
      <c r="D18" s="1635">
        <f t="shared" ref="D18:K18" si="1">SUM(D14:D17)</f>
        <v>0</v>
      </c>
      <c r="E18" s="1635">
        <f t="shared" si="1"/>
        <v>0</v>
      </c>
      <c r="F18" s="1635">
        <f t="shared" si="1"/>
        <v>0</v>
      </c>
      <c r="G18" s="1635">
        <f t="shared" si="1"/>
        <v>2587</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576</v>
      </c>
      <c r="D65" s="1573">
        <v>51</v>
      </c>
      <c r="E65" s="1573">
        <v>0</v>
      </c>
      <c r="F65" s="1574">
        <v>31</v>
      </c>
      <c r="G65" s="1573">
        <v>32</v>
      </c>
      <c r="H65" s="1573">
        <v>0</v>
      </c>
      <c r="I65" s="1573">
        <v>8</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576</v>
      </c>
      <c r="D67" s="1594">
        <f t="shared" ref="D67:K67" si="2">SUM(D65:D66)</f>
        <v>51</v>
      </c>
      <c r="E67" s="1594">
        <f t="shared" si="2"/>
        <v>0</v>
      </c>
      <c r="F67" s="1594">
        <f t="shared" si="2"/>
        <v>31</v>
      </c>
      <c r="G67" s="1594">
        <f t="shared" si="2"/>
        <v>32</v>
      </c>
      <c r="H67" s="1594">
        <f t="shared" si="2"/>
        <v>0</v>
      </c>
      <c r="I67" s="1594">
        <f t="shared" si="2"/>
        <v>8</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5925</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573</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6498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1800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11</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1811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159</v>
      </c>
      <c r="D96" s="1632">
        <v>4</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4033</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88</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4280</v>
      </c>
      <c r="D108" s="1633">
        <f t="shared" ref="D108:K108" si="3">SUM(D95:D107)</f>
        <v>4</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408497</v>
      </c>
      <c r="D109" s="1641">
        <f t="shared" si="4"/>
        <v>35683</v>
      </c>
      <c r="E109" s="1641">
        <f t="shared" si="4"/>
        <v>0</v>
      </c>
      <c r="F109" s="1641">
        <f t="shared" si="4"/>
        <v>21918</v>
      </c>
      <c r="G109" s="1641">
        <f t="shared" si="4"/>
        <v>26651</v>
      </c>
      <c r="H109" s="1641">
        <f t="shared" si="4"/>
        <v>0</v>
      </c>
      <c r="I109" s="1641">
        <f t="shared" si="4"/>
        <v>5100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250624</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250624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236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46864</v>
      </c>
      <c r="G152" s="1574">
        <v>0</v>
      </c>
      <c r="H152" s="1575"/>
      <c r="I152" s="1575"/>
      <c r="J152" s="1575"/>
      <c r="K152" s="1575"/>
    </row>
    <row r="153" spans="1:11" ht="12.75" customHeight="1" x14ac:dyDescent="0.2">
      <c r="A153" s="427" t="s">
        <v>1048</v>
      </c>
      <c r="B153" s="478">
        <v>3510</v>
      </c>
      <c r="C153" s="1632">
        <v>0</v>
      </c>
      <c r="D153" s="1573">
        <v>0</v>
      </c>
      <c r="E153" s="1640"/>
      <c r="F153" s="1573">
        <v>5485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52349</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73" t="s">
        <v>395</v>
      </c>
      <c r="B169" s="2274"/>
      <c r="C169" s="1658">
        <f t="shared" ref="C169:K169" si="6">SUM(C132,C141,C145,C146:C150,C155,C156:C167,C168)</f>
        <v>236</v>
      </c>
      <c r="D169" s="1658">
        <f t="shared" si="6"/>
        <v>0</v>
      </c>
      <c r="E169" s="1658">
        <f t="shared" si="6"/>
        <v>0</v>
      </c>
      <c r="F169" s="1658">
        <f t="shared" si="6"/>
        <v>52349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250860</v>
      </c>
      <c r="D170" s="1641">
        <f t="shared" si="7"/>
        <v>0</v>
      </c>
      <c r="E170" s="1641">
        <f t="shared" si="7"/>
        <v>0</v>
      </c>
      <c r="F170" s="1641">
        <f t="shared" si="7"/>
        <v>52349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5" t="s">
        <v>1475</v>
      </c>
      <c r="B172" s="2276"/>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9" t="s">
        <v>1646</v>
      </c>
      <c r="B175" s="228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3" t="s">
        <v>1645</v>
      </c>
      <c r="B176" s="2284"/>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11391</v>
      </c>
      <c r="D180" s="1573">
        <v>0</v>
      </c>
      <c r="E180" s="1575"/>
      <c r="F180" s="1573">
        <v>0</v>
      </c>
      <c r="G180" s="1573">
        <v>0</v>
      </c>
      <c r="H180" s="1573">
        <v>0</v>
      </c>
      <c r="I180" s="1575"/>
      <c r="J180" s="1575"/>
      <c r="K180" s="1573">
        <v>0</v>
      </c>
    </row>
    <row r="181" spans="1:11" ht="13.5" thickBot="1" x14ac:dyDescent="0.25">
      <c r="A181" s="2281" t="s">
        <v>780</v>
      </c>
      <c r="B181" s="2282"/>
      <c r="C181" s="1633">
        <f>SUM(C177:C180)</f>
        <v>11391</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7" t="s">
        <v>1780</v>
      </c>
      <c r="B182" s="2278"/>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4566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2493</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7059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35303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35303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11798</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11798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879</v>
      </c>
      <c r="D263" s="1651">
        <v>0</v>
      </c>
      <c r="E263" s="1575"/>
      <c r="F263" s="1651">
        <v>0</v>
      </c>
      <c r="G263" s="1651">
        <v>0</v>
      </c>
      <c r="H263" s="1575"/>
      <c r="I263" s="1575"/>
      <c r="J263" s="1575"/>
      <c r="K263" s="1575"/>
    </row>
    <row r="264" spans="1:11" ht="12.75" customHeight="1" thickTop="1" thickBot="1" x14ac:dyDescent="0.25">
      <c r="A264" s="427" t="s">
        <v>374</v>
      </c>
      <c r="B264" s="429">
        <v>4992</v>
      </c>
      <c r="C264" s="1650">
        <v>450</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55489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66880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726237</v>
      </c>
      <c r="D268" s="1641">
        <f t="shared" si="12"/>
        <v>35683</v>
      </c>
      <c r="E268" s="1641">
        <f t="shared" si="12"/>
        <v>0</v>
      </c>
      <c r="F268" s="1641">
        <f t="shared" si="12"/>
        <v>74267</v>
      </c>
      <c r="G268" s="1641">
        <f t="shared" si="12"/>
        <v>26651</v>
      </c>
      <c r="H268" s="1641">
        <f t="shared" si="12"/>
        <v>0</v>
      </c>
      <c r="I268" s="1641">
        <f t="shared" si="12"/>
        <v>5100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7" sqref="A7:F7"/>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3"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3" t="s">
        <v>294</v>
      </c>
      <c r="B3" s="229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291581</v>
      </c>
      <c r="D5" s="1573">
        <v>8737</v>
      </c>
      <c r="E5" s="1573">
        <v>8965</v>
      </c>
      <c r="F5" s="1573">
        <v>23513</v>
      </c>
      <c r="G5" s="1573">
        <v>0</v>
      </c>
      <c r="H5" s="1573">
        <v>0</v>
      </c>
      <c r="I5" s="1574">
        <v>0</v>
      </c>
      <c r="J5" s="1574">
        <v>0</v>
      </c>
      <c r="K5" s="1672">
        <f>SUM(C5:J5)</f>
        <v>332796</v>
      </c>
      <c r="L5" s="1573">
        <v>343886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0</v>
      </c>
      <c r="D8" s="1573">
        <v>0</v>
      </c>
      <c r="E8" s="1573">
        <v>212</v>
      </c>
      <c r="F8" s="1573">
        <v>0</v>
      </c>
      <c r="G8" s="1573">
        <v>0</v>
      </c>
      <c r="H8" s="1573">
        <v>0</v>
      </c>
      <c r="I8" s="1574">
        <v>0</v>
      </c>
      <c r="J8" s="1574">
        <v>0</v>
      </c>
      <c r="K8" s="1672">
        <f t="shared" si="0"/>
        <v>212</v>
      </c>
      <c r="L8" s="1573">
        <v>4500</v>
      </c>
    </row>
    <row r="9" spans="1:14" x14ac:dyDescent="0.2">
      <c r="A9" s="1274" t="s">
        <v>716</v>
      </c>
      <c r="B9" s="503" t="s">
        <v>962</v>
      </c>
      <c r="C9" s="1574">
        <v>0</v>
      </c>
      <c r="D9" s="1574">
        <v>0</v>
      </c>
      <c r="E9" s="1574">
        <v>0</v>
      </c>
      <c r="F9" s="1574">
        <v>0</v>
      </c>
      <c r="G9" s="1574">
        <v>0</v>
      </c>
      <c r="H9" s="1574">
        <v>2640</v>
      </c>
      <c r="I9" s="1574">
        <v>0</v>
      </c>
      <c r="J9" s="1574">
        <v>0</v>
      </c>
      <c r="K9" s="1672">
        <f t="shared" si="0"/>
        <v>2640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291581</v>
      </c>
      <c r="D33" s="1674">
        <f t="shared" ref="D33:L33" si="1">SUM(D5:D32)</f>
        <v>8737</v>
      </c>
      <c r="E33" s="1674">
        <f t="shared" si="1"/>
        <v>9177</v>
      </c>
      <c r="F33" s="1674">
        <f t="shared" si="1"/>
        <v>23513</v>
      </c>
      <c r="G33" s="1674">
        <f t="shared" si="1"/>
        <v>0</v>
      </c>
      <c r="H33" s="1674">
        <f t="shared" si="1"/>
        <v>2640</v>
      </c>
      <c r="I33" s="1674">
        <f t="shared" si="1"/>
        <v>0</v>
      </c>
      <c r="J33" s="1674">
        <f t="shared" si="1"/>
        <v>0</v>
      </c>
      <c r="K33" s="1674">
        <f t="shared" si="1"/>
        <v>335648</v>
      </c>
      <c r="L33" s="1674">
        <f t="shared" si="1"/>
        <v>348386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0</v>
      </c>
      <c r="F38" s="1573">
        <v>0</v>
      </c>
      <c r="G38" s="1573">
        <v>0</v>
      </c>
      <c r="H38" s="1573">
        <v>0</v>
      </c>
      <c r="I38" s="1573">
        <v>0</v>
      </c>
      <c r="J38" s="1573">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21679</v>
      </c>
      <c r="D40" s="1573">
        <v>0</v>
      </c>
      <c r="E40" s="1573">
        <v>0</v>
      </c>
      <c r="F40" s="1573">
        <v>520</v>
      </c>
      <c r="G40" s="1573">
        <v>0</v>
      </c>
      <c r="H40" s="1573">
        <v>0</v>
      </c>
      <c r="I40" s="1574">
        <v>0</v>
      </c>
      <c r="J40" s="1574">
        <v>0</v>
      </c>
      <c r="K40" s="1672">
        <f t="shared" si="2"/>
        <v>22199</v>
      </c>
      <c r="L40" s="1573">
        <v>22180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21679</v>
      </c>
      <c r="D42" s="1674">
        <f t="shared" ref="D42:L42" si="3">SUM(D36:D41)</f>
        <v>0</v>
      </c>
      <c r="E42" s="1674">
        <f t="shared" si="3"/>
        <v>0</v>
      </c>
      <c r="F42" s="1674">
        <f t="shared" si="3"/>
        <v>520</v>
      </c>
      <c r="G42" s="1674">
        <f t="shared" si="3"/>
        <v>0</v>
      </c>
      <c r="H42" s="1674">
        <f t="shared" si="3"/>
        <v>0</v>
      </c>
      <c r="I42" s="1674">
        <f t="shared" si="3"/>
        <v>0</v>
      </c>
      <c r="J42" s="1674">
        <f t="shared" si="3"/>
        <v>0</v>
      </c>
      <c r="K42" s="1674">
        <f t="shared" si="3"/>
        <v>22199</v>
      </c>
      <c r="L42" s="1674">
        <f t="shared" si="3"/>
        <v>22180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206</v>
      </c>
      <c r="F44" s="1586">
        <v>0</v>
      </c>
      <c r="G44" s="1586">
        <v>0</v>
      </c>
      <c r="H44" s="1586">
        <v>0</v>
      </c>
      <c r="I44" s="1574">
        <v>0</v>
      </c>
      <c r="J44" s="1574">
        <v>0</v>
      </c>
      <c r="K44" s="1678">
        <f>SUM(C44:J44)</f>
        <v>206</v>
      </c>
      <c r="L44" s="1586">
        <v>2500</v>
      </c>
    </row>
    <row r="45" spans="1:14" x14ac:dyDescent="0.2">
      <c r="A45" s="1274" t="s">
        <v>810</v>
      </c>
      <c r="B45" s="503">
        <v>2220</v>
      </c>
      <c r="C45" s="1573">
        <v>0</v>
      </c>
      <c r="D45" s="1573">
        <v>0</v>
      </c>
      <c r="E45" s="1573">
        <v>0</v>
      </c>
      <c r="F45" s="1573">
        <v>299</v>
      </c>
      <c r="G45" s="1573">
        <v>0</v>
      </c>
      <c r="H45" s="1573">
        <v>0</v>
      </c>
      <c r="I45" s="1574">
        <v>0</v>
      </c>
      <c r="J45" s="1574">
        <v>0</v>
      </c>
      <c r="K45" s="1678">
        <f>SUM(C45:J45)</f>
        <v>299</v>
      </c>
      <c r="L45" s="1573">
        <v>300</v>
      </c>
    </row>
    <row r="46" spans="1:14" x14ac:dyDescent="0.2">
      <c r="A46" s="1274" t="s">
        <v>811</v>
      </c>
      <c r="B46" s="503">
        <v>2230</v>
      </c>
      <c r="C46" s="1573">
        <v>0</v>
      </c>
      <c r="D46" s="1573">
        <v>0</v>
      </c>
      <c r="E46" s="1573">
        <v>1704</v>
      </c>
      <c r="F46" s="1573">
        <v>0</v>
      </c>
      <c r="G46" s="1573">
        <v>0</v>
      </c>
      <c r="H46" s="1573">
        <v>0</v>
      </c>
      <c r="I46" s="1574">
        <v>0</v>
      </c>
      <c r="J46" s="1574">
        <v>0</v>
      </c>
      <c r="K46" s="1678">
        <f>SUM(C46:J46)</f>
        <v>1704</v>
      </c>
      <c r="L46" s="1573">
        <v>1704</v>
      </c>
    </row>
    <row r="47" spans="1:14" ht="12.75" customHeight="1" thickBot="1" x14ac:dyDescent="0.25">
      <c r="A47" s="1380" t="s">
        <v>557</v>
      </c>
      <c r="B47" s="1381" t="s">
        <v>32</v>
      </c>
      <c r="C47" s="1674">
        <f>SUM(C44:C46)</f>
        <v>0</v>
      </c>
      <c r="D47" s="1674">
        <f t="shared" ref="D47:K47" si="4">SUM(D44:D46)</f>
        <v>0</v>
      </c>
      <c r="E47" s="1674">
        <f t="shared" si="4"/>
        <v>1910</v>
      </c>
      <c r="F47" s="1674">
        <f t="shared" si="4"/>
        <v>299</v>
      </c>
      <c r="G47" s="1674">
        <f t="shared" si="4"/>
        <v>0</v>
      </c>
      <c r="H47" s="1674">
        <f t="shared" si="4"/>
        <v>0</v>
      </c>
      <c r="I47" s="1674">
        <f t="shared" si="4"/>
        <v>0</v>
      </c>
      <c r="J47" s="1674">
        <f t="shared" si="4"/>
        <v>0</v>
      </c>
      <c r="K47" s="1674">
        <f t="shared" si="4"/>
        <v>2209</v>
      </c>
      <c r="L47" s="1674">
        <f>SUM(L44:L46)</f>
        <v>4504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8556</v>
      </c>
      <c r="F49" s="1586">
        <v>401</v>
      </c>
      <c r="G49" s="1586">
        <v>0</v>
      </c>
      <c r="H49" s="1586">
        <v>2646</v>
      </c>
      <c r="I49" s="1574">
        <v>0</v>
      </c>
      <c r="J49" s="1574">
        <v>0</v>
      </c>
      <c r="K49" s="1678">
        <f>SUM(C49:J49)</f>
        <v>11603</v>
      </c>
      <c r="L49" s="1586">
        <v>10250</v>
      </c>
    </row>
    <row r="50" spans="1:14" x14ac:dyDescent="0.2">
      <c r="A50" s="1274" t="s">
        <v>813</v>
      </c>
      <c r="B50" s="503">
        <v>2320</v>
      </c>
      <c r="C50" s="1574">
        <v>43509</v>
      </c>
      <c r="D50" s="1573">
        <v>0</v>
      </c>
      <c r="E50" s="1573">
        <v>21</v>
      </c>
      <c r="F50" s="1573">
        <v>0</v>
      </c>
      <c r="G50" s="1573">
        <v>0</v>
      </c>
      <c r="H50" s="1573">
        <v>0</v>
      </c>
      <c r="I50" s="1574">
        <v>0</v>
      </c>
      <c r="J50" s="1574">
        <v>0</v>
      </c>
      <c r="K50" s="1678">
        <f>SUM(C50:J50)</f>
        <v>43530</v>
      </c>
      <c r="L50" s="1573">
        <v>44000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19827</v>
      </c>
      <c r="F52" s="1579">
        <v>0</v>
      </c>
      <c r="G52" s="1579">
        <v>0</v>
      </c>
      <c r="H52" s="1579">
        <v>0</v>
      </c>
      <c r="I52" s="1579">
        <v>0</v>
      </c>
      <c r="J52" s="1579">
        <v>0</v>
      </c>
      <c r="K52" s="1678">
        <f>SUM(C52:J52)</f>
        <v>19827</v>
      </c>
      <c r="L52" s="1579">
        <v>20000</v>
      </c>
    </row>
    <row r="53" spans="1:14" ht="12.75" customHeight="1" thickBot="1" x14ac:dyDescent="0.25">
      <c r="A53" s="1380" t="s">
        <v>712</v>
      </c>
      <c r="B53" s="1381" t="s">
        <v>33</v>
      </c>
      <c r="C53" s="1674">
        <f>SUM(C49:C52)</f>
        <v>43509</v>
      </c>
      <c r="D53" s="1674">
        <f t="shared" ref="D53:L53" si="5">SUM(D49:D52)</f>
        <v>0</v>
      </c>
      <c r="E53" s="1674">
        <f t="shared" si="5"/>
        <v>28404</v>
      </c>
      <c r="F53" s="1674">
        <f t="shared" si="5"/>
        <v>401</v>
      </c>
      <c r="G53" s="1674">
        <f t="shared" si="5"/>
        <v>0</v>
      </c>
      <c r="H53" s="1674">
        <f t="shared" si="5"/>
        <v>2646</v>
      </c>
      <c r="I53" s="1674">
        <f t="shared" si="5"/>
        <v>0</v>
      </c>
      <c r="J53" s="1674">
        <f t="shared" si="5"/>
        <v>0</v>
      </c>
      <c r="K53" s="1674">
        <f t="shared" si="5"/>
        <v>74960</v>
      </c>
      <c r="L53" s="1674">
        <f t="shared" si="5"/>
        <v>74250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2792</v>
      </c>
      <c r="D55" s="1586">
        <v>0</v>
      </c>
      <c r="E55" s="1586">
        <v>0</v>
      </c>
      <c r="F55" s="1586">
        <v>0</v>
      </c>
      <c r="G55" s="1586">
        <v>0</v>
      </c>
      <c r="H55" s="1586">
        <v>0</v>
      </c>
      <c r="I55" s="1574">
        <v>0</v>
      </c>
      <c r="J55" s="1574">
        <v>0</v>
      </c>
      <c r="K55" s="1678">
        <f>SUM(C55:J55)</f>
        <v>2792</v>
      </c>
      <c r="L55" s="1586">
        <v>2800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2792</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2792</v>
      </c>
      <c r="L57" s="1674">
        <f>SUM(L55:L56)</f>
        <v>2800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47074</v>
      </c>
      <c r="D60" s="1573">
        <v>0</v>
      </c>
      <c r="E60" s="1573">
        <v>150</v>
      </c>
      <c r="F60" s="1573">
        <v>1055</v>
      </c>
      <c r="G60" s="1573">
        <v>0</v>
      </c>
      <c r="H60" s="1573">
        <v>0</v>
      </c>
      <c r="I60" s="1574">
        <v>0</v>
      </c>
      <c r="J60" s="1574">
        <v>0</v>
      </c>
      <c r="K60" s="1678">
        <f t="shared" si="7"/>
        <v>48279</v>
      </c>
      <c r="L60" s="1573">
        <v>48540</v>
      </c>
      <c r="M60" s="501"/>
      <c r="N60" s="501"/>
    </row>
    <row r="61" spans="1:14" s="321" customFormat="1" x14ac:dyDescent="0.2">
      <c r="A61" s="1274" t="s">
        <v>195</v>
      </c>
      <c r="B61" s="503">
        <v>2540</v>
      </c>
      <c r="C61" s="1573">
        <v>39847</v>
      </c>
      <c r="D61" s="1573">
        <v>0</v>
      </c>
      <c r="E61" s="1573">
        <v>0</v>
      </c>
      <c r="F61" s="1573">
        <v>0</v>
      </c>
      <c r="G61" s="1573">
        <v>0</v>
      </c>
      <c r="H61" s="1573">
        <v>0</v>
      </c>
      <c r="I61" s="1574">
        <v>0</v>
      </c>
      <c r="J61" s="1574">
        <v>0</v>
      </c>
      <c r="K61" s="1678">
        <f t="shared" si="7"/>
        <v>39847</v>
      </c>
      <c r="L61" s="1573">
        <v>43000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22461</v>
      </c>
      <c r="D63" s="1573">
        <v>0</v>
      </c>
      <c r="E63" s="1573">
        <v>170</v>
      </c>
      <c r="F63" s="1573">
        <v>8948</v>
      </c>
      <c r="G63" s="1573">
        <v>141</v>
      </c>
      <c r="H63" s="1573">
        <v>0</v>
      </c>
      <c r="I63" s="1574">
        <v>0</v>
      </c>
      <c r="J63" s="1574">
        <v>0</v>
      </c>
      <c r="K63" s="1678">
        <f t="shared" si="7"/>
        <v>31720</v>
      </c>
      <c r="L63" s="1573">
        <v>49000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109382</v>
      </c>
      <c r="D65" s="1674">
        <f t="shared" ref="D65:L65" si="8">SUM(D59:D64)</f>
        <v>0</v>
      </c>
      <c r="E65" s="1674">
        <f t="shared" si="8"/>
        <v>320</v>
      </c>
      <c r="F65" s="1674">
        <f t="shared" si="8"/>
        <v>10003</v>
      </c>
      <c r="G65" s="1674">
        <f t="shared" si="8"/>
        <v>141</v>
      </c>
      <c r="H65" s="1674">
        <f t="shared" si="8"/>
        <v>0</v>
      </c>
      <c r="I65" s="1674">
        <f t="shared" si="8"/>
        <v>0</v>
      </c>
      <c r="J65" s="1674">
        <f t="shared" si="8"/>
        <v>0</v>
      </c>
      <c r="K65" s="1674">
        <f t="shared" si="8"/>
        <v>119846</v>
      </c>
      <c r="L65" s="1674">
        <f t="shared" si="8"/>
        <v>140540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177362</v>
      </c>
      <c r="D74" s="1681">
        <f t="shared" ref="D74:K74" si="10">SUM(D42,D47,D53,D57,D65,D72,D73)</f>
        <v>0</v>
      </c>
      <c r="E74" s="1681">
        <f t="shared" si="10"/>
        <v>30634</v>
      </c>
      <c r="F74" s="1681">
        <f t="shared" si="10"/>
        <v>11223</v>
      </c>
      <c r="G74" s="1681">
        <f t="shared" si="10"/>
        <v>141</v>
      </c>
      <c r="H74" s="1681">
        <f t="shared" si="10"/>
        <v>2646</v>
      </c>
      <c r="I74" s="1681">
        <f t="shared" si="10"/>
        <v>0</v>
      </c>
      <c r="J74" s="1681">
        <f t="shared" si="10"/>
        <v>0</v>
      </c>
      <c r="K74" s="1681">
        <f t="shared" si="10"/>
        <v>222006</v>
      </c>
      <c r="L74" s="1681">
        <f>SUM(L42,L47,L53,L57,L65,L72,L73)</f>
        <v>244274</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30876</v>
      </c>
      <c r="F79" s="1673"/>
      <c r="G79" s="1673"/>
      <c r="H79" s="1573">
        <v>0</v>
      </c>
      <c r="I79" s="1582"/>
      <c r="J79" s="1582"/>
      <c r="K79" s="1672">
        <f t="shared" si="11"/>
        <v>30876</v>
      </c>
      <c r="L79" s="1573">
        <v>51000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30876</v>
      </c>
      <c r="F84" s="1673"/>
      <c r="G84" s="1673"/>
      <c r="H84" s="1674">
        <f>SUM(H78:H83)</f>
        <v>0</v>
      </c>
      <c r="I84" s="1582"/>
      <c r="J84" s="1582"/>
      <c r="K84" s="1674">
        <f>SUM(K78:K83)</f>
        <v>30876</v>
      </c>
      <c r="L84" s="1674">
        <f>SUM(L78:L83)</f>
        <v>51000</v>
      </c>
    </row>
    <row r="85" spans="1:12" ht="12.75" customHeight="1" thickTop="1" thickBot="1" x14ac:dyDescent="0.25">
      <c r="A85" s="1281" t="s">
        <v>253</v>
      </c>
      <c r="B85" s="517">
        <v>4210</v>
      </c>
      <c r="C85" s="1673"/>
      <c r="D85" s="1673"/>
      <c r="E85" s="1683"/>
      <c r="F85" s="1673"/>
      <c r="G85" s="1673"/>
      <c r="H85" s="1630">
        <v>60494</v>
      </c>
      <c r="I85" s="1582"/>
      <c r="J85" s="1582"/>
      <c r="K85" s="1681">
        <f>H85</f>
        <v>60494</v>
      </c>
      <c r="L85" s="1626">
        <v>70200</v>
      </c>
    </row>
    <row r="86" spans="1:12" ht="12.75" customHeight="1" thickTop="1" thickBot="1" x14ac:dyDescent="0.25">
      <c r="A86" s="1282" t="s">
        <v>694</v>
      </c>
      <c r="B86" s="518">
        <v>4220</v>
      </c>
      <c r="C86" s="1673"/>
      <c r="D86" s="1673"/>
      <c r="E86" s="1684"/>
      <c r="F86" s="1673"/>
      <c r="G86" s="1673"/>
      <c r="H86" s="1574">
        <v>15600</v>
      </c>
      <c r="I86" s="1582"/>
      <c r="J86" s="1582"/>
      <c r="K86" s="1681">
        <f t="shared" ref="K86:K98" si="12">H86</f>
        <v>15600</v>
      </c>
      <c r="L86" s="1626">
        <v>19500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76094</v>
      </c>
      <c r="I92" s="1582"/>
      <c r="J92" s="1582"/>
      <c r="K92" s="1681">
        <f t="shared" si="12"/>
        <v>76094</v>
      </c>
      <c r="L92" s="1674">
        <f>SUM(L85:L91)</f>
        <v>89700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30876</v>
      </c>
      <c r="F102" s="1673"/>
      <c r="G102" s="1673"/>
      <c r="H102" s="1681">
        <f>SUM(H84,H92,H100,H101)</f>
        <v>76094</v>
      </c>
      <c r="I102" s="1582"/>
      <c r="J102" s="1582"/>
      <c r="K102" s="1681">
        <f>SUM(K84,K92,K100,K101)</f>
        <v>106970</v>
      </c>
      <c r="L102" s="1681">
        <f>SUM(L84,L92,L100,L101)</f>
        <v>140700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468943</v>
      </c>
      <c r="D114" s="1674">
        <f t="shared" ref="D114:K114" si="13">SUM(D33,D74,D75,D102,D112,D113)</f>
        <v>8737</v>
      </c>
      <c r="E114" s="1674">
        <f t="shared" si="13"/>
        <v>70687</v>
      </c>
      <c r="F114" s="1674">
        <f t="shared" si="13"/>
        <v>34736</v>
      </c>
      <c r="G114" s="1674">
        <f t="shared" si="13"/>
        <v>141</v>
      </c>
      <c r="H114" s="1674">
        <f>SUM(H33,H74,H75,H102,H112,H113)</f>
        <v>81380</v>
      </c>
      <c r="I114" s="1674">
        <f t="shared" si="13"/>
        <v>0</v>
      </c>
      <c r="J114" s="1674">
        <f t="shared" si="13"/>
        <v>0</v>
      </c>
      <c r="K114" s="1674">
        <f t="shared" si="13"/>
        <v>664624</v>
      </c>
      <c r="L114" s="1674">
        <f>SUM(L33,L74,L75,L102,L112,L113)</f>
        <v>733360</v>
      </c>
    </row>
    <row r="115" spans="1:14" ht="13.5" thickTop="1" x14ac:dyDescent="0.2">
      <c r="A115" s="2285" t="s">
        <v>989</v>
      </c>
      <c r="B115" s="2286"/>
      <c r="C115" s="1675"/>
      <c r="D115" s="1675"/>
      <c r="E115" s="1675"/>
      <c r="F115" s="1675"/>
      <c r="G115" s="1675"/>
      <c r="H115" s="1675"/>
      <c r="I115" s="1675"/>
      <c r="J115" s="1675"/>
      <c r="K115" s="1689">
        <f>'Revenues 9-14'!C268-'Expenditures 15-22'!K114</f>
        <v>61613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90" t="s">
        <v>293</v>
      </c>
      <c r="B117" s="229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19308</v>
      </c>
      <c r="F124" s="1573">
        <v>22663</v>
      </c>
      <c r="G124" s="1573">
        <v>0</v>
      </c>
      <c r="H124" s="1573">
        <v>0</v>
      </c>
      <c r="I124" s="1574">
        <v>0</v>
      </c>
      <c r="J124" s="1574">
        <v>0</v>
      </c>
      <c r="K124" s="1674">
        <f>SUM(C124:J124)</f>
        <v>41971</v>
      </c>
      <c r="L124" s="1573">
        <v>43500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19308</v>
      </c>
      <c r="F127" s="1674">
        <f t="shared" si="14"/>
        <v>22663</v>
      </c>
      <c r="G127" s="1674">
        <f t="shared" si="14"/>
        <v>0</v>
      </c>
      <c r="H127" s="1674">
        <f t="shared" si="14"/>
        <v>0</v>
      </c>
      <c r="I127" s="1674">
        <f t="shared" si="14"/>
        <v>0</v>
      </c>
      <c r="J127" s="1674">
        <f t="shared" si="14"/>
        <v>0</v>
      </c>
      <c r="K127" s="1674">
        <f t="shared" si="14"/>
        <v>41971</v>
      </c>
      <c r="L127" s="1674">
        <f t="shared" si="14"/>
        <v>43500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19308</v>
      </c>
      <c r="F129" s="1681">
        <f t="shared" si="15"/>
        <v>22663</v>
      </c>
      <c r="G129" s="1681">
        <f t="shared" si="15"/>
        <v>0</v>
      </c>
      <c r="H129" s="1681">
        <f t="shared" si="15"/>
        <v>0</v>
      </c>
      <c r="I129" s="1681">
        <f t="shared" si="15"/>
        <v>0</v>
      </c>
      <c r="J129" s="1681">
        <f t="shared" si="15"/>
        <v>0</v>
      </c>
      <c r="K129" s="1681">
        <f t="shared" si="15"/>
        <v>41971</v>
      </c>
      <c r="L129" s="1681">
        <f t="shared" si="15"/>
        <v>43500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02" t="s">
        <v>616</v>
      </c>
      <c r="B151" s="2282"/>
      <c r="C151" s="1674">
        <f>SUM(C129,C130,C139,C149,C150)</f>
        <v>0</v>
      </c>
      <c r="D151" s="1674">
        <f t="shared" ref="D151:K151" si="16">SUM(D129,D130,D139,D149,D150)</f>
        <v>0</v>
      </c>
      <c r="E151" s="1674">
        <f t="shared" si="16"/>
        <v>19308</v>
      </c>
      <c r="F151" s="1674">
        <f t="shared" si="16"/>
        <v>22663</v>
      </c>
      <c r="G151" s="1674">
        <f t="shared" si="16"/>
        <v>0</v>
      </c>
      <c r="H151" s="1674">
        <f t="shared" si="16"/>
        <v>0</v>
      </c>
      <c r="I151" s="1674">
        <f t="shared" si="16"/>
        <v>0</v>
      </c>
      <c r="J151" s="1674">
        <f t="shared" si="16"/>
        <v>0</v>
      </c>
      <c r="K151" s="1674">
        <f t="shared" si="16"/>
        <v>41971</v>
      </c>
      <c r="L151" s="1674">
        <f>SUM(L129,L130,L139,L149,L150)</f>
        <v>43500</v>
      </c>
    </row>
    <row r="152" spans="1:14" ht="12.75" customHeight="1" thickTop="1" x14ac:dyDescent="0.2">
      <c r="A152" s="2305" t="s">
        <v>1168</v>
      </c>
      <c r="B152" s="2306"/>
      <c r="C152" s="1675"/>
      <c r="D152" s="1675"/>
      <c r="E152" s="1675"/>
      <c r="F152" s="1675"/>
      <c r="G152" s="1675"/>
      <c r="H152" s="1675"/>
      <c r="I152" s="1675"/>
      <c r="J152" s="1673"/>
      <c r="K152" s="1689">
        <f>'Revenues 9-14'!D268-'Expenditures 15-22'!K151</f>
        <v>-6288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90" t="s">
        <v>617</v>
      </c>
      <c r="B154" s="229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5" t="s">
        <v>989</v>
      </c>
      <c r="B175" s="2286"/>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23334</v>
      </c>
      <c r="D182" s="1573">
        <v>0</v>
      </c>
      <c r="E182" s="1573">
        <v>18102</v>
      </c>
      <c r="F182" s="1573">
        <v>3400</v>
      </c>
      <c r="G182" s="1573">
        <v>0</v>
      </c>
      <c r="H182" s="1573">
        <v>204</v>
      </c>
      <c r="I182" s="1574">
        <v>0</v>
      </c>
      <c r="J182" s="1574">
        <v>0</v>
      </c>
      <c r="K182" s="1672">
        <f>SUM(C182:J182)</f>
        <v>45040</v>
      </c>
      <c r="L182" s="1573">
        <v>49639</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23334</v>
      </c>
      <c r="D184" s="1681">
        <f t="shared" ref="D184:J184" si="17">SUM(D180,D182,D183)</f>
        <v>0</v>
      </c>
      <c r="E184" s="1681">
        <f t="shared" si="17"/>
        <v>18102</v>
      </c>
      <c r="F184" s="1681">
        <f t="shared" si="17"/>
        <v>3400</v>
      </c>
      <c r="G184" s="1681">
        <f t="shared" si="17"/>
        <v>0</v>
      </c>
      <c r="H184" s="1681">
        <f t="shared" si="17"/>
        <v>204</v>
      </c>
      <c r="I184" s="1681">
        <f t="shared" si="17"/>
        <v>0</v>
      </c>
      <c r="J184" s="1681">
        <f t="shared" si="17"/>
        <v>0</v>
      </c>
      <c r="K184" s="1681">
        <f>SUM(K180,K182,K183)</f>
        <v>45040</v>
      </c>
      <c r="L184" s="1681">
        <f>SUM(L180, L182:L183)</f>
        <v>49639</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23334</v>
      </c>
      <c r="D210" s="1674">
        <f>SUM(D184,D185)</f>
        <v>0</v>
      </c>
      <c r="E210" s="1674">
        <f>SUM(E184,E185,E196)</f>
        <v>18102</v>
      </c>
      <c r="F210" s="1674">
        <f>SUM(F184,F185)</f>
        <v>3400</v>
      </c>
      <c r="G210" s="1674">
        <f>SUM(G184,G185)</f>
        <v>0</v>
      </c>
      <c r="H210" s="1674">
        <f>SUM(H184,H185,H196,H208,H209)</f>
        <v>204</v>
      </c>
      <c r="I210" s="1674">
        <f>SUM(I184,I185)</f>
        <v>0</v>
      </c>
      <c r="J210" s="1674">
        <f>SUM(J184,J185)</f>
        <v>0</v>
      </c>
      <c r="K210" s="1672">
        <f>SUM(K184,K185,K196,K208,K209)</f>
        <v>45040</v>
      </c>
      <c r="L210" s="1674">
        <f>SUM(L184,L185,L196,L208,L209)</f>
        <v>49639</v>
      </c>
    </row>
    <row r="211" spans="1:14" ht="13.5" thickTop="1" x14ac:dyDescent="0.2">
      <c r="A211" s="2285" t="s">
        <v>989</v>
      </c>
      <c r="B211" s="2286"/>
      <c r="C211" s="1675"/>
      <c r="D211" s="1675"/>
      <c r="E211" s="1675"/>
      <c r="F211" s="1675"/>
      <c r="G211" s="1675"/>
      <c r="H211" s="1675"/>
      <c r="I211" s="1673"/>
      <c r="J211" s="1673"/>
      <c r="K211" s="1689">
        <f>'Revenues 9-14'!F268-'Expenditures 15-22'!K210</f>
        <v>29227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7" t="s">
        <v>959</v>
      </c>
      <c r="B213" s="230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7511</v>
      </c>
      <c r="E215" s="1673"/>
      <c r="F215" s="1673"/>
      <c r="G215" s="1673"/>
      <c r="H215" s="1673"/>
      <c r="I215" s="1673"/>
      <c r="J215" s="1673"/>
      <c r="K215" s="1672">
        <f>D215</f>
        <v>7511</v>
      </c>
      <c r="L215" s="1573">
        <v>7660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7511</v>
      </c>
      <c r="E229" s="1673"/>
      <c r="F229" s="1673"/>
      <c r="G229" s="1673"/>
      <c r="H229" s="1673"/>
      <c r="I229" s="1673"/>
      <c r="J229" s="1673"/>
      <c r="K229" s="1674">
        <f>SUM(K215:K228)</f>
        <v>7511</v>
      </c>
      <c r="L229" s="1674">
        <f>SUM(L215:L228)</f>
        <v>7660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314</v>
      </c>
      <c r="E236" s="1673"/>
      <c r="F236" s="1673"/>
      <c r="G236" s="1673"/>
      <c r="H236" s="1673"/>
      <c r="I236" s="1673"/>
      <c r="J236" s="1673"/>
      <c r="K236" s="1672">
        <f t="shared" si="20"/>
        <v>314</v>
      </c>
      <c r="L236" s="1573">
        <v>320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314</v>
      </c>
      <c r="E238" s="1673"/>
      <c r="F238" s="1673"/>
      <c r="G238" s="1673"/>
      <c r="H238" s="1673"/>
      <c r="I238" s="1673"/>
      <c r="J238" s="1673"/>
      <c r="K238" s="1674">
        <f>SUM(K232:K237)</f>
        <v>314</v>
      </c>
      <c r="L238" s="1674">
        <f>SUM(L232:L237)</f>
        <v>320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601</v>
      </c>
      <c r="E246" s="1673"/>
      <c r="F246" s="1673"/>
      <c r="G246" s="1673"/>
      <c r="H246" s="1673"/>
      <c r="I246" s="1673"/>
      <c r="J246" s="1673"/>
      <c r="K246" s="1678">
        <f t="shared" ref="K246:K256" si="21">D246</f>
        <v>601</v>
      </c>
      <c r="L246" s="1573">
        <v>635</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601</v>
      </c>
      <c r="E257" s="1673"/>
      <c r="F257" s="1673"/>
      <c r="G257" s="1673"/>
      <c r="H257" s="1673"/>
      <c r="I257" s="1673"/>
      <c r="J257" s="1673"/>
      <c r="K257" s="1674">
        <f>SUM(K245:K256)</f>
        <v>601</v>
      </c>
      <c r="L257" s="1674">
        <f>SUM(L245:L256)</f>
        <v>635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40</v>
      </c>
      <c r="E259" s="1673"/>
      <c r="F259" s="1673"/>
      <c r="G259" s="1673"/>
      <c r="H259" s="1673"/>
      <c r="I259" s="1673"/>
      <c r="J259" s="1673"/>
      <c r="K259" s="1678">
        <f>D259</f>
        <v>40</v>
      </c>
      <c r="L259" s="1586">
        <v>50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40</v>
      </c>
      <c r="E261" s="1673"/>
      <c r="F261" s="1673"/>
      <c r="G261" s="1673"/>
      <c r="H261" s="1673"/>
      <c r="I261" s="1673"/>
      <c r="J261" s="1673"/>
      <c r="K261" s="1674">
        <f>SUM(K259:K260)</f>
        <v>40</v>
      </c>
      <c r="L261" s="1674">
        <f>SUM(L259:L260)</f>
        <v>50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6738</v>
      </c>
      <c r="E264" s="1673"/>
      <c r="F264" s="1673"/>
      <c r="G264" s="1673"/>
      <c r="H264" s="1673"/>
      <c r="I264" s="1673"/>
      <c r="J264" s="1673"/>
      <c r="K264" s="1678">
        <f t="shared" ref="K264:K269" si="22">D264</f>
        <v>6738</v>
      </c>
      <c r="L264" s="1573">
        <v>6720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5906</v>
      </c>
      <c r="E266" s="1673"/>
      <c r="F266" s="1673"/>
      <c r="G266" s="1673"/>
      <c r="H266" s="1673"/>
      <c r="I266" s="1673"/>
      <c r="J266" s="1673"/>
      <c r="K266" s="1678">
        <f t="shared" si="22"/>
        <v>5906</v>
      </c>
      <c r="L266" s="1573">
        <v>6000</v>
      </c>
    </row>
    <row r="267" spans="1:14" x14ac:dyDescent="0.2">
      <c r="A267" s="1274" t="s">
        <v>947</v>
      </c>
      <c r="B267" s="503">
        <v>2550</v>
      </c>
      <c r="C267" s="1673"/>
      <c r="D267" s="1573">
        <v>2803</v>
      </c>
      <c r="E267" s="1673"/>
      <c r="F267" s="1673"/>
      <c r="G267" s="1673"/>
      <c r="H267" s="1673"/>
      <c r="I267" s="1673"/>
      <c r="J267" s="1673"/>
      <c r="K267" s="1678">
        <f t="shared" si="22"/>
        <v>2803</v>
      </c>
      <c r="L267" s="1573">
        <v>2960</v>
      </c>
    </row>
    <row r="268" spans="1:14" x14ac:dyDescent="0.2">
      <c r="A268" s="1274" t="s">
        <v>100</v>
      </c>
      <c r="B268" s="503">
        <v>2560</v>
      </c>
      <c r="C268" s="1673"/>
      <c r="D268" s="1573">
        <v>3270</v>
      </c>
      <c r="E268" s="1673"/>
      <c r="F268" s="1673"/>
      <c r="G268" s="1673"/>
      <c r="H268" s="1673"/>
      <c r="I268" s="1673"/>
      <c r="J268" s="1673"/>
      <c r="K268" s="1678">
        <f t="shared" si="22"/>
        <v>3270</v>
      </c>
      <c r="L268" s="1573">
        <v>3725</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18717</v>
      </c>
      <c r="E270" s="1673"/>
      <c r="F270" s="1673"/>
      <c r="G270" s="1673"/>
      <c r="H270" s="1673"/>
      <c r="I270" s="1673"/>
      <c r="J270" s="1673"/>
      <c r="K270" s="1674">
        <f>SUM(K263:K269)</f>
        <v>18717</v>
      </c>
      <c r="L270" s="1674">
        <f>SUM(L263:L269)</f>
        <v>19405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19672</v>
      </c>
      <c r="E279" s="1673"/>
      <c r="F279" s="1673"/>
      <c r="G279" s="1673"/>
      <c r="H279" s="1673"/>
      <c r="I279" s="1673"/>
      <c r="J279" s="1673"/>
      <c r="K279" s="1681">
        <f>SUM(K238,K243,K257,K261,K270,K277,K278)</f>
        <v>19672</v>
      </c>
      <c r="L279" s="1681">
        <f>SUM(L238,L243,L257,L261,L270,L277,L278)</f>
        <v>20410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03" t="s">
        <v>502</v>
      </c>
      <c r="B295" s="2304"/>
      <c r="C295" s="1673"/>
      <c r="D295" s="1674">
        <f>SUM(D229,D279,D280,D285)</f>
        <v>27183</v>
      </c>
      <c r="E295" s="1673"/>
      <c r="F295" s="1673"/>
      <c r="G295" s="1673"/>
      <c r="H295" s="1674">
        <f>H293</f>
        <v>0</v>
      </c>
      <c r="I295" s="1673"/>
      <c r="J295" s="1673"/>
      <c r="K295" s="1674">
        <f>SUM(K229,K279,K280,K285,K293,K294)</f>
        <v>27183</v>
      </c>
      <c r="L295" s="1674">
        <f>SUM(L229,L279,L280,L285,L293,L294)</f>
        <v>28070</v>
      </c>
    </row>
    <row r="296" spans="1:14" ht="13.5" thickTop="1" x14ac:dyDescent="0.2">
      <c r="A296" s="2285" t="s">
        <v>989</v>
      </c>
      <c r="B296" s="2286"/>
      <c r="C296" s="1673"/>
      <c r="D296" s="1675"/>
      <c r="E296" s="1673"/>
      <c r="F296" s="1673"/>
      <c r="G296" s="1673"/>
      <c r="H296" s="1707"/>
      <c r="I296" s="1673"/>
      <c r="J296" s="1673"/>
      <c r="K296" s="1689">
        <f>'Revenues 9-14'!G268-'Expenditures 15-22'!K295</f>
        <v>-532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5" t="s">
        <v>142</v>
      </c>
      <c r="B298" s="228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00" t="s">
        <v>275</v>
      </c>
      <c r="B312" s="230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96" t="s">
        <v>989</v>
      </c>
      <c r="B313" s="2297"/>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9" t="s">
        <v>148</v>
      </c>
      <c r="B315" s="231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11" t="s">
        <v>892</v>
      </c>
      <c r="B317" s="231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98" t="s">
        <v>989</v>
      </c>
      <c r="B343" s="2299"/>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8" t="s">
        <v>960</v>
      </c>
      <c r="B345" s="228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5" t="s">
        <v>989</v>
      </c>
      <c r="B368" s="2286"/>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2"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3"/>
      <c r="B3" s="1294"/>
      <c r="C3" s="1295"/>
      <c r="D3" s="1296" t="s">
        <v>254</v>
      </c>
      <c r="E3" s="1295"/>
      <c r="F3" s="1296" t="s">
        <v>255</v>
      </c>
    </row>
    <row r="4" spans="1:8" ht="13.7" customHeight="1" x14ac:dyDescent="0.2">
      <c r="A4" s="579" t="s">
        <v>1145</v>
      </c>
      <c r="B4" s="1721">
        <f>'Revenues 9-14'!C5</f>
        <v>389225</v>
      </c>
      <c r="C4" s="1722"/>
      <c r="D4" s="1723">
        <f>B4-C4</f>
        <v>389225</v>
      </c>
      <c r="E4" s="1722">
        <v>398400</v>
      </c>
      <c r="F4" s="1723">
        <f>E4-C4</f>
        <v>398400</v>
      </c>
    </row>
    <row r="5" spans="1:8" ht="13.7" customHeight="1" x14ac:dyDescent="0.2">
      <c r="A5" s="579" t="s">
        <v>865</v>
      </c>
      <c r="B5" s="1724">
        <f>'Revenues 9-14'!D5</f>
        <v>35628</v>
      </c>
      <c r="C5" s="1664"/>
      <c r="D5" s="1725">
        <f t="shared" ref="D5:D18" si="0">B5-C5</f>
        <v>35628</v>
      </c>
      <c r="E5" s="1664">
        <v>36248</v>
      </c>
      <c r="F5" s="1725">
        <f>E5-C5</f>
        <v>36248</v>
      </c>
    </row>
    <row r="6" spans="1:8" ht="13.7" customHeight="1" x14ac:dyDescent="0.2">
      <c r="A6" s="579" t="s">
        <v>408</v>
      </c>
      <c r="B6" s="1724">
        <f>'Revenues 9-14'!E5</f>
        <v>0</v>
      </c>
      <c r="C6" s="1664"/>
      <c r="D6" s="1725">
        <f t="shared" si="0"/>
        <v>0</v>
      </c>
      <c r="E6" s="1664">
        <v>0</v>
      </c>
      <c r="F6" s="1725">
        <f t="shared" ref="F6:F18" si="1">E6-C6</f>
        <v>0</v>
      </c>
    </row>
    <row r="7" spans="1:8" ht="13.7" customHeight="1" x14ac:dyDescent="0.2">
      <c r="A7" s="579" t="s">
        <v>154</v>
      </c>
      <c r="B7" s="1724">
        <f>'Revenues 9-14'!F5</f>
        <v>21887</v>
      </c>
      <c r="C7" s="1664"/>
      <c r="D7" s="1725">
        <f t="shared" si="0"/>
        <v>21887</v>
      </c>
      <c r="E7" s="1664">
        <v>22267</v>
      </c>
      <c r="F7" s="1725">
        <f t="shared" si="1"/>
        <v>22267</v>
      </c>
    </row>
    <row r="8" spans="1:8" ht="13.7" customHeight="1" x14ac:dyDescent="0.2">
      <c r="A8" s="579" t="s">
        <v>1169</v>
      </c>
      <c r="B8" s="1724">
        <f>'Revenues 9-14'!G5</f>
        <v>9613</v>
      </c>
      <c r="C8" s="1664"/>
      <c r="D8" s="1725">
        <f t="shared" si="0"/>
        <v>9613</v>
      </c>
      <c r="E8" s="1664">
        <v>9780</v>
      </c>
      <c r="F8" s="1725">
        <f t="shared" si="1"/>
        <v>9780</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5092</v>
      </c>
      <c r="C10" s="1664"/>
      <c r="D10" s="1725">
        <f t="shared" si="0"/>
        <v>5092</v>
      </c>
      <c r="E10" s="1664">
        <v>5182</v>
      </c>
      <c r="F10" s="1725">
        <f t="shared" si="1"/>
        <v>5182</v>
      </c>
    </row>
    <row r="11" spans="1:8" x14ac:dyDescent="0.2">
      <c r="A11" s="579" t="s">
        <v>406</v>
      </c>
      <c r="B11" s="1724">
        <f>'Revenues 9-14'!J5</f>
        <v>0</v>
      </c>
      <c r="C11" s="1664"/>
      <c r="D11" s="1725">
        <f t="shared" si="0"/>
        <v>0</v>
      </c>
      <c r="E11" s="1664">
        <v>0</v>
      </c>
      <c r="F11" s="1725">
        <f t="shared" si="1"/>
        <v>0</v>
      </c>
    </row>
    <row r="12" spans="1:8" ht="13.7" customHeight="1" x14ac:dyDescent="0.2">
      <c r="A12" s="579" t="s">
        <v>156</v>
      </c>
      <c r="B12" s="1724">
        <f>'Revenues 9-14'!K5</f>
        <v>0</v>
      </c>
      <c r="C12" s="1664"/>
      <c r="D12" s="1725">
        <f t="shared" si="0"/>
        <v>0</v>
      </c>
      <c r="E12" s="1664">
        <v>0</v>
      </c>
      <c r="F12" s="1725">
        <f t="shared" si="1"/>
        <v>0</v>
      </c>
    </row>
    <row r="13" spans="1:8" ht="13.7" customHeight="1" x14ac:dyDescent="0.2">
      <c r="A13" s="579" t="s">
        <v>930</v>
      </c>
      <c r="B13" s="1724">
        <f>SUM('Revenues 9-14'!C6:D6)</f>
        <v>0</v>
      </c>
      <c r="C13" s="1664"/>
      <c r="D13" s="1725">
        <f t="shared" si="0"/>
        <v>0</v>
      </c>
      <c r="E13" s="1664">
        <v>0</v>
      </c>
      <c r="F13" s="1725">
        <f t="shared" si="1"/>
        <v>0</v>
      </c>
    </row>
    <row r="14" spans="1:8" ht="13.7" customHeight="1" x14ac:dyDescent="0.2">
      <c r="A14" s="579" t="s">
        <v>407</v>
      </c>
      <c r="B14" s="1724">
        <f>SUM('Revenues 9-14'!C7:D7,'Revenues 9-14'!F7:H7)</f>
        <v>2549</v>
      </c>
      <c r="C14" s="1664"/>
      <c r="D14" s="1725">
        <f t="shared" si="0"/>
        <v>2549</v>
      </c>
      <c r="E14" s="1664">
        <v>2592</v>
      </c>
      <c r="F14" s="1725">
        <f t="shared" si="1"/>
        <v>2592</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14419</v>
      </c>
      <c r="C16" s="1664"/>
      <c r="D16" s="1725">
        <f t="shared" si="0"/>
        <v>14419</v>
      </c>
      <c r="E16" s="1664">
        <v>14667</v>
      </c>
      <c r="F16" s="1725">
        <f t="shared" si="1"/>
        <v>14667</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478413</v>
      </c>
      <c r="C19" s="1726">
        <f>SUM(C4:C18)</f>
        <v>0</v>
      </c>
      <c r="D19" s="1726">
        <f>SUM(D4:D18)</f>
        <v>478413</v>
      </c>
      <c r="E19" s="1726">
        <f>SUM(E4:E18)</f>
        <v>489136</v>
      </c>
      <c r="F19" s="1726">
        <f>SUM(F4:F18)</f>
        <v>489136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4" t="s">
        <v>625</v>
      </c>
      <c r="B1" s="2332"/>
      <c r="C1" s="585"/>
    </row>
    <row r="2" spans="1:7" ht="33.75" x14ac:dyDescent="0.2">
      <c r="A2" s="2339" t="s">
        <v>1779</v>
      </c>
      <c r="B2" s="234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41" t="s">
        <v>1104</v>
      </c>
      <c r="B3" s="2342"/>
      <c r="C3" s="2335"/>
      <c r="D3" s="2336"/>
      <c r="E3" s="2336"/>
      <c r="F3" s="2337"/>
    </row>
    <row r="4" spans="1:7" ht="12.75" customHeight="1" thickBot="1" x14ac:dyDescent="0.25">
      <c r="A4" s="2329" t="s">
        <v>626</v>
      </c>
      <c r="B4" s="2330"/>
      <c r="C4" s="1656"/>
      <c r="D4" s="1656"/>
      <c r="E4" s="1656"/>
      <c r="F4" s="1732">
        <f>SUM(C4+D4)-E4</f>
        <v>0</v>
      </c>
    </row>
    <row r="5" spans="1:7" ht="15.75" customHeight="1" thickTop="1" x14ac:dyDescent="0.2">
      <c r="A5" s="2333" t="s">
        <v>1101</v>
      </c>
      <c r="B5" s="2328"/>
      <c r="C5" s="2322"/>
      <c r="D5" s="2323"/>
      <c r="E5" s="2323"/>
      <c r="F5" s="232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25" t="s">
        <v>627</v>
      </c>
      <c r="B15" s="2326"/>
      <c r="C15" s="1732">
        <f>SUM(C6:C14)</f>
        <v>0</v>
      </c>
      <c r="D15" s="1732">
        <f>SUM(D6:D14)</f>
        <v>0</v>
      </c>
      <c r="E15" s="1732">
        <f>SUM(E6:E14)</f>
        <v>0</v>
      </c>
      <c r="F15" s="1732">
        <f>SUM(F6:F14)</f>
        <v>0</v>
      </c>
      <c r="G15" s="473"/>
    </row>
    <row r="16" spans="1:7" s="197" customFormat="1" ht="15.75" customHeight="1" thickTop="1" x14ac:dyDescent="0.2">
      <c r="A16" s="2338" t="s">
        <v>1102</v>
      </c>
      <c r="B16" s="2328"/>
      <c r="C16" s="2322"/>
      <c r="D16" s="2323"/>
      <c r="E16" s="2323"/>
      <c r="F16" s="2324"/>
    </row>
    <row r="17" spans="1:11" ht="12.75" customHeight="1" thickBot="1" x14ac:dyDescent="0.25">
      <c r="A17" s="2320" t="s">
        <v>64</v>
      </c>
      <c r="B17" s="2321"/>
      <c r="C17" s="1733"/>
      <c r="D17" s="1664"/>
      <c r="E17" s="1733"/>
      <c r="F17" s="1732">
        <f>SUM(C17+D17)-E17</f>
        <v>0</v>
      </c>
    </row>
    <row r="18" spans="1:11" ht="12.75" customHeight="1" thickTop="1" thickBot="1" x14ac:dyDescent="0.25">
      <c r="A18" s="2320" t="s">
        <v>6</v>
      </c>
      <c r="B18" s="2321"/>
      <c r="C18" s="1733"/>
      <c r="D18" s="1664"/>
      <c r="E18" s="1733"/>
      <c r="F18" s="1732">
        <f>SUM(C18+D18)-E18</f>
        <v>0</v>
      </c>
    </row>
    <row r="19" spans="1:11" ht="12.75" customHeight="1" thickTop="1" thickBot="1" x14ac:dyDescent="0.25">
      <c r="A19" s="2320" t="s">
        <v>385</v>
      </c>
      <c r="B19" s="2321"/>
      <c r="C19" s="1733"/>
      <c r="D19" s="1664"/>
      <c r="E19" s="1733"/>
      <c r="F19" s="1732">
        <f>SUM(C19+D19)-E19</f>
        <v>0</v>
      </c>
    </row>
    <row r="20" spans="1:11" ht="12.75" customHeight="1" thickTop="1" thickBot="1" x14ac:dyDescent="0.25">
      <c r="A20" s="2320" t="s">
        <v>445</v>
      </c>
      <c r="B20" s="2321"/>
      <c r="C20" s="1733"/>
      <c r="D20" s="1664"/>
      <c r="E20" s="1733"/>
      <c r="F20" s="1732">
        <f>SUM(C20+D20)-E20</f>
        <v>0</v>
      </c>
    </row>
    <row r="21" spans="1:11" ht="14.25" thickTop="1" thickBot="1" x14ac:dyDescent="0.25">
      <c r="A21" s="2325" t="s">
        <v>628</v>
      </c>
      <c r="B21" s="2326"/>
      <c r="C21" s="1732">
        <f>SUM(C17:C20)</f>
        <v>0</v>
      </c>
      <c r="D21" s="1732">
        <f>SUM(D17:D20)</f>
        <v>0</v>
      </c>
      <c r="E21" s="1732">
        <f>SUM(E17:E20)</f>
        <v>0</v>
      </c>
      <c r="F21" s="1732">
        <f>SUM(F17:F20)</f>
        <v>0</v>
      </c>
      <c r="G21" s="473"/>
    </row>
    <row r="22" spans="1:11" ht="15.75" customHeight="1" thickTop="1" x14ac:dyDescent="0.2">
      <c r="A22" s="2327" t="s">
        <v>1103</v>
      </c>
      <c r="B22" s="2328"/>
      <c r="C22" s="2322"/>
      <c r="D22" s="2323"/>
      <c r="E22" s="2323"/>
      <c r="F22" s="2324"/>
    </row>
    <row r="23" spans="1:11" ht="13.5" thickBot="1" x14ac:dyDescent="0.25">
      <c r="A23" s="2329" t="s">
        <v>629</v>
      </c>
      <c r="B23" s="2330"/>
      <c r="C23" s="1656"/>
      <c r="D23" s="1656"/>
      <c r="E23" s="1656"/>
      <c r="F23" s="1732">
        <f>SUM(C23+D23)-E23</f>
        <v>0</v>
      </c>
      <c r="G23" s="473"/>
    </row>
    <row r="24" spans="1:11" ht="15.75" customHeight="1" thickTop="1" x14ac:dyDescent="0.2">
      <c r="A24" s="2327" t="s">
        <v>2006</v>
      </c>
      <c r="B24" s="2328"/>
      <c r="C24" s="2322"/>
      <c r="D24" s="2323"/>
      <c r="E24" s="2323"/>
      <c r="F24" s="2324"/>
    </row>
    <row r="25" spans="1:11" ht="13.5" thickBot="1" x14ac:dyDescent="0.25">
      <c r="A25" s="2329" t="s">
        <v>2007</v>
      </c>
      <c r="B25" s="2330"/>
      <c r="C25" s="1656"/>
      <c r="D25" s="1656"/>
      <c r="E25" s="1656"/>
      <c r="F25" s="1732">
        <f>SUM(C25+D25)-E25</f>
        <v>0</v>
      </c>
      <c r="G25" s="473"/>
    </row>
    <row r="26" spans="1:11" ht="15.75" customHeight="1" thickTop="1" x14ac:dyDescent="0.2">
      <c r="A26" s="2333" t="s">
        <v>652</v>
      </c>
      <c r="B26" s="2328"/>
      <c r="C26" s="589"/>
      <c r="D26" s="589"/>
      <c r="E26" s="589"/>
      <c r="F26" s="590"/>
    </row>
    <row r="27" spans="1:11" ht="13.5" thickBot="1" x14ac:dyDescent="0.25">
      <c r="A27" s="2325" t="s">
        <v>1061</v>
      </c>
      <c r="B27" s="2326"/>
      <c r="C27" s="1664"/>
      <c r="D27" s="1664"/>
      <c r="E27" s="1664"/>
      <c r="F27" s="1732">
        <f>SUM(C27+D27)-E27</f>
        <v>0</v>
      </c>
      <c r="G27" s="473"/>
    </row>
    <row r="28" spans="1:11" ht="7.5" customHeight="1" thickTop="1" x14ac:dyDescent="0.2">
      <c r="A28" s="489"/>
    </row>
    <row r="29" spans="1:11" ht="23.25" customHeight="1" x14ac:dyDescent="0.2">
      <c r="A29" s="2331" t="s">
        <v>578</v>
      </c>
      <c r="B29" s="2332"/>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4" t="s">
        <v>580</v>
      </c>
      <c r="C52" s="2315"/>
      <c r="D52" s="2315"/>
      <c r="E52" s="603" t="s">
        <v>840</v>
      </c>
      <c r="F52" s="2316"/>
      <c r="G52" s="2317"/>
      <c r="H52" s="596"/>
      <c r="I52" s="596"/>
      <c r="J52" s="600"/>
    </row>
    <row r="53" spans="1:11" ht="11.25" customHeight="1" x14ac:dyDescent="0.2">
      <c r="A53" s="604" t="s">
        <v>907</v>
      </c>
      <c r="B53" s="605" t="s">
        <v>945</v>
      </c>
      <c r="C53" s="600"/>
      <c r="D53" s="597"/>
      <c r="E53" s="603" t="s">
        <v>494</v>
      </c>
      <c r="F53" s="2318"/>
      <c r="G53" s="2319"/>
      <c r="H53" s="596"/>
      <c r="I53" s="596"/>
      <c r="J53" s="600"/>
    </row>
    <row r="54" spans="1:11" ht="11.25" customHeight="1" x14ac:dyDescent="0.2">
      <c r="A54" s="606" t="s">
        <v>908</v>
      </c>
      <c r="B54" s="601" t="s">
        <v>946</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851</v>
      </c>
      <c r="B1" s="2344"/>
      <c r="C1" s="2344"/>
      <c r="D1" s="2344"/>
      <c r="E1" s="2344"/>
      <c r="F1" s="2344"/>
      <c r="G1" s="2345"/>
      <c r="H1" s="1298"/>
      <c r="I1" s="614"/>
      <c r="J1" s="400"/>
    </row>
    <row r="2" spans="1:11" ht="26.25" x14ac:dyDescent="0.2">
      <c r="A2" s="2362" t="s">
        <v>1658</v>
      </c>
      <c r="B2" s="2363"/>
      <c r="C2" s="2363"/>
      <c r="D2" s="2363"/>
      <c r="E2" s="2364"/>
      <c r="F2" s="615" t="s">
        <v>898</v>
      </c>
      <c r="G2" s="616" t="s">
        <v>1655</v>
      </c>
      <c r="H2" s="616" t="s">
        <v>407</v>
      </c>
      <c r="I2" s="616" t="s">
        <v>1148</v>
      </c>
      <c r="J2" s="616" t="s">
        <v>1789</v>
      </c>
      <c r="K2" s="616" t="s">
        <v>137</v>
      </c>
    </row>
    <row r="3" spans="1:11" x14ac:dyDescent="0.2">
      <c r="A3" s="2365" t="str">
        <f>"Cash Basis Fund Balance as of July 1, "&amp;'AFR20'!E2-1</f>
        <v>Cash Basis Fund Balance as of July 1, 2019</v>
      </c>
      <c r="B3" s="2366"/>
      <c r="C3" s="2366"/>
      <c r="D3" s="2366"/>
      <c r="E3" s="2367"/>
      <c r="F3" s="617"/>
      <c r="G3" s="1744"/>
      <c r="H3" s="1744"/>
      <c r="I3" s="1744"/>
      <c r="J3" s="1745"/>
      <c r="K3" s="1745"/>
    </row>
    <row r="4" spans="1:11" x14ac:dyDescent="0.2">
      <c r="A4" s="2368" t="s">
        <v>366</v>
      </c>
      <c r="B4" s="2369"/>
      <c r="C4" s="2369"/>
      <c r="D4" s="2369"/>
      <c r="E4" s="2315"/>
      <c r="F4" s="620"/>
      <c r="G4" s="1746"/>
      <c r="H4" s="1747"/>
      <c r="I4" s="1746"/>
      <c r="J4" s="1748"/>
      <c r="K4" s="1748"/>
    </row>
    <row r="5" spans="1:11" x14ac:dyDescent="0.2">
      <c r="A5" s="2346" t="s">
        <v>1060</v>
      </c>
      <c r="B5" s="2347"/>
      <c r="C5" s="2347"/>
      <c r="D5" s="2347"/>
      <c r="E5" s="2348"/>
      <c r="F5" s="622" t="s">
        <v>843</v>
      </c>
      <c r="G5" s="1749"/>
      <c r="H5" s="1744">
        <v>2549</v>
      </c>
      <c r="I5" s="1750"/>
      <c r="J5" s="1751"/>
      <c r="K5" s="1751"/>
    </row>
    <row r="6" spans="1:11" x14ac:dyDescent="0.2">
      <c r="A6" s="625" t="s">
        <v>715</v>
      </c>
      <c r="B6" s="626"/>
      <c r="C6" s="626"/>
      <c r="D6" s="626"/>
      <c r="E6" s="627"/>
      <c r="F6" s="628" t="s">
        <v>844</v>
      </c>
      <c r="G6" s="1744"/>
      <c r="H6" s="1744">
        <v>4</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6" t="s">
        <v>1790</v>
      </c>
      <c r="B10" s="2347"/>
      <c r="C10" s="2347"/>
      <c r="D10" s="2347"/>
      <c r="E10" s="2349"/>
      <c r="F10" s="633" t="s">
        <v>857</v>
      </c>
      <c r="G10" s="1753"/>
      <c r="H10" s="1754"/>
      <c r="I10" s="1744"/>
      <c r="J10" s="1745"/>
      <c r="K10" s="1745"/>
    </row>
    <row r="11" spans="1:11" x14ac:dyDescent="0.2">
      <c r="A11" s="2346" t="s">
        <v>159</v>
      </c>
      <c r="B11" s="2347"/>
      <c r="C11" s="2347"/>
      <c r="D11" s="2347"/>
      <c r="E11" s="2348"/>
      <c r="F11" s="622" t="s">
        <v>847</v>
      </c>
      <c r="G11" s="1749"/>
      <c r="H11" s="1744"/>
      <c r="I11" s="1744"/>
      <c r="J11" s="1745"/>
      <c r="K11" s="1751"/>
    </row>
    <row r="12" spans="1:11" ht="13.5" thickBot="1" x14ac:dyDescent="0.25">
      <c r="A12" s="2373" t="s">
        <v>899</v>
      </c>
      <c r="B12" s="2374"/>
      <c r="C12" s="2374"/>
      <c r="D12" s="2374"/>
      <c r="E12" s="2375"/>
      <c r="F12" s="1433"/>
      <c r="G12" s="1755">
        <f>SUM(G5:G11)</f>
        <v>0</v>
      </c>
      <c r="H12" s="1755">
        <f>SUM(H5:H11)</f>
        <v>2553</v>
      </c>
      <c r="I12" s="1755">
        <f>SUM(I5:I11)</f>
        <v>0</v>
      </c>
      <c r="J12" s="1755">
        <f>SUM(J5:J11)</f>
        <v>0</v>
      </c>
      <c r="K12" s="1755">
        <f>SUM(K5:K11)</f>
        <v>0</v>
      </c>
    </row>
    <row r="13" spans="1:11" ht="13.5" thickTop="1" x14ac:dyDescent="0.2">
      <c r="A13" s="2370" t="s">
        <v>367</v>
      </c>
      <c r="B13" s="2371"/>
      <c r="C13" s="2371"/>
      <c r="D13" s="2371"/>
      <c r="E13" s="2372"/>
      <c r="F13" s="634"/>
      <c r="G13" s="1756"/>
      <c r="H13" s="1757"/>
      <c r="I13" s="1758"/>
      <c r="J13" s="1758"/>
      <c r="K13" s="1758"/>
    </row>
    <row r="14" spans="1:11" x14ac:dyDescent="0.2">
      <c r="A14" s="2353" t="s">
        <v>453</v>
      </c>
      <c r="B14" s="2353"/>
      <c r="C14" s="2353"/>
      <c r="D14" s="2353"/>
      <c r="E14" s="2354"/>
      <c r="F14" s="635" t="s">
        <v>849</v>
      </c>
      <c r="G14" s="1753"/>
      <c r="H14" s="1744"/>
      <c r="I14" s="1749"/>
      <c r="J14" s="1751"/>
      <c r="K14" s="1745"/>
    </row>
    <row r="15" spans="1:11" x14ac:dyDescent="0.2">
      <c r="A15" s="2347" t="s">
        <v>4</v>
      </c>
      <c r="B15" s="2347"/>
      <c r="C15" s="2347"/>
      <c r="D15" s="2347"/>
      <c r="E15" s="2348"/>
      <c r="F15" s="635" t="s">
        <v>850</v>
      </c>
      <c r="G15" s="1749"/>
      <c r="H15" s="1744"/>
      <c r="I15" s="1744"/>
      <c r="J15" s="1745"/>
      <c r="K15" s="1745"/>
    </row>
    <row r="16" spans="1:11" x14ac:dyDescent="0.2">
      <c r="A16" s="2347" t="s">
        <v>295</v>
      </c>
      <c r="B16" s="2347"/>
      <c r="C16" s="2347"/>
      <c r="D16" s="2347"/>
      <c r="E16" s="2348"/>
      <c r="F16" s="635" t="s">
        <v>917</v>
      </c>
      <c r="G16" s="1750"/>
      <c r="H16" s="1746"/>
      <c r="I16" s="1746"/>
      <c r="J16" s="1748"/>
      <c r="K16" s="1748"/>
    </row>
    <row r="17" spans="1:15" x14ac:dyDescent="0.2">
      <c r="A17" s="2380" t="s">
        <v>929</v>
      </c>
      <c r="B17" s="2380"/>
      <c r="C17" s="2380"/>
      <c r="D17" s="2380"/>
      <c r="E17" s="2381"/>
      <c r="F17" s="636"/>
      <c r="G17" s="1759"/>
      <c r="H17" s="1760"/>
      <c r="I17" s="1760"/>
      <c r="J17" s="1761"/>
      <c r="K17" s="1762"/>
    </row>
    <row r="18" spans="1:15" x14ac:dyDescent="0.2">
      <c r="A18" s="2357" t="s">
        <v>365</v>
      </c>
      <c r="B18" s="2358"/>
      <c r="C18" s="2358"/>
      <c r="D18" s="2358"/>
      <c r="E18" s="2359"/>
      <c r="F18" s="635" t="s">
        <v>926</v>
      </c>
      <c r="G18" s="1753"/>
      <c r="H18" s="1753"/>
      <c r="I18" s="1753"/>
      <c r="J18" s="1745"/>
      <c r="K18" s="1763"/>
    </row>
    <row r="19" spans="1:15" ht="21.75" customHeight="1" x14ac:dyDescent="0.2">
      <c r="A19" s="2355" t="s">
        <v>1786</v>
      </c>
      <c r="B19" s="2355"/>
      <c r="C19" s="2355"/>
      <c r="D19" s="2355"/>
      <c r="E19" s="2356"/>
      <c r="F19" s="635" t="s">
        <v>927</v>
      </c>
      <c r="G19" s="1753"/>
      <c r="H19" s="1753"/>
      <c r="I19" s="1753"/>
      <c r="J19" s="1745"/>
      <c r="K19" s="1763"/>
    </row>
    <row r="20" spans="1:15" x14ac:dyDescent="0.2">
      <c r="A20" s="2357" t="s">
        <v>1791</v>
      </c>
      <c r="B20" s="2358"/>
      <c r="C20" s="2358"/>
      <c r="D20" s="2358"/>
      <c r="E20" s="2359"/>
      <c r="F20" s="635" t="s">
        <v>928</v>
      </c>
      <c r="G20" s="1753"/>
      <c r="H20" s="1753"/>
      <c r="I20" s="1753"/>
      <c r="J20" s="1745"/>
      <c r="K20" s="1763"/>
    </row>
    <row r="21" spans="1:15" ht="13.5" thickBot="1" x14ac:dyDescent="0.25">
      <c r="A21" s="2376" t="s">
        <v>633</v>
      </c>
      <c r="B21" s="2376"/>
      <c r="C21" s="2376"/>
      <c r="D21" s="2376"/>
      <c r="E21" s="2376"/>
      <c r="F21" s="1434"/>
      <c r="G21" s="1760"/>
      <c r="H21" s="1764"/>
      <c r="I21" s="1764"/>
      <c r="J21" s="1765">
        <f>SUM(J18:J20)</f>
        <v>0</v>
      </c>
      <c r="K21" s="1761"/>
    </row>
    <row r="22" spans="1:15" ht="13.5" thickTop="1" x14ac:dyDescent="0.2">
      <c r="A22" s="2347" t="s">
        <v>1792</v>
      </c>
      <c r="B22" s="2347"/>
      <c r="C22" s="2347"/>
      <c r="D22" s="2347"/>
      <c r="E22" s="2348"/>
      <c r="F22" s="635" t="s">
        <v>857</v>
      </c>
      <c r="G22" s="1753"/>
      <c r="H22" s="1744"/>
      <c r="I22" s="1744"/>
      <c r="J22" s="1766"/>
      <c r="K22" s="1745"/>
    </row>
    <row r="23" spans="1:15" ht="13.5" thickBot="1" x14ac:dyDescent="0.25">
      <c r="A23" s="2377" t="s">
        <v>900</v>
      </c>
      <c r="B23" s="2376"/>
      <c r="C23" s="2376"/>
      <c r="D23" s="2376"/>
      <c r="E23" s="2376"/>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78" t="str">
        <f>"Ending Cash Basis Fund Balance as of June 30, "&amp;'AFR20'!E2</f>
        <v>Ending Cash Basis Fund Balance as of June 30, 2020</v>
      </c>
      <c r="B24" s="2379"/>
      <c r="C24" s="2379"/>
      <c r="D24" s="2379"/>
      <c r="E24" s="2379"/>
      <c r="F24" s="1437"/>
      <c r="G24" s="1767">
        <f>SUM(G3,G12)-G23</f>
        <v>0</v>
      </c>
      <c r="H24" s="1767">
        <f>SUM(H3,H12)-H23</f>
        <v>2553</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2553</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1159</v>
      </c>
      <c r="B33" s="341"/>
      <c r="C33" s="341"/>
      <c r="D33" s="341"/>
      <c r="E33" s="341"/>
      <c r="F33" s="341"/>
      <c r="G33" s="653"/>
      <c r="H33" s="2352"/>
      <c r="I33" s="2351"/>
      <c r="J33" s="2351"/>
      <c r="K33" s="235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7" t="s">
        <v>538</v>
      </c>
      <c r="B41" s="2360"/>
      <c r="C41" s="2360"/>
      <c r="D41" s="2360"/>
      <c r="E41" s="2360"/>
      <c r="F41" s="236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zoomScaleSheetLayoutView="9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4" t="s">
        <v>1875</v>
      </c>
      <c r="B1" s="2385"/>
      <c r="C1" s="2386"/>
      <c r="D1" s="666"/>
      <c r="E1" s="667"/>
      <c r="F1" s="667"/>
      <c r="G1" s="668"/>
      <c r="H1" s="669"/>
      <c r="I1" s="670"/>
      <c r="J1" s="2382"/>
      <c r="K1" s="2383"/>
      <c r="L1" s="2383"/>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1284</v>
      </c>
      <c r="D5" s="1770"/>
      <c r="E5" s="1770"/>
      <c r="F5" s="1765">
        <f>(C5+D5)-E5</f>
        <v>1284</v>
      </c>
      <c r="G5" s="676"/>
      <c r="H5" s="680"/>
      <c r="I5" s="680"/>
      <c r="J5" s="680"/>
      <c r="K5" s="637"/>
      <c r="L5" s="1442">
        <f>F5-K5</f>
        <v>1284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453536</v>
      </c>
      <c r="D8" s="1771"/>
      <c r="E8" s="1771"/>
      <c r="F8" s="1765">
        <f>(C8+D8)-E8</f>
        <v>453536</v>
      </c>
      <c r="G8" s="681">
        <v>50</v>
      </c>
      <c r="H8" s="619">
        <v>362223</v>
      </c>
      <c r="I8" s="619">
        <v>7488</v>
      </c>
      <c r="J8" s="619"/>
      <c r="K8" s="1442">
        <f>(H8+I8)-J8</f>
        <v>369711</v>
      </c>
      <c r="L8" s="1442">
        <f>F8-K8</f>
        <v>83825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1439</v>
      </c>
      <c r="D10" s="1772"/>
      <c r="E10" s="1772"/>
      <c r="F10" s="1773">
        <f>(C10+D10)-E10</f>
        <v>1439</v>
      </c>
      <c r="G10" s="681">
        <v>20</v>
      </c>
      <c r="H10" s="683">
        <v>288</v>
      </c>
      <c r="I10" s="683">
        <v>72</v>
      </c>
      <c r="J10" s="683"/>
      <c r="K10" s="1442">
        <f>(H10+I10)-J10</f>
        <v>360</v>
      </c>
      <c r="L10" s="1442">
        <f>F10-K10</f>
        <v>1079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74169</v>
      </c>
      <c r="D12" s="1771">
        <v>141</v>
      </c>
      <c r="E12" s="1771">
        <v>14748</v>
      </c>
      <c r="F12" s="1765">
        <f>(C12+D12)-E12</f>
        <v>59562</v>
      </c>
      <c r="G12" s="681">
        <v>10</v>
      </c>
      <c r="H12" s="619">
        <v>39459</v>
      </c>
      <c r="I12" s="619">
        <v>5957</v>
      </c>
      <c r="J12" s="619">
        <v>14748</v>
      </c>
      <c r="K12" s="1442">
        <f>(H12+I12)-J12</f>
        <v>30668</v>
      </c>
      <c r="L12" s="1442">
        <f>F12-K12</f>
        <v>28894</v>
      </c>
    </row>
    <row r="13" spans="1:14" ht="14.25" thickTop="1" thickBot="1" x14ac:dyDescent="0.25">
      <c r="A13" s="684" t="s">
        <v>1112</v>
      </c>
      <c r="B13" s="679">
        <v>252</v>
      </c>
      <c r="C13" s="1771">
        <v>10568</v>
      </c>
      <c r="D13" s="1771"/>
      <c r="E13" s="1771"/>
      <c r="F13" s="1765">
        <f>(C13+D13)-E13</f>
        <v>10568</v>
      </c>
      <c r="G13" s="681">
        <v>5</v>
      </c>
      <c r="H13" s="619">
        <v>10568</v>
      </c>
      <c r="I13" s="619"/>
      <c r="J13" s="619"/>
      <c r="K13" s="1442">
        <f>(H13+I13)-J13</f>
        <v>10568</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540996</v>
      </c>
      <c r="D16" s="1765">
        <f>SUM(D3,D5:D6,D8:D10,D12:D15)</f>
        <v>141</v>
      </c>
      <c r="E16" s="1765">
        <f>SUM(E3,E5:E6,E8:E10,E12:E15)</f>
        <v>14748</v>
      </c>
      <c r="F16" s="1765">
        <f>SUM(F3,F5:F6,F8:F10,F12:F15)</f>
        <v>526389</v>
      </c>
      <c r="G16" s="681"/>
      <c r="H16" s="1435">
        <f>SUM(H3,H6,H8:H10,H12:H14,)</f>
        <v>412538</v>
      </c>
      <c r="I16" s="1435">
        <f>SUM(I3,I6,I8:I10,I12:I14,)</f>
        <v>13517</v>
      </c>
      <c r="J16" s="1435">
        <f>SUM(J3,J6,J8:J10,J12:J14,)</f>
        <v>14748</v>
      </c>
      <c r="K16" s="1435">
        <f>(H16+I16)-J16</f>
        <v>411307</v>
      </c>
      <c r="L16" s="1435">
        <f>F16-K16</f>
        <v>115082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13517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0" t="str">
        <f>"ESTIMATED OPERATING EXPENSE PER PUPIL (OEPP)/PER CAPITA TUITION CHARGE (PCTC) COMPUTATIONS ("&amp;'AFR20'!E2-1&amp;" - "&amp;'AFR20'!E2&amp;")"</f>
        <v>ESTIMATED OPERATING EXPENSE PER PUPIL (OEPP)/PER CAPITA TUITION CHARGE (PCTC) COMPUTATIONS (2019 - 2020)</v>
      </c>
      <c r="B1" s="2391"/>
      <c r="C1" s="2391"/>
      <c r="D1" s="2391"/>
      <c r="E1" s="2391"/>
      <c r="F1" s="2392"/>
      <c r="G1" s="691"/>
      <c r="I1" s="701"/>
    </row>
    <row r="2" spans="1:9" ht="15" customHeight="1" thickBot="1" x14ac:dyDescent="0.25">
      <c r="A2" s="2393" t="s">
        <v>474</v>
      </c>
      <c r="B2" s="2394"/>
      <c r="C2" s="2394"/>
      <c r="D2" s="2394"/>
      <c r="E2" s="2394"/>
      <c r="F2" s="239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6"/>
      <c r="B5" s="2397"/>
      <c r="C5" s="2397"/>
      <c r="D5" s="2397"/>
      <c r="E5" s="2397"/>
      <c r="F5" s="2397"/>
    </row>
    <row r="6" spans="1:9" ht="13.5" customHeight="1" thickBot="1" x14ac:dyDescent="0.25">
      <c r="A6" s="2387" t="s">
        <v>1095</v>
      </c>
      <c r="B6" s="2388"/>
      <c r="C6" s="2388"/>
      <c r="D6" s="2388"/>
      <c r="E6" s="2388"/>
      <c r="F6" s="238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664624</v>
      </c>
      <c r="G8" s="701"/>
    </row>
    <row r="9" spans="1:9" x14ac:dyDescent="0.2">
      <c r="A9" s="705" t="s">
        <v>457</v>
      </c>
      <c r="B9" s="706" t="s">
        <v>1848</v>
      </c>
      <c r="C9" s="707"/>
      <c r="D9" s="705" t="s">
        <v>498</v>
      </c>
      <c r="E9" s="704"/>
      <c r="F9" s="1775">
        <f>'Expenditures 15-22'!K151</f>
        <v>41971</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45040</v>
      </c>
      <c r="G11" s="708"/>
    </row>
    <row r="12" spans="1:9" x14ac:dyDescent="0.2">
      <c r="A12" s="705" t="s">
        <v>459</v>
      </c>
      <c r="B12" s="706" t="s">
        <v>1851</v>
      </c>
      <c r="C12" s="707"/>
      <c r="D12" s="705" t="s">
        <v>498</v>
      </c>
      <c r="E12" s="704"/>
      <c r="F12" s="1775">
        <f>'Expenditures 15-22'!K295</f>
        <v>27183</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778818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2640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106970</v>
      </c>
      <c r="G53" s="701"/>
    </row>
    <row r="54" spans="1:7" x14ac:dyDescent="0.2">
      <c r="A54" s="705" t="s">
        <v>456</v>
      </c>
      <c r="B54" s="705" t="s">
        <v>1459</v>
      </c>
      <c r="C54" s="724" t="s">
        <v>975</v>
      </c>
      <c r="D54" s="720" t="s">
        <v>1086</v>
      </c>
      <c r="E54" s="704"/>
      <c r="F54" s="1782">
        <f>'Expenditures 15-22'!G114</f>
        <v>141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109751</v>
      </c>
      <c r="G77" s="701"/>
    </row>
    <row r="78" spans="1:9" s="728" customFormat="1" ht="12" customHeight="1" thickTop="1" thickBot="1" x14ac:dyDescent="0.25">
      <c r="A78" s="1450"/>
      <c r="B78" s="1448"/>
      <c r="C78" s="1445"/>
      <c r="D78" s="1449" t="s">
        <v>2012</v>
      </c>
      <c r="E78" s="1447"/>
      <c r="F78" s="1788">
        <f>(F14-F77)</f>
        <v>669067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43.1</v>
      </c>
      <c r="G79" s="733"/>
      <c r="H79" s="705"/>
      <c r="I79" s="705"/>
    </row>
    <row r="80" spans="1:9" s="728" customFormat="1" ht="12" customHeight="1" thickBot="1" x14ac:dyDescent="0.25">
      <c r="A80" s="1452"/>
      <c r="B80" s="1448"/>
      <c r="C80" s="1445"/>
      <c r="D80" s="1449" t="s">
        <v>2013</v>
      </c>
      <c r="E80" s="1447" t="s">
        <v>952</v>
      </c>
      <c r="F80" s="1790">
        <f>IF(F79&gt;0,F78/F79," Complete Line 79")</f>
        <v>15523.596287703016</v>
      </c>
      <c r="G80" s="705"/>
    </row>
    <row r="81" spans="1:7" s="728" customFormat="1" ht="8.25" customHeight="1" thickTop="1" x14ac:dyDescent="0.2">
      <c r="A81" s="734"/>
      <c r="B81" s="705"/>
      <c r="C81" s="707"/>
      <c r="D81" s="735"/>
      <c r="E81" s="704"/>
      <c r="F81" s="1791"/>
      <c r="G81" s="705"/>
    </row>
    <row r="82" spans="1:7" s="728" customFormat="1" ht="12" thickBot="1" x14ac:dyDescent="0.25">
      <c r="A82" s="2387" t="s">
        <v>1096</v>
      </c>
      <c r="B82" s="2388"/>
      <c r="C82" s="2388"/>
      <c r="D82" s="2388"/>
      <c r="E82" s="2388"/>
      <c r="F82" s="238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6498</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1800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11</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236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52349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11391</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7059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35303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11798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879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450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16863.05</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144637.04999999999</v>
      </c>
    </row>
    <row r="176" spans="1:7" ht="12" customHeight="1" x14ac:dyDescent="0.2">
      <c r="A176" s="1443"/>
      <c r="B176" s="1453"/>
      <c r="C176" s="1454"/>
      <c r="D176" s="1455" t="s">
        <v>2014</v>
      </c>
      <c r="E176" s="1456"/>
      <c r="F176" s="1793">
        <f>'PCTC-OEPP 27-28'!F78-F175</f>
        <v>524429.94999999995</v>
      </c>
    </row>
    <row r="177" spans="1:9" ht="12" customHeight="1" x14ac:dyDescent="0.2">
      <c r="A177" s="1443"/>
      <c r="B177" s="1453"/>
      <c r="C177" s="1454"/>
      <c r="D177" s="1455" t="s">
        <v>1794</v>
      </c>
      <c r="E177" s="1456"/>
      <c r="F177" s="1793">
        <f>'Cap Outlay Deprec 26'!I18</f>
        <v>13517</v>
      </c>
    </row>
    <row r="178" spans="1:9" ht="12" customHeight="1" x14ac:dyDescent="0.2">
      <c r="A178" s="1443"/>
      <c r="B178" s="1453"/>
      <c r="C178" s="1454"/>
      <c r="D178" s="1455" t="s">
        <v>2015</v>
      </c>
      <c r="E178" s="1456"/>
      <c r="F178" s="1793">
        <f>F176+F177</f>
        <v>537946.94999999995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43.1</v>
      </c>
      <c r="G179" s="763"/>
      <c r="I179" s="701"/>
    </row>
    <row r="180" spans="1:9" ht="12" customHeight="1" thickBot="1" x14ac:dyDescent="0.25">
      <c r="A180" s="1443"/>
      <c r="B180" s="1457"/>
      <c r="C180" s="1454"/>
      <c r="D180" s="1455" t="s">
        <v>2017</v>
      </c>
      <c r="E180" s="1456" t="s">
        <v>1528</v>
      </c>
      <c r="F180" s="1798">
        <f>F178/F179</f>
        <v>12481.367749419953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01" t="s">
        <v>1795</v>
      </c>
      <c r="B4" s="2402"/>
      <c r="C4" s="2402"/>
      <c r="D4" s="2402"/>
      <c r="E4" s="2402"/>
      <c r="F4" s="2403"/>
    </row>
    <row r="5" spans="1:6" x14ac:dyDescent="0.25">
      <c r="A5" s="2404"/>
      <c r="B5" s="2405"/>
      <c r="C5" s="2405"/>
      <c r="D5" s="2405"/>
      <c r="E5" s="2405"/>
      <c r="F5" s="2406"/>
    </row>
    <row r="6" spans="1:6" ht="18.75" x14ac:dyDescent="0.25">
      <c r="A6" s="1867" t="s">
        <v>1796</v>
      </c>
      <c r="B6" s="1868"/>
      <c r="C6" s="1869"/>
      <c r="D6" s="1869"/>
      <c r="E6" s="1869"/>
      <c r="F6" s="1870"/>
    </row>
    <row r="7" spans="1:6" ht="47.25" customHeight="1" x14ac:dyDescent="0.25">
      <c r="A7" s="2407" t="s">
        <v>1985</v>
      </c>
      <c r="B7" s="2408"/>
      <c r="C7" s="2408"/>
      <c r="D7" s="2408"/>
      <c r="E7" s="2408"/>
      <c r="F7" s="2409"/>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10" t="s">
        <v>1981</v>
      </c>
      <c r="B10" s="2411"/>
      <c r="C10" s="2411"/>
      <c r="D10" s="2411"/>
      <c r="E10" s="2411"/>
      <c r="F10" s="2412"/>
    </row>
    <row r="11" spans="1:6" ht="33" customHeight="1" x14ac:dyDescent="0.25">
      <c r="A11" s="2407" t="s">
        <v>1986</v>
      </c>
      <c r="B11" s="2408"/>
      <c r="C11" s="2408"/>
      <c r="D11" s="2408"/>
      <c r="E11" s="2408"/>
      <c r="F11" s="2409"/>
    </row>
    <row r="12" spans="1:6" ht="15" customHeight="1" x14ac:dyDescent="0.25">
      <c r="A12" s="1873" t="s">
        <v>1982</v>
      </c>
      <c r="B12" s="1874"/>
      <c r="C12" s="1875"/>
      <c r="D12" s="1875"/>
      <c r="E12" s="1875"/>
      <c r="F12" s="1876"/>
    </row>
    <row r="13" spans="1:6" ht="17.25" customHeight="1" x14ac:dyDescent="0.25">
      <c r="A13" s="2407" t="s">
        <v>1983</v>
      </c>
      <c r="B13" s="2408"/>
      <c r="C13" s="2408"/>
      <c r="D13" s="2408"/>
      <c r="E13" s="2408"/>
      <c r="F13" s="2409"/>
    </row>
    <row r="14" spans="1:6" ht="15" customHeight="1" x14ac:dyDescent="0.25">
      <c r="A14" s="1873" t="s">
        <v>1800</v>
      </c>
      <c r="B14" s="1874"/>
      <c r="C14" s="1875"/>
      <c r="D14" s="1875"/>
      <c r="E14" s="1875"/>
      <c r="F14" s="1876"/>
    </row>
    <row r="15" spans="1:6" ht="32.25" customHeight="1" x14ac:dyDescent="0.25">
      <c r="A15" s="239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9"/>
      <c r="C15" s="2399"/>
      <c r="D15" s="2399"/>
      <c r="E15" s="2399"/>
      <c r="F15" s="2400"/>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60" t="s">
        <v>2106</v>
      </c>
      <c r="B18" s="1908"/>
      <c r="C18" s="2059"/>
      <c r="D18" s="1886"/>
      <c r="E18" s="1906">
        <f t="shared" ref="E18:E81" si="0">IF(D18&lt;25000,D18,"25,000")</f>
        <v>0</v>
      </c>
      <c r="F18" s="1906" t="str">
        <f t="shared" ref="F18:F81" si="1">IF(D18&gt;=25000,(D18-E18),"0")</f>
        <v>0</v>
      </c>
      <c r="G18" s="1887"/>
    </row>
    <row r="19" spans="1:7" x14ac:dyDescent="0.25">
      <c r="A19" s="2058"/>
      <c r="B19" s="1908"/>
      <c r="C19" s="2059"/>
      <c r="D19" s="1886"/>
      <c r="E19" s="1906">
        <f t="shared" si="0"/>
        <v>0</v>
      </c>
      <c r="F19" s="1906" t="str">
        <f t="shared" si="1"/>
        <v>0</v>
      </c>
    </row>
    <row r="20" spans="1:7" x14ac:dyDescent="0.25">
      <c r="A20" s="2058"/>
      <c r="B20" s="1908"/>
      <c r="C20" s="2059"/>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3" t="s">
        <v>1660</v>
      </c>
      <c r="B5" s="2414"/>
      <c r="C5" s="2414"/>
      <c r="D5" s="2414"/>
      <c r="E5" s="2414"/>
      <c r="F5" s="2414"/>
      <c r="G5" s="241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8948</v>
      </c>
      <c r="F10" s="805"/>
      <c r="G10" s="806"/>
      <c r="H10" s="157"/>
      <c r="I10" s="157"/>
    </row>
    <row r="11" spans="1:13" s="542" customFormat="1" ht="22.5" customHeight="1" x14ac:dyDescent="0.2">
      <c r="A11" s="241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9"/>
      <c r="C11" s="2419"/>
      <c r="D11" s="2420"/>
      <c r="E11" s="1801">
        <v>2649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343159</v>
      </c>
      <c r="F19" s="1802"/>
      <c r="G19" s="1804">
        <f>'Expenditures 15-22'!K33-SUM('Expenditures 15-22'!G33,'Expenditures 15-22'!I33)+'Expenditures 15-22'!D229</f>
        <v>343159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22513</v>
      </c>
      <c r="F21" s="1805"/>
      <c r="G21" s="1808">
        <f>'Expenditures 15-22'!K42-SUM('Expenditures 15-22'!G42,'Expenditures 15-22'!I42)+'Expenditures 15-22'!K120-SUM('Expenditures 15-22'!G120,'Expenditures 15-22'!I120)+'Expenditures 15-22'!K180-SUM('Expenditures 15-22'!G180,'Expenditures 15-22'!I180)+'Expenditures 15-22'!D238</f>
        <v>22513</v>
      </c>
      <c r="H21" s="817"/>
      <c r="I21" s="157"/>
    </row>
    <row r="22" spans="1:9" s="542" customFormat="1" ht="12" customHeight="1" x14ac:dyDescent="0.2">
      <c r="A22" s="824" t="s">
        <v>560</v>
      </c>
      <c r="B22" s="825"/>
      <c r="C22" s="823">
        <v>2200</v>
      </c>
      <c r="D22" s="1805"/>
      <c r="E22" s="1807">
        <f>'Expenditures 15-22'!K47-SUM('Expenditures 15-22'!G47,'Expenditures 15-22'!I47)+'Expenditures 15-22'!D243</f>
        <v>2209</v>
      </c>
      <c r="F22" s="1805"/>
      <c r="G22" s="1808">
        <f>'Expenditures 15-22'!K47-SUM('Expenditures 15-22'!G47,'Expenditures 15-22'!I47)+'Expenditures 15-22'!D243</f>
        <v>2209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75561</v>
      </c>
      <c r="F23" s="1805"/>
      <c r="G23" s="1807">
        <f>'Expenditures 15-22'!K53-SUM('Expenditures 15-22'!G53,'Expenditures 15-22'!I53)+'Expenditures 15-22'!D257+'Expenditures 15-22'!K330-SUM('Expenditures 15-22'!G330,'Expenditures 15-22'!I330)</f>
        <v>75561</v>
      </c>
      <c r="H23" s="817"/>
      <c r="I23" s="157"/>
    </row>
    <row r="24" spans="1:9" s="542" customFormat="1" ht="12" customHeight="1" x14ac:dyDescent="0.2">
      <c r="A24" s="824" t="s">
        <v>562</v>
      </c>
      <c r="B24" s="825"/>
      <c r="C24" s="823">
        <v>2400</v>
      </c>
      <c r="D24" s="1805"/>
      <c r="E24" s="1807">
        <f>'Expenditures 15-22'!K57-SUM('Expenditures 15-22'!G57,'Expenditures 15-22'!I57)+'Expenditures 15-22'!D261</f>
        <v>2832</v>
      </c>
      <c r="F24" s="1805"/>
      <c r="G24" s="1808">
        <f>'Expenditures 15-22'!K57-SUM('Expenditures 15-22'!G57,'Expenditures 15-22'!I57)+'Expenditures 15-22'!D261</f>
        <v>2832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55017</v>
      </c>
      <c r="E27" s="1807">
        <f>E8</f>
        <v>0</v>
      </c>
      <c r="F27" s="1807">
        <f>'Expenditures 15-22'!K60-SUM('Expenditures 15-22'!G60,'Expenditures 15-22'!I60)+'Expenditures 15-22'!D264-E8</f>
        <v>55017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87724</v>
      </c>
      <c r="F28" s="1809">
        <f>'Expenditures 15-22'!K61-SUM('Expenditures 15-22'!G61,'Expenditures 15-22'!I61)+'Expenditures 15-22'!K124-SUM('Expenditures 15-22'!G124,'Expenditures 15-22'!I124)+'Expenditures 15-22'!D266-E9</f>
        <v>87724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47843</v>
      </c>
      <c r="F29" s="1805"/>
      <c r="G29" s="1808">
        <f>'Expenditures 15-22'!K62-SUM('Expenditures 15-22'!G62,'Expenditures 15-22'!I62)+'Expenditures 15-22'!K125-SUM('Expenditures 15-22'!G125,'Expenditures 15-22'!I125)+'Expenditures 15-22'!K182-SUM('Expenditures 15-22'!G182,'Expenditures 15-22'!I182)+'Expenditures 15-22'!D267</f>
        <v>47843</v>
      </c>
      <c r="H29" s="815"/>
    </row>
    <row r="30" spans="1:9" ht="12" customHeight="1" x14ac:dyDescent="0.2">
      <c r="A30" s="824" t="s">
        <v>100</v>
      </c>
      <c r="B30" s="827"/>
      <c r="C30" s="823">
        <v>2560</v>
      </c>
      <c r="D30" s="1805"/>
      <c r="E30" s="1807">
        <f>'Expenditures 15-22'!K63-SUM('Expenditures 15-22'!G63,'Expenditures 15-22'!I63)+'Expenditures 15-22'!D268-E10</f>
        <v>25901</v>
      </c>
      <c r="F30" s="1805"/>
      <c r="G30" s="1807">
        <f>'Expenditures 15-22'!K63-SUM('Expenditures 15-22'!G63,'Expenditures 15-22'!I63)+'Expenditures 15-22'!D268-E10</f>
        <v>25901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55017</v>
      </c>
      <c r="E41" s="1809">
        <f>SUM(E19:E40)</f>
        <v>607742</v>
      </c>
      <c r="F41" s="1809">
        <f>SUM(F19:F39)</f>
        <v>142741</v>
      </c>
      <c r="G41" s="1809">
        <f>SUM(G19:G40)</f>
        <v>520018</v>
      </c>
    </row>
    <row r="42" spans="1:7" x14ac:dyDescent="0.2">
      <c r="A42" s="817"/>
      <c r="B42" s="157"/>
      <c r="C42" s="831"/>
      <c r="D42" s="2416" t="s">
        <v>519</v>
      </c>
      <c r="E42" s="2417"/>
      <c r="F42" s="832" t="s">
        <v>520</v>
      </c>
      <c r="G42" s="833"/>
    </row>
    <row r="43" spans="1:7" ht="12" customHeight="1" x14ac:dyDescent="0.2">
      <c r="A43" s="817"/>
      <c r="B43" s="157"/>
      <c r="C43" s="831"/>
      <c r="D43" s="1458" t="s">
        <v>470</v>
      </c>
      <c r="E43" s="1810">
        <f>D41</f>
        <v>55017</v>
      </c>
      <c r="F43" s="1458" t="s">
        <v>470</v>
      </c>
      <c r="G43" s="1810">
        <f>F41</f>
        <v>142741</v>
      </c>
    </row>
    <row r="44" spans="1:7" ht="12" customHeight="1" x14ac:dyDescent="0.2">
      <c r="A44" s="817"/>
      <c r="B44" s="157"/>
      <c r="C44" s="831"/>
      <c r="D44" s="1458" t="s">
        <v>471</v>
      </c>
      <c r="E44" s="1810">
        <f>E41</f>
        <v>607742</v>
      </c>
      <c r="F44" s="1458" t="s">
        <v>471</v>
      </c>
      <c r="G44" s="1810">
        <f>G41</f>
        <v>520018</v>
      </c>
    </row>
    <row r="45" spans="1:7" ht="12" customHeight="1" x14ac:dyDescent="0.2">
      <c r="A45" s="817"/>
      <c r="B45" s="157"/>
      <c r="C45" s="157"/>
      <c r="D45" s="1459" t="s">
        <v>999</v>
      </c>
      <c r="E45" s="1811">
        <f>(E43/E44)</f>
        <v>9.0526901217951039E-2</v>
      </c>
      <c r="F45" s="1459" t="s">
        <v>999</v>
      </c>
      <c r="G45" s="1811">
        <f>(G43/G44)</f>
        <v>0.27449242141618174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35" t="s">
        <v>1363</v>
      </c>
      <c r="B1" s="2435"/>
      <c r="C1" s="2435"/>
      <c r="D1" s="2435"/>
      <c r="E1" s="2435"/>
      <c r="F1" s="243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36" t="s">
        <v>1529</v>
      </c>
      <c r="B5" s="2437"/>
      <c r="C5" s="2438"/>
      <c r="D5" s="2438"/>
      <c r="E5" s="2438"/>
      <c r="F5" s="2438"/>
      <c r="G5" s="1507"/>
      <c r="L5" s="1507"/>
      <c r="M5" s="1855"/>
      <c r="N5" s="1855"/>
      <c r="O5" s="1855"/>
    </row>
    <row r="6" spans="1:15" ht="12" customHeight="1" x14ac:dyDescent="0.25">
      <c r="A6" s="1480"/>
      <c r="B6" s="1481"/>
      <c r="C6" s="2439" t="str">
        <f>COVER!A17</f>
        <v xml:space="preserve">   Spring Lake CCSD 606</v>
      </c>
      <c r="D6" s="2439"/>
      <c r="E6" s="2439"/>
      <c r="F6" s="1482"/>
      <c r="G6" s="1507"/>
      <c r="L6" s="1507"/>
      <c r="M6" s="1855"/>
      <c r="N6" s="1855"/>
      <c r="O6" s="1855"/>
    </row>
    <row r="7" spans="1:15" ht="11.25" customHeight="1" thickBot="1" x14ac:dyDescent="0.3">
      <c r="A7" s="1480"/>
      <c r="B7" s="1481"/>
      <c r="C7" s="2440">
        <f>COVER!A13</f>
        <v>53090606004</v>
      </c>
      <c r="D7" s="2440"/>
      <c r="E7" s="244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2051</v>
      </c>
      <c r="D11" s="1495" t="s">
        <v>2051</v>
      </c>
      <c r="E11" s="1496"/>
      <c r="F11" s="1497" t="s">
        <v>2094</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2095</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2051</v>
      </c>
      <c r="D15" s="1495" t="s">
        <v>2051</v>
      </c>
      <c r="E15" s="1498"/>
      <c r="F15" s="1497" t="s">
        <v>2096</v>
      </c>
      <c r="G15" s="1507"/>
      <c r="H15" s="1507">
        <f t="shared" si="0"/>
        <v>5</v>
      </c>
      <c r="I15" s="1507">
        <f t="shared" si="1"/>
        <v>5</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c r="F24" s="1497" t="s">
        <v>2097</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2098</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1497" t="s">
        <v>2099</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2100</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2051</v>
      </c>
      <c r="D32" s="1495" t="s">
        <v>2051</v>
      </c>
      <c r="E32" s="1498"/>
      <c r="F32" s="1497" t="s">
        <v>2100</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55"/>
      <c r="N34" s="1855"/>
      <c r="O34" s="1855"/>
    </row>
    <row r="35" spans="1:15" ht="12" customHeight="1" x14ac:dyDescent="0.2">
      <c r="A35" s="1500" t="s">
        <v>1376</v>
      </c>
      <c r="B35" s="1501"/>
      <c r="C35" s="2441"/>
      <c r="D35" s="2441"/>
      <c r="E35" s="2441"/>
      <c r="F35" s="2442"/>
    </row>
    <row r="36" spans="1:15" ht="12" customHeight="1" x14ac:dyDescent="0.2">
      <c r="A36" s="2424"/>
      <c r="B36" s="2425"/>
      <c r="C36" s="2425"/>
      <c r="D36" s="2425"/>
      <c r="E36" s="2425"/>
      <c r="F36" s="2426"/>
    </row>
    <row r="37" spans="1:15" ht="12" customHeight="1" x14ac:dyDescent="0.2">
      <c r="A37" s="2424"/>
      <c r="B37" s="2425"/>
      <c r="C37" s="2425"/>
      <c r="D37" s="2425"/>
      <c r="E37" s="2425"/>
      <c r="F37" s="2426"/>
    </row>
    <row r="38" spans="1:15" ht="12" customHeight="1" x14ac:dyDescent="0.2">
      <c r="A38" s="2427"/>
      <c r="B38" s="2428"/>
      <c r="C38" s="2428"/>
      <c r="D38" s="2428"/>
      <c r="E38" s="2428"/>
      <c r="F38" s="2429"/>
    </row>
    <row r="39" spans="1:15" ht="4.5" hidden="1" customHeight="1" x14ac:dyDescent="0.2">
      <c r="A39" s="1502"/>
      <c r="B39" s="1502"/>
      <c r="C39" s="1502"/>
      <c r="D39" s="1502"/>
      <c r="E39" s="1502"/>
      <c r="F39" s="1502"/>
    </row>
    <row r="40" spans="1:15" s="1499" customFormat="1" ht="12" customHeight="1" x14ac:dyDescent="0.25">
      <c r="A40" s="1503" t="s">
        <v>1375</v>
      </c>
      <c r="B40" s="1504"/>
      <c r="C40" s="2430"/>
      <c r="D40" s="2430"/>
      <c r="E40" s="2430"/>
      <c r="F40" s="2431"/>
      <c r="H40" s="1508"/>
      <c r="I40" s="1508"/>
      <c r="J40" s="1508"/>
      <c r="K40" s="1508"/>
    </row>
    <row r="41" spans="1:15" s="1499" customFormat="1" ht="12" customHeight="1" x14ac:dyDescent="0.25">
      <c r="A41" s="2432"/>
      <c r="B41" s="2433"/>
      <c r="C41" s="2433"/>
      <c r="D41" s="2433"/>
      <c r="E41" s="2433"/>
      <c r="F41" s="2434"/>
      <c r="H41" s="1508"/>
      <c r="I41" s="1508"/>
      <c r="J41" s="1508"/>
      <c r="K41" s="1508"/>
    </row>
    <row r="42" spans="1:15" s="1499" customFormat="1" ht="12" customHeight="1" x14ac:dyDescent="0.25">
      <c r="A42" s="2432"/>
      <c r="B42" s="2433"/>
      <c r="C42" s="2433"/>
      <c r="D42" s="2433"/>
      <c r="E42" s="2433"/>
      <c r="F42" s="2434"/>
      <c r="H42" s="1508"/>
      <c r="I42" s="1508"/>
      <c r="J42" s="1508"/>
      <c r="K42" s="1508"/>
    </row>
    <row r="43" spans="1:15" s="1499" customFormat="1" ht="15" x14ac:dyDescent="0.25">
      <c r="A43" s="2421"/>
      <c r="B43" s="2422"/>
      <c r="C43" s="2422"/>
      <c r="D43" s="2422"/>
      <c r="E43" s="2422"/>
      <c r="F43" s="2423"/>
      <c r="H43" s="1508"/>
      <c r="I43" s="1508"/>
      <c r="J43" s="1508"/>
      <c r="K43" s="1508"/>
    </row>
    <row r="44" spans="1:15" s="1499" customFormat="1" ht="12" hidden="1" customHeight="1" x14ac:dyDescent="0.25">
      <c r="A44" s="2421"/>
      <c r="B44" s="2422"/>
      <c r="C44" s="2422"/>
      <c r="D44" s="2422"/>
      <c r="E44" s="2422"/>
      <c r="F44" s="242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1" t="str">
        <f>COVER!A17</f>
        <v xml:space="preserve">   Spring Lake CCSD 606</v>
      </c>
      <c r="K6" s="2461"/>
      <c r="L6" s="2475"/>
      <c r="M6" s="838"/>
      <c r="N6" s="1998"/>
    </row>
    <row r="7" spans="1:14" x14ac:dyDescent="0.2">
      <c r="A7" s="2476" t="s">
        <v>864</v>
      </c>
      <c r="B7" s="2477"/>
      <c r="C7" s="2477"/>
      <c r="D7" s="2477"/>
      <c r="E7" s="2478"/>
      <c r="F7" s="839"/>
      <c r="G7" s="838"/>
      <c r="H7" s="838"/>
      <c r="I7" s="1924" t="s">
        <v>369</v>
      </c>
      <c r="J7" s="2463">
        <f>COVER!A13</f>
        <v>53090606004</v>
      </c>
      <c r="K7" s="2463"/>
      <c r="L7" s="2463"/>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9" t="s">
        <v>478</v>
      </c>
      <c r="B11" s="2480"/>
      <c r="C11" s="2481"/>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43530</v>
      </c>
      <c r="F12" s="1942"/>
      <c r="G12" s="1968">
        <f>G68</f>
        <v>0</v>
      </c>
      <c r="H12" s="1944">
        <f t="shared" ref="H12:H18" si="0">SUM(E12:G12)</f>
        <v>43530</v>
      </c>
      <c r="I12" s="1943">
        <v>44000</v>
      </c>
      <c r="J12" s="1942"/>
      <c r="K12" s="1943"/>
      <c r="L12" s="1944">
        <f t="shared" ref="L12:L18" si="1">SUM(I12:K12)</f>
        <v>44000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82" t="s">
        <v>7</v>
      </c>
      <c r="C18" s="2483"/>
      <c r="D18" s="2484"/>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43530</v>
      </c>
      <c r="F19" s="1950">
        <f t="shared" si="2"/>
        <v>0</v>
      </c>
      <c r="G19" s="1950">
        <f t="shared" ref="G19" si="3">SUM(G12:G17)-G18</f>
        <v>0</v>
      </c>
      <c r="H19" s="1950">
        <f t="shared" si="2"/>
        <v>43530</v>
      </c>
      <c r="I19" s="1950">
        <f t="shared" si="2"/>
        <v>44000</v>
      </c>
      <c r="J19" s="1950">
        <f t="shared" si="2"/>
        <v>0</v>
      </c>
      <c r="K19" s="1950">
        <f t="shared" si="2"/>
        <v>0</v>
      </c>
      <c r="L19" s="1950">
        <f t="shared" si="2"/>
        <v>44000</v>
      </c>
      <c r="M19" s="838"/>
      <c r="N19" s="1998"/>
    </row>
    <row r="20" spans="1:14" ht="13.5" thickTop="1" x14ac:dyDescent="0.2">
      <c r="A20" s="2003">
        <v>9</v>
      </c>
      <c r="B20" s="2485" t="s">
        <v>2021</v>
      </c>
      <c r="C20" s="2485"/>
      <c r="D20" s="2486"/>
      <c r="E20" s="1951"/>
      <c r="F20" s="1951"/>
      <c r="G20" s="1951"/>
      <c r="H20" s="1951"/>
      <c r="I20" s="1951"/>
      <c r="J20" s="1951"/>
      <c r="K20" s="1951"/>
      <c r="L20" s="1952">
        <f>IF(AND(H19&gt;0,L19&gt;0),(((L19-H19)/H19)),"Enter Budget Data")</f>
        <v>1.0797151389846084E-2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87"/>
      <c r="D27" s="2487"/>
      <c r="E27" s="843"/>
      <c r="F27" s="2488"/>
      <c r="G27" s="2488"/>
      <c r="H27" s="2488"/>
      <c r="I27" s="838"/>
      <c r="J27" s="838"/>
      <c r="K27" s="838"/>
      <c r="L27" s="838"/>
      <c r="M27" s="838"/>
      <c r="N27" s="1998"/>
    </row>
    <row r="28" spans="1:14" x14ac:dyDescent="0.2">
      <c r="A28" s="1997"/>
      <c r="B28" s="2007"/>
      <c r="C28" s="1957" t="s">
        <v>1026</v>
      </c>
      <c r="D28" s="844"/>
      <c r="E28" s="1958"/>
      <c r="F28" s="2489" t="s">
        <v>1492</v>
      </c>
      <c r="G28" s="2489"/>
      <c r="H28" s="2489"/>
      <c r="I28" s="838"/>
      <c r="J28" s="838"/>
      <c r="K28" s="838"/>
      <c r="L28" s="838"/>
      <c r="M28" s="838"/>
      <c r="N28" s="1998"/>
    </row>
    <row r="29" spans="1:14" x14ac:dyDescent="0.2">
      <c r="A29" s="1997"/>
      <c r="B29" s="2007"/>
      <c r="C29" s="2490"/>
      <c r="D29" s="2490"/>
      <c r="E29" s="845"/>
      <c r="F29" s="2490"/>
      <c r="G29" s="2490"/>
      <c r="H29" s="2490"/>
      <c r="I29" s="838"/>
      <c r="J29" s="838"/>
      <c r="K29" s="838"/>
      <c r="L29" s="838"/>
      <c r="M29" s="838"/>
      <c r="N29" s="1998"/>
    </row>
    <row r="30" spans="1:14" x14ac:dyDescent="0.2">
      <c r="A30" s="1997"/>
      <c r="B30" s="2007"/>
      <c r="C30" s="1960" t="s">
        <v>1544</v>
      </c>
      <c r="D30" s="838"/>
      <c r="E30" s="1959"/>
      <c r="F30" s="2474" t="s">
        <v>1493</v>
      </c>
      <c r="G30" s="2474"/>
      <c r="H30" s="2474"/>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51" t="s">
        <v>2024</v>
      </c>
      <c r="D34" s="2452"/>
      <c r="E34" s="2452"/>
      <c r="F34" s="2452"/>
      <c r="G34" s="2452"/>
      <c r="H34" s="2452"/>
      <c r="I34" s="2452"/>
      <c r="J34" s="2452"/>
      <c r="K34" s="2016"/>
      <c r="L34" s="838"/>
      <c r="M34" s="838"/>
      <c r="N34" s="1998"/>
    </row>
    <row r="35" spans="1:14" x14ac:dyDescent="0.2">
      <c r="A35" s="1997"/>
      <c r="B35" s="838"/>
      <c r="C35" s="2452"/>
      <c r="D35" s="2452"/>
      <c r="E35" s="2452"/>
      <c r="F35" s="2452"/>
      <c r="G35" s="2452"/>
      <c r="H35" s="2452"/>
      <c r="I35" s="2452"/>
      <c r="J35" s="245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51" t="s">
        <v>2025</v>
      </c>
      <c r="D37" s="2452"/>
      <c r="E37" s="2452"/>
      <c r="F37" s="2452"/>
      <c r="G37" s="2452"/>
      <c r="H37" s="2452"/>
      <c r="I37" s="2452"/>
      <c r="J37" s="2452"/>
      <c r="K37" s="2016"/>
      <c r="L37" s="2018"/>
      <c r="M37" s="838"/>
      <c r="N37" s="1998"/>
    </row>
    <row r="38" spans="1:14" x14ac:dyDescent="0.2">
      <c r="A38" s="1997"/>
      <c r="B38" s="838"/>
      <c r="C38" s="2452"/>
      <c r="D38" s="2452"/>
      <c r="E38" s="2452"/>
      <c r="F38" s="2452"/>
      <c r="G38" s="2452"/>
      <c r="H38" s="2452"/>
      <c r="I38" s="2452"/>
      <c r="J38" s="245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53" t="s">
        <v>2026</v>
      </c>
      <c r="D40" s="2454"/>
      <c r="E40" s="2454"/>
      <c r="F40" s="2454"/>
      <c r="G40" s="2454"/>
      <c r="H40" s="2454"/>
      <c r="I40" s="2454"/>
      <c r="J40" s="245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5" t="s">
        <v>2027</v>
      </c>
      <c r="B43" s="2456"/>
      <c r="C43" s="2456"/>
      <c r="D43" s="2456"/>
      <c r="E43" s="2456"/>
      <c r="F43" s="2456"/>
      <c r="G43" s="2456"/>
      <c r="H43" s="2456"/>
      <c r="I43" s="2456"/>
      <c r="J43" s="2456"/>
      <c r="K43" s="2456"/>
      <c r="L43" s="2456"/>
      <c r="M43" s="2456"/>
      <c r="N43" s="245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8" t="s">
        <v>2029</v>
      </c>
      <c r="B46" s="2459"/>
      <c r="C46" s="2459"/>
      <c r="D46" s="2459"/>
      <c r="E46" s="2459"/>
      <c r="F46" s="2459"/>
      <c r="G46" s="2459"/>
      <c r="H46" s="2459"/>
      <c r="I46" s="2459"/>
      <c r="J46" s="2459"/>
      <c r="K46" s="2459"/>
      <c r="L46" s="2459"/>
      <c r="M46" s="2459"/>
      <c r="N46" s="2460"/>
    </row>
    <row r="47" spans="1:14" x14ac:dyDescent="0.2">
      <c r="A47" s="2458"/>
      <c r="B47" s="2459"/>
      <c r="C47" s="2459"/>
      <c r="D47" s="2459"/>
      <c r="E47" s="2459"/>
      <c r="F47" s="2459"/>
      <c r="G47" s="2459"/>
      <c r="H47" s="2459"/>
      <c r="I47" s="2459"/>
      <c r="J47" s="2459"/>
      <c r="K47" s="2459"/>
      <c r="L47" s="2459"/>
      <c r="M47" s="2459"/>
      <c r="N47" s="246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1" t="str">
        <f>J6</f>
        <v xml:space="preserve">   Spring Lake CCSD 606</v>
      </c>
      <c r="M52" s="2461"/>
      <c r="N52" s="2462"/>
    </row>
    <row r="53" spans="1:14" x14ac:dyDescent="0.2">
      <c r="A53" s="1982"/>
      <c r="B53" s="1983"/>
      <c r="C53" s="1983"/>
      <c r="D53" s="1983"/>
      <c r="E53" s="1983"/>
      <c r="F53" s="1983"/>
      <c r="G53" s="1983"/>
      <c r="H53" s="1983"/>
      <c r="I53" s="1983"/>
      <c r="J53" s="1983"/>
      <c r="K53" s="1924" t="s">
        <v>369</v>
      </c>
      <c r="L53" s="2463">
        <f>J7</f>
        <v>53090606004</v>
      </c>
      <c r="M53" s="2463"/>
      <c r="N53" s="2464"/>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5"/>
      <c r="B55" s="2466"/>
      <c r="C55" s="2466"/>
      <c r="D55" s="1970"/>
      <c r="E55" s="1970"/>
      <c r="F55" s="1970"/>
      <c r="G55" s="2467" t="s">
        <v>2030</v>
      </c>
      <c r="H55" s="2467"/>
      <c r="I55" s="2467"/>
      <c r="J55" s="2467"/>
      <c r="K55" s="2467"/>
      <c r="L55" s="2467"/>
      <c r="M55" s="2467"/>
      <c r="N55" s="2468"/>
    </row>
    <row r="56" spans="1:14" ht="63.75" x14ac:dyDescent="0.2">
      <c r="A56" s="2469" t="s">
        <v>2031</v>
      </c>
      <c r="B56" s="2470"/>
      <c r="C56" s="2471"/>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72" t="s">
        <v>296</v>
      </c>
      <c r="B57" s="2473"/>
      <c r="C57" s="2473"/>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9" t="s">
        <v>2041</v>
      </c>
      <c r="B58" s="2450"/>
      <c r="C58" s="2450"/>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43" t="s">
        <v>297</v>
      </c>
      <c r="B59" s="2444"/>
      <c r="C59" s="2444"/>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43" t="s">
        <v>236</v>
      </c>
      <c r="B60" s="2444"/>
      <c r="C60" s="2444"/>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43" t="s">
        <v>697</v>
      </c>
      <c r="B61" s="2444"/>
      <c r="C61" s="2444"/>
      <c r="D61" s="1967">
        <v>2365</v>
      </c>
      <c r="E61" s="1977">
        <f>'Expenditures 15-22'!K323</f>
        <v>0</v>
      </c>
      <c r="F61" s="1972"/>
      <c r="G61" s="2031"/>
      <c r="H61" s="2032"/>
      <c r="I61" s="2032"/>
      <c r="J61" s="2032"/>
      <c r="K61" s="2032"/>
      <c r="L61" s="2032"/>
      <c r="M61" s="2032"/>
      <c r="N61" s="1975">
        <f t="shared" si="4"/>
        <v>0</v>
      </c>
    </row>
    <row r="62" spans="1:14" ht="24" customHeight="1" x14ac:dyDescent="0.2">
      <c r="A62" s="2443" t="s">
        <v>237</v>
      </c>
      <c r="B62" s="2444"/>
      <c r="C62" s="2444"/>
      <c r="D62" s="1967">
        <v>2366</v>
      </c>
      <c r="E62" s="1977">
        <f>'Expenditures 15-22'!K324</f>
        <v>0</v>
      </c>
      <c r="F62" s="1972"/>
      <c r="G62" s="2031"/>
      <c r="H62" s="2032"/>
      <c r="I62" s="2032"/>
      <c r="J62" s="2032"/>
      <c r="K62" s="2032"/>
      <c r="L62" s="2032"/>
      <c r="M62" s="2032"/>
      <c r="N62" s="1975">
        <f t="shared" si="4"/>
        <v>0</v>
      </c>
    </row>
    <row r="63" spans="1:14" ht="24" customHeight="1" x14ac:dyDescent="0.2">
      <c r="A63" s="2449" t="s">
        <v>1022</v>
      </c>
      <c r="B63" s="2450"/>
      <c r="C63" s="2450"/>
      <c r="D63" s="1967">
        <v>2367</v>
      </c>
      <c r="E63" s="1977">
        <f>'Expenditures 15-22'!K325</f>
        <v>0</v>
      </c>
      <c r="F63" s="1972"/>
      <c r="G63" s="2031"/>
      <c r="H63" s="2032"/>
      <c r="I63" s="2032"/>
      <c r="J63" s="2032"/>
      <c r="K63" s="2032"/>
      <c r="L63" s="2032"/>
      <c r="M63" s="2032"/>
      <c r="N63" s="1975">
        <f t="shared" si="4"/>
        <v>0</v>
      </c>
    </row>
    <row r="64" spans="1:14" ht="24" customHeight="1" x14ac:dyDescent="0.2">
      <c r="A64" s="2443" t="s">
        <v>1023</v>
      </c>
      <c r="B64" s="2444"/>
      <c r="C64" s="2444"/>
      <c r="D64" s="1967">
        <v>2368</v>
      </c>
      <c r="E64" s="1977">
        <f>'Expenditures 15-22'!K326</f>
        <v>0</v>
      </c>
      <c r="F64" s="1972"/>
      <c r="G64" s="2031"/>
      <c r="H64" s="2032"/>
      <c r="I64" s="2032"/>
      <c r="J64" s="2032"/>
      <c r="K64" s="2032"/>
      <c r="L64" s="2032"/>
      <c r="M64" s="2032"/>
      <c r="N64" s="1975">
        <f t="shared" si="4"/>
        <v>0</v>
      </c>
    </row>
    <row r="65" spans="1:14" ht="24" customHeight="1" x14ac:dyDescent="0.2">
      <c r="A65" s="2443" t="s">
        <v>965</v>
      </c>
      <c r="B65" s="2444"/>
      <c r="C65" s="2444"/>
      <c r="D65" s="1967">
        <v>2369</v>
      </c>
      <c r="E65" s="1977">
        <f>'Expenditures 15-22'!K327</f>
        <v>0</v>
      </c>
      <c r="F65" s="1972"/>
      <c r="G65" s="2031"/>
      <c r="H65" s="2032"/>
      <c r="I65" s="2032"/>
      <c r="J65" s="2032"/>
      <c r="K65" s="2032"/>
      <c r="L65" s="2032"/>
      <c r="M65" s="2032"/>
      <c r="N65" s="1975">
        <f t="shared" si="4"/>
        <v>0</v>
      </c>
    </row>
    <row r="66" spans="1:14" ht="24" customHeight="1" x14ac:dyDescent="0.2">
      <c r="A66" s="2443" t="s">
        <v>469</v>
      </c>
      <c r="B66" s="2444"/>
      <c r="C66" s="2444"/>
      <c r="D66" s="1967">
        <v>2371</v>
      </c>
      <c r="E66" s="1977">
        <f>'Expenditures 15-22'!K328</f>
        <v>0</v>
      </c>
      <c r="F66" s="1972"/>
      <c r="G66" s="2031"/>
      <c r="H66" s="2032"/>
      <c r="I66" s="2032"/>
      <c r="J66" s="2032"/>
      <c r="K66" s="2032"/>
      <c r="L66" s="2032"/>
      <c r="M66" s="2032"/>
      <c r="N66" s="1975">
        <f t="shared" si="4"/>
        <v>0</v>
      </c>
    </row>
    <row r="67" spans="1:14" ht="24.75" customHeight="1" x14ac:dyDescent="0.2">
      <c r="A67" s="2445" t="s">
        <v>2042</v>
      </c>
      <c r="B67" s="2446"/>
      <c r="C67" s="2446"/>
      <c r="D67" s="1969">
        <v>2372</v>
      </c>
      <c r="E67" s="1978">
        <f>'Expenditures 15-22'!K329</f>
        <v>0</v>
      </c>
      <c r="F67" s="1972"/>
      <c r="G67" s="2033"/>
      <c r="H67" s="2034"/>
      <c r="I67" s="2034"/>
      <c r="J67" s="2034"/>
      <c r="K67" s="2034"/>
      <c r="L67" s="2034"/>
      <c r="M67" s="2034"/>
      <c r="N67" s="1975">
        <f t="shared" si="4"/>
        <v>0</v>
      </c>
    </row>
    <row r="68" spans="1:14" x14ac:dyDescent="0.2">
      <c r="A68" s="2447" t="s">
        <v>1151</v>
      </c>
      <c r="B68" s="2448"/>
      <c r="C68" s="2448"/>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7" right="0.7" top="0.75" bottom="0.75" header="0.3" footer="0.3"/>
  <pageSetup scale="65" firstPageNumber="3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zoomScaleSheetLayoutView="9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2107</v>
      </c>
    </row>
    <row r="6" spans="1:2" x14ac:dyDescent="0.2">
      <c r="A6" s="847">
        <v>2</v>
      </c>
      <c r="B6" s="307" t="s">
        <v>2101</v>
      </c>
    </row>
    <row r="7" spans="1:2" x14ac:dyDescent="0.2">
      <c r="A7" s="847">
        <v>3</v>
      </c>
      <c r="B7" s="307" t="s">
        <v>2102</v>
      </c>
    </row>
    <row r="8" spans="1:2" x14ac:dyDescent="0.2">
      <c r="A8" s="847"/>
      <c r="B8" s="307" t="s">
        <v>2103</v>
      </c>
    </row>
    <row r="9" spans="1:2" x14ac:dyDescent="0.2">
      <c r="A9" s="848"/>
      <c r="B9" s="307" t="s">
        <v>2104</v>
      </c>
    </row>
    <row r="10" spans="1:2" x14ac:dyDescent="0.2">
      <c r="A10" s="848"/>
    </row>
    <row r="11" spans="1:2" hidden="1" x14ac:dyDescent="0.2">
      <c r="A11" s="848"/>
    </row>
    <row r="12" spans="1:2" hidden="1" x14ac:dyDescent="0.2">
      <c r="A12" s="848"/>
    </row>
    <row r="13" spans="1:2" hidden="1" x14ac:dyDescent="0.2">
      <c r="A13" s="848"/>
    </row>
    <row r="14" spans="1:2" hidden="1"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Spring Lake CCSD 606</v>
      </c>
    </row>
    <row r="65" spans="2:2" x14ac:dyDescent="0.2">
      <c r="B65" s="849">
        <f>COVER!A13</f>
        <v>53090606004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91" t="s">
        <v>1665</v>
      </c>
      <c r="B18" s="249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2" t="s">
        <v>1669</v>
      </c>
      <c r="B1" s="2493"/>
      <c r="C1" s="2493"/>
      <c r="D1" s="2493"/>
      <c r="E1" s="2493"/>
      <c r="F1" s="2494"/>
    </row>
    <row r="2" spans="1:8" ht="45" customHeight="1" x14ac:dyDescent="0.2">
      <c r="A2" s="25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3"/>
      <c r="C2" s="2503"/>
      <c r="D2" s="2503"/>
      <c r="E2" s="2503"/>
      <c r="F2" s="2504"/>
      <c r="G2" s="853"/>
      <c r="H2" s="853"/>
    </row>
    <row r="3" spans="1:8" ht="57" customHeight="1" x14ac:dyDescent="0.2">
      <c r="A3" s="2505" t="s">
        <v>1972</v>
      </c>
      <c r="B3" s="2506"/>
      <c r="C3" s="2506"/>
      <c r="D3" s="2506"/>
      <c r="E3" s="2506"/>
      <c r="F3" s="2507"/>
      <c r="G3" s="853"/>
      <c r="H3" s="853"/>
    </row>
    <row r="4" spans="1:8" ht="14.25" customHeight="1" x14ac:dyDescent="0.2">
      <c r="A4" s="25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2"/>
      <c r="C4" s="2512"/>
      <c r="D4" s="2512"/>
      <c r="E4" s="2512"/>
      <c r="F4" s="2513"/>
      <c r="G4" s="853"/>
      <c r="H4" s="853"/>
    </row>
    <row r="5" spans="1:8" ht="14.25" customHeight="1" x14ac:dyDescent="0.2">
      <c r="A5" s="25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5"/>
      <c r="C5" s="2515"/>
      <c r="D5" s="2515"/>
      <c r="E5" s="2515"/>
      <c r="F5" s="2516"/>
      <c r="G5" s="853"/>
      <c r="H5" s="853"/>
    </row>
    <row r="6" spans="1:8" s="854" customFormat="1" ht="41.25" customHeight="1" x14ac:dyDescent="0.2">
      <c r="A6" s="2508" t="s">
        <v>1670</v>
      </c>
      <c r="B6" s="2509"/>
      <c r="C6" s="2509"/>
      <c r="D6" s="2509"/>
      <c r="E6" s="2509"/>
      <c r="F6" s="251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726237</v>
      </c>
      <c r="C8" s="1813">
        <f>'Acct Summary 7-8'!D8</f>
        <v>35683</v>
      </c>
      <c r="D8" s="1813">
        <f>'Acct Summary 7-8'!F8</f>
        <v>74267</v>
      </c>
      <c r="E8" s="1813">
        <f>'Acct Summary 7-8'!I8</f>
        <v>5100</v>
      </c>
      <c r="F8" s="1813">
        <f>SUM(B8:E8)</f>
        <v>841287</v>
      </c>
    </row>
    <row r="9" spans="1:8" s="858" customFormat="1" ht="14.25" customHeight="1" thickBot="1" x14ac:dyDescent="0.25">
      <c r="A9" s="857" t="s">
        <v>1353</v>
      </c>
      <c r="B9" s="1814">
        <f>'Acct Summary 7-8'!C17</f>
        <v>664624</v>
      </c>
      <c r="C9" s="1814">
        <f>'Acct Summary 7-8'!D17</f>
        <v>41971</v>
      </c>
      <c r="D9" s="1814">
        <f>'Acct Summary 7-8'!F17</f>
        <v>45040</v>
      </c>
      <c r="E9" s="1813"/>
      <c r="F9" s="1813">
        <f>SUM(B9:E9)</f>
        <v>751635</v>
      </c>
    </row>
    <row r="10" spans="1:8" s="858" customFormat="1" ht="14.25" thickTop="1" thickBot="1" x14ac:dyDescent="0.25">
      <c r="A10" s="859" t="s">
        <v>1354</v>
      </c>
      <c r="B10" s="1815">
        <f>(B8-B9)</f>
        <v>61613</v>
      </c>
      <c r="C10" s="1815">
        <f>(C8-C9)</f>
        <v>-6288</v>
      </c>
      <c r="D10" s="1815">
        <f>(D8-D9)</f>
        <v>29227</v>
      </c>
      <c r="E10" s="1814">
        <f>(E8-E9)</f>
        <v>5100</v>
      </c>
      <c r="F10" s="1816">
        <f>SUM(F8-F9)</f>
        <v>89652</v>
      </c>
    </row>
    <row r="11" spans="1:8" s="858" customFormat="1" ht="14.25" thickTop="1" thickBot="1" x14ac:dyDescent="0.25">
      <c r="A11" s="860" t="s">
        <v>1903</v>
      </c>
      <c r="B11" s="1817">
        <f>'Acct Summary 7-8'!C81</f>
        <v>255049</v>
      </c>
      <c r="C11" s="1817">
        <f>'Acct Summary 7-8'!D81</f>
        <v>9359</v>
      </c>
      <c r="D11" s="1817">
        <f>'Acct Summary 7-8'!F81</f>
        <v>56633</v>
      </c>
      <c r="E11" s="1817">
        <f>'Acct Summary 7-8'!I81</f>
        <v>15674</v>
      </c>
      <c r="F11" s="1818">
        <f>SUM(B11:E11)</f>
        <v>336715</v>
      </c>
    </row>
    <row r="12" spans="1:8" ht="16.5" customHeight="1" thickTop="1" x14ac:dyDescent="0.2">
      <c r="A12" s="861"/>
      <c r="B12" s="862"/>
      <c r="C12" s="2496" t="str">
        <f>IF(AND(F10&lt;0,F11&gt;=0,ABS(F10*3)&gt;ABS(F11)),A16,IF(AND(F10&lt;0,F11&gt;0,ABS(F10*3)&lt;=ABS(F11)),A17,IF(AND(F10&lt;0,F11&lt;0),A16,IF(F11=0,A19,A18))))</f>
        <v>Balanced - no deficit reduction plan is required.</v>
      </c>
      <c r="D12" s="2497"/>
      <c r="E12" s="2497"/>
      <c r="F12" s="2498"/>
    </row>
    <row r="13" spans="1:8" ht="19.5" customHeight="1" x14ac:dyDescent="0.2">
      <c r="A13" s="863"/>
      <c r="B13" s="864"/>
      <c r="C13" s="2496"/>
      <c r="D13" s="2497"/>
      <c r="E13" s="2497"/>
      <c r="F13" s="2498"/>
      <c r="H13" s="853"/>
    </row>
    <row r="14" spans="1:8" ht="19.5" customHeight="1" x14ac:dyDescent="0.2">
      <c r="A14" s="863"/>
      <c r="B14" s="864"/>
      <c r="C14" s="2496"/>
      <c r="D14" s="2497"/>
      <c r="E14" s="2497"/>
      <c r="F14" s="2498"/>
      <c r="H14" s="853"/>
    </row>
    <row r="15" spans="1:8" ht="17.25" customHeight="1" x14ac:dyDescent="0.2">
      <c r="A15" s="863"/>
      <c r="B15" s="864"/>
      <c r="C15" s="2499"/>
      <c r="D15" s="2500"/>
      <c r="E15" s="2500"/>
      <c r="F15" s="2501"/>
      <c r="H15" s="853"/>
    </row>
    <row r="16" spans="1:8" s="288" customFormat="1" ht="51.75" hidden="1" customHeight="1" x14ac:dyDescent="0.2">
      <c r="A16" s="2495" t="s">
        <v>1666</v>
      </c>
      <c r="B16" s="2495"/>
      <c r="C16" s="2495"/>
      <c r="D16" s="2495"/>
      <c r="E16" s="2495"/>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3"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7" t="s">
        <v>660</v>
      </c>
      <c r="B3" s="2518"/>
      <c r="C3" s="2518"/>
      <c r="D3" s="2519"/>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8" t="s">
        <v>1487</v>
      </c>
      <c r="D7" s="2529"/>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20" t="s">
        <v>1001</v>
      </c>
      <c r="B15" s="2521"/>
      <c r="C15" s="2521"/>
      <c r="D15" s="2522"/>
    </row>
    <row r="16" spans="1:4" s="542" customFormat="1" ht="24" customHeight="1" x14ac:dyDescent="0.2">
      <c r="A16" s="2523" t="s">
        <v>658</v>
      </c>
      <c r="B16" s="2524"/>
      <c r="C16" s="2524"/>
      <c r="D16" s="2525"/>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2" t="s">
        <v>311</v>
      </c>
      <c r="D21" s="2533"/>
    </row>
    <row r="22" spans="1:10" ht="12.75" x14ac:dyDescent="0.2">
      <c r="A22" s="918"/>
      <c r="B22" s="919">
        <v>2</v>
      </c>
      <c r="C22" s="2530" t="s">
        <v>1507</v>
      </c>
      <c r="D22" s="253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4" t="s">
        <v>533</v>
      </c>
      <c r="D43" s="253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6" t="s">
        <v>779</v>
      </c>
      <c r="D56" s="252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6" t="s">
        <v>1674</v>
      </c>
      <c r="D70" s="252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53090606004</v>
      </c>
      <c r="E2" s="1542">
        <v>2020</v>
      </c>
      <c r="F2" s="1542">
        <v>1</v>
      </c>
      <c r="G2" s="1899">
        <v>101000300</v>
      </c>
    </row>
    <row r="3" spans="1:7" ht="15" x14ac:dyDescent="0.25">
      <c r="A3" t="s">
        <v>950</v>
      </c>
      <c r="B3" s="135" t="str">
        <f>COVER!A15</f>
        <v>Tazewell</v>
      </c>
      <c r="E3" s="1830" t="s">
        <v>1971</v>
      </c>
      <c r="F3" s="1830" t="s">
        <v>1970</v>
      </c>
      <c r="G3" s="1899">
        <v>101000400</v>
      </c>
    </row>
    <row r="4" spans="1:7" ht="15" x14ac:dyDescent="0.25">
      <c r="A4" t="s">
        <v>1000</v>
      </c>
      <c r="B4" s="135" t="str">
        <f>COVER!A17</f>
        <v xml:space="preserve">   Spring Lake CCSD 606</v>
      </c>
      <c r="E4" s="1828">
        <v>44119</v>
      </c>
      <c r="F4" s="1829">
        <v>44151</v>
      </c>
      <c r="G4" s="1899">
        <v>101000600</v>
      </c>
    </row>
    <row r="5" spans="1:7" ht="15" x14ac:dyDescent="0.25">
      <c r="A5" t="s">
        <v>699</v>
      </c>
      <c r="B5" s="135" t="str">
        <f>COVER!A38</f>
        <v>Charles Nagel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36161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255892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843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843</v>
      </c>
      <c r="C91" s="2" t="s">
        <v>569</v>
      </c>
      <c r="D91" s="2" t="str">
        <f t="shared" si="0"/>
        <v>Error?</v>
      </c>
      <c r="G91" s="1899">
        <v>102640400</v>
      </c>
    </row>
    <row r="92" spans="1:7" ht="15" x14ac:dyDescent="0.25">
      <c r="A92" s="5">
        <v>31</v>
      </c>
      <c r="B92" s="1832">
        <f>'Assets-Liab 5-6'!C39</f>
        <v>255049</v>
      </c>
      <c r="D92" s="2" t="str">
        <f t="shared" si="0"/>
        <v>Error?</v>
      </c>
      <c r="G92" s="1899">
        <v>102640600</v>
      </c>
    </row>
    <row r="93" spans="1:7" ht="15" x14ac:dyDescent="0.25">
      <c r="A93" s="5">
        <v>32</v>
      </c>
      <c r="B93" s="1832">
        <f>'Assets-Liab 5-6'!C41</f>
        <v>255892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9359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9359</v>
      </c>
      <c r="D123" s="2" t="str">
        <f t="shared" si="0"/>
        <v>Error?</v>
      </c>
      <c r="G123" s="1899">
        <v>203000400</v>
      </c>
    </row>
    <row r="124" spans="1:7" ht="15" x14ac:dyDescent="0.25">
      <c r="A124" s="5">
        <v>63</v>
      </c>
      <c r="B124" s="1832">
        <f>'Assets-Liab 5-6'!D41</f>
        <v>9359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56633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56633</v>
      </c>
      <c r="D170" s="2" t="str">
        <f t="shared" si="1"/>
        <v>Error?</v>
      </c>
    </row>
    <row r="171" spans="1:4" x14ac:dyDescent="0.2">
      <c r="A171" s="5">
        <v>110</v>
      </c>
      <c r="B171" s="1832">
        <f>'Assets-Liab 5-6'!F41</f>
        <v>56633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12067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7151</v>
      </c>
      <c r="D189" s="2" t="str">
        <f t="shared" si="1"/>
        <v>Error?</v>
      </c>
    </row>
    <row r="190" spans="1:4" x14ac:dyDescent="0.2">
      <c r="A190" s="5">
        <v>129</v>
      </c>
      <c r="B190" s="1832">
        <f>'Assets-Liab 5-6'!G41</f>
        <v>12067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1284</v>
      </c>
      <c r="D273" s="2" t="str">
        <f t="shared" si="3"/>
        <v>Error?</v>
      </c>
    </row>
    <row r="274" spans="1:4" x14ac:dyDescent="0.2">
      <c r="A274" s="5">
        <v>213</v>
      </c>
      <c r="B274" s="1832">
        <f>'Assets-Liab 5-6'!M17</f>
        <v>453536</v>
      </c>
      <c r="D274" s="2" t="str">
        <f t="shared" si="3"/>
        <v>Error?</v>
      </c>
    </row>
    <row r="275" spans="1:4" x14ac:dyDescent="0.2">
      <c r="A275" s="5">
        <v>214</v>
      </c>
      <c r="B275" s="1832">
        <f>'Assets-Liab 5-6'!M18</f>
        <v>1439</v>
      </c>
      <c r="D275" s="2" t="str">
        <f t="shared" si="3"/>
        <v>Error?</v>
      </c>
    </row>
    <row r="276" spans="1:4" x14ac:dyDescent="0.2">
      <c r="A276" s="5">
        <v>215</v>
      </c>
      <c r="B276" s="1832">
        <f>'Assets-Liab 5-6'!M19</f>
        <v>70130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526389</v>
      </c>
      <c r="C279" s="2" t="s">
        <v>569</v>
      </c>
      <c r="D279" s="2" t="str">
        <f t="shared" si="3"/>
        <v>Error?</v>
      </c>
    </row>
    <row r="280" spans="1:4" x14ac:dyDescent="0.2">
      <c r="A280" s="5">
        <v>219</v>
      </c>
      <c r="B280" s="1832">
        <f>'Assets-Liab 5-6'!M40</f>
        <v>526389</v>
      </c>
      <c r="D280" s="2" t="str">
        <f t="shared" si="3"/>
        <v>Error?</v>
      </c>
    </row>
    <row r="281" spans="1:4" x14ac:dyDescent="0.2">
      <c r="A281" s="5">
        <v>220</v>
      </c>
      <c r="B281" s="1832">
        <f>'Assets-Liab 5-6'!M41</f>
        <v>526389</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291581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291581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21679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21679</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43509</v>
      </c>
      <c r="D733" s="2" t="str">
        <f t="shared" si="10"/>
        <v>Error?</v>
      </c>
    </row>
    <row r="734" spans="1:4" x14ac:dyDescent="0.2">
      <c r="A734" s="5">
        <v>673</v>
      </c>
      <c r="B734" s="1832">
        <f>'Expenditures 15-22'!C53</f>
        <v>43509</v>
      </c>
      <c r="C734" s="2" t="s">
        <v>569</v>
      </c>
      <c r="D734" s="2" t="str">
        <f t="shared" si="10"/>
        <v>Error?</v>
      </c>
    </row>
    <row r="735" spans="1:4" x14ac:dyDescent="0.2">
      <c r="A735" s="5">
        <v>674</v>
      </c>
      <c r="B735" s="1832">
        <f>'Expenditures 15-22'!C55</f>
        <v>2792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2792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47074</v>
      </c>
      <c r="D739" s="2" t="str">
        <f t="shared" si="10"/>
        <v>Error?</v>
      </c>
    </row>
    <row r="740" spans="1:4" x14ac:dyDescent="0.2">
      <c r="A740" s="5">
        <v>679</v>
      </c>
      <c r="B740" s="1832">
        <f>'Expenditures 15-22'!C61</f>
        <v>39847</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22461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109382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177362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468943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8737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8737</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8737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8965</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9177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206</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1704</v>
      </c>
      <c r="D846" s="2" t="str">
        <f t="shared" si="12"/>
        <v>Error?</v>
      </c>
    </row>
    <row r="847" spans="1:4" x14ac:dyDescent="0.2">
      <c r="A847" s="5">
        <v>786</v>
      </c>
      <c r="B847" s="1832">
        <f>'Expenditures 15-22'!E47</f>
        <v>1910</v>
      </c>
      <c r="C847" s="2" t="s">
        <v>569</v>
      </c>
      <c r="D847" s="2" t="str">
        <f t="shared" si="12"/>
        <v>Error?</v>
      </c>
    </row>
    <row r="848" spans="1:4" x14ac:dyDescent="0.2">
      <c r="A848" s="5">
        <v>787</v>
      </c>
      <c r="B848" s="1832">
        <f>'Expenditures 15-22'!E49</f>
        <v>8556</v>
      </c>
      <c r="D848" s="2" t="str">
        <f t="shared" si="12"/>
        <v>Error?</v>
      </c>
    </row>
    <row r="849" spans="1:4" x14ac:dyDescent="0.2">
      <c r="A849" s="5">
        <v>788</v>
      </c>
      <c r="B849" s="1832">
        <f>'Expenditures 15-22'!E50</f>
        <v>21</v>
      </c>
      <c r="D849" s="2" t="str">
        <f t="shared" si="12"/>
        <v>Error?</v>
      </c>
    </row>
    <row r="850" spans="1:4" x14ac:dyDescent="0.2">
      <c r="A850" s="5">
        <v>789</v>
      </c>
      <c r="B850" s="1832">
        <f>'Expenditures 15-22'!E53</f>
        <v>28404</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150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170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320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30634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70687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23513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23513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520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520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299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299</v>
      </c>
      <c r="C905" s="2" t="s">
        <v>569</v>
      </c>
      <c r="D905" s="2" t="str">
        <f t="shared" si="13"/>
        <v>Error?</v>
      </c>
    </row>
    <row r="906" spans="1:4" x14ac:dyDescent="0.2">
      <c r="A906" s="5">
        <v>845</v>
      </c>
      <c r="B906" s="1832">
        <f>'Expenditures 15-22'!F49</f>
        <v>401</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401</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1055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8948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10003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11223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34736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141</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141</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141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141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2640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2646</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2646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2646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76094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81380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332796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335648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22199</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22199</v>
      </c>
      <c r="C1115" s="2" t="s">
        <v>569</v>
      </c>
      <c r="D1115" s="2" t="str">
        <f t="shared" si="16"/>
        <v>Error?</v>
      </c>
    </row>
    <row r="1116" spans="1:4" x14ac:dyDescent="0.2">
      <c r="A1116" s="5">
        <v>1055</v>
      </c>
      <c r="B1116" s="1832">
        <f>'Expenditures 15-22'!K44</f>
        <v>206</v>
      </c>
      <c r="C1116" s="2" t="s">
        <v>569</v>
      </c>
      <c r="D1116" s="2" t="str">
        <f t="shared" si="16"/>
        <v>Error?</v>
      </c>
    </row>
    <row r="1117" spans="1:4" x14ac:dyDescent="0.2">
      <c r="A1117" s="5">
        <v>1056</v>
      </c>
      <c r="B1117" s="1832">
        <f>'Expenditures 15-22'!K45</f>
        <v>299</v>
      </c>
      <c r="C1117" s="2" t="s">
        <v>569</v>
      </c>
      <c r="D1117" s="2" t="str">
        <f t="shared" si="16"/>
        <v>Error?</v>
      </c>
    </row>
    <row r="1118" spans="1:4" x14ac:dyDescent="0.2">
      <c r="A1118" s="5">
        <v>1057</v>
      </c>
      <c r="B1118" s="1832">
        <f>'Expenditures 15-22'!K46</f>
        <v>1704</v>
      </c>
      <c r="C1118" s="2" t="s">
        <v>569</v>
      </c>
      <c r="D1118" s="2" t="str">
        <f t="shared" si="16"/>
        <v>Error?</v>
      </c>
    </row>
    <row r="1119" spans="1:4" x14ac:dyDescent="0.2">
      <c r="A1119" s="5">
        <v>1058</v>
      </c>
      <c r="B1119" s="1832">
        <f>'Expenditures 15-22'!K47</f>
        <v>2209</v>
      </c>
      <c r="C1119" s="2" t="s">
        <v>569</v>
      </c>
      <c r="D1119" s="2" t="str">
        <f t="shared" si="16"/>
        <v>Error?</v>
      </c>
    </row>
    <row r="1120" spans="1:4" x14ac:dyDescent="0.2">
      <c r="A1120" s="5">
        <v>1059</v>
      </c>
      <c r="B1120" s="1832">
        <f>'Expenditures 15-22'!K49</f>
        <v>11603</v>
      </c>
      <c r="C1120" s="2" t="s">
        <v>569</v>
      </c>
      <c r="D1120" s="2" t="str">
        <f t="shared" si="16"/>
        <v>Error?</v>
      </c>
    </row>
    <row r="1121" spans="1:4" x14ac:dyDescent="0.2">
      <c r="A1121" s="5">
        <v>1060</v>
      </c>
      <c r="B1121" s="1832">
        <f>'Expenditures 15-22'!K50</f>
        <v>43530</v>
      </c>
      <c r="C1121" s="2" t="s">
        <v>569</v>
      </c>
      <c r="D1121" s="2" t="str">
        <f t="shared" si="16"/>
        <v>Error?</v>
      </c>
    </row>
    <row r="1122" spans="1:4" x14ac:dyDescent="0.2">
      <c r="A1122" s="5">
        <v>1061</v>
      </c>
      <c r="B1122" s="1832">
        <f>'Expenditures 15-22'!K53</f>
        <v>74960</v>
      </c>
      <c r="C1122" s="2" t="s">
        <v>569</v>
      </c>
      <c r="D1122" s="2" t="str">
        <f t="shared" si="16"/>
        <v>Error?</v>
      </c>
    </row>
    <row r="1123" spans="1:4" x14ac:dyDescent="0.2">
      <c r="A1123" s="5">
        <v>1062</v>
      </c>
      <c r="B1123" s="1832">
        <f>'Expenditures 15-22'!K55</f>
        <v>2792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2792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48279</v>
      </c>
      <c r="C1127" s="2" t="s">
        <v>569</v>
      </c>
      <c r="D1127" s="2" t="str">
        <f t="shared" si="16"/>
        <v>Error?</v>
      </c>
    </row>
    <row r="1128" spans="1:4" x14ac:dyDescent="0.2">
      <c r="A1128" s="5">
        <v>1067</v>
      </c>
      <c r="B1128" s="1832">
        <f>'Expenditures 15-22'!K61</f>
        <v>39847</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31720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119846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222006</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106970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664624</v>
      </c>
      <c r="C1152" s="2" t="s">
        <v>569</v>
      </c>
      <c r="D1152" s="2" t="str">
        <f t="shared" si="17"/>
        <v>Error?</v>
      </c>
    </row>
    <row r="1153" spans="1:4" x14ac:dyDescent="0.2">
      <c r="A1153" s="5">
        <v>1092</v>
      </c>
      <c r="B1153" s="1832">
        <f>'Expenditures 15-22'!K115</f>
        <v>61613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19308</v>
      </c>
      <c r="D1237" s="2" t="str">
        <f t="shared" si="18"/>
        <v>Error?</v>
      </c>
    </row>
    <row r="1238" spans="1:4" x14ac:dyDescent="0.2">
      <c r="A1238" s="10">
        <v>1177</v>
      </c>
      <c r="B1238" s="1832"/>
      <c r="D1238" s="2" t="str">
        <f t="shared" si="18"/>
        <v>OK</v>
      </c>
    </row>
    <row r="1239" spans="1:4" x14ac:dyDescent="0.2">
      <c r="A1239" s="5">
        <v>1178</v>
      </c>
      <c r="B1239" s="1832">
        <f>'Expenditures 15-22'!E127</f>
        <v>19308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19308</v>
      </c>
      <c r="C1241" s="2" t="s">
        <v>569</v>
      </c>
      <c r="D1241" s="2" t="str">
        <f t="shared" si="18"/>
        <v>Error?</v>
      </c>
    </row>
    <row r="1242" spans="1:4" x14ac:dyDescent="0.2">
      <c r="A1242" s="5">
        <v>1181</v>
      </c>
      <c r="B1242" s="1832">
        <f>'Expenditures 15-22'!E151</f>
        <v>19308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22663</v>
      </c>
      <c r="D1245" s="2" t="str">
        <f t="shared" si="18"/>
        <v>Error?</v>
      </c>
    </row>
    <row r="1246" spans="1:4" x14ac:dyDescent="0.2">
      <c r="A1246" s="10">
        <v>1185</v>
      </c>
      <c r="B1246" s="1832"/>
      <c r="D1246" s="2" t="str">
        <f t="shared" si="18"/>
        <v>OK</v>
      </c>
    </row>
    <row r="1247" spans="1:4" x14ac:dyDescent="0.2">
      <c r="A1247" s="5">
        <v>1186</v>
      </c>
      <c r="B1247" s="1832">
        <f>'Expenditures 15-22'!F127</f>
        <v>22663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22663</v>
      </c>
      <c r="C1249" s="2" t="s">
        <v>569</v>
      </c>
      <c r="D1249" s="2" t="str">
        <f t="shared" si="18"/>
        <v>Error?</v>
      </c>
    </row>
    <row r="1250" spans="1:4" x14ac:dyDescent="0.2">
      <c r="A1250" s="5">
        <v>1189</v>
      </c>
      <c r="B1250" s="1832">
        <f>'Expenditures 15-22'!F151</f>
        <v>22663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41971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41971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41971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41971</v>
      </c>
      <c r="C1288" s="2" t="s">
        <v>569</v>
      </c>
      <c r="D1288" s="2" t="str">
        <f t="shared" si="19"/>
        <v>Error?</v>
      </c>
    </row>
    <row r="1289" spans="1:4" x14ac:dyDescent="0.2">
      <c r="A1289" s="5">
        <v>1228</v>
      </c>
      <c r="B1289" s="1832">
        <f>'Expenditures 15-22'!K152</f>
        <v>-6288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23334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23334</v>
      </c>
      <c r="C1339" s="2" t="s">
        <v>569</v>
      </c>
      <c r="D1339" s="2" t="str">
        <f t="shared" si="19"/>
        <v>Error?</v>
      </c>
    </row>
    <row r="1340" spans="1:4" x14ac:dyDescent="0.2">
      <c r="A1340" s="5">
        <v>1279</v>
      </c>
      <c r="B1340" s="1832">
        <f>'Expenditures 15-22'!C210</f>
        <v>23334</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18102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18102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18102</v>
      </c>
      <c r="C1353" s="2" t="s">
        <v>569</v>
      </c>
      <c r="D1353" s="2" t="str">
        <f t="shared" si="20"/>
        <v>Error?</v>
      </c>
    </row>
    <row r="1354" spans="1:4" x14ac:dyDescent="0.2">
      <c r="A1354" s="5">
        <v>1293</v>
      </c>
      <c r="B1354" s="1832">
        <f>'Expenditures 15-22'!F182</f>
        <v>3400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3400</v>
      </c>
      <c r="C1358" s="2" t="s">
        <v>569</v>
      </c>
      <c r="D1358" s="2" t="str">
        <f t="shared" si="20"/>
        <v>Error?</v>
      </c>
    </row>
    <row r="1359" spans="1:4" x14ac:dyDescent="0.2">
      <c r="A1359" s="5">
        <v>1298</v>
      </c>
      <c r="B1359" s="1832">
        <f>'Expenditures 15-22'!F210</f>
        <v>3400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204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204</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204</v>
      </c>
      <c r="C1376" s="2" t="s">
        <v>569</v>
      </c>
      <c r="D1376" s="2" t="str">
        <f t="shared" si="20"/>
        <v>Error?</v>
      </c>
    </row>
    <row r="1377" spans="1:4" x14ac:dyDescent="0.2">
      <c r="A1377" s="5">
        <v>1316</v>
      </c>
      <c r="B1377" s="1832">
        <f>'Expenditures 15-22'!K182</f>
        <v>45040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45040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45040</v>
      </c>
      <c r="C1388" s="2" t="s">
        <v>569</v>
      </c>
      <c r="D1388" s="2" t="str">
        <f t="shared" si="20"/>
        <v>Error?</v>
      </c>
    </row>
    <row r="1389" spans="1:4" x14ac:dyDescent="0.2">
      <c r="A1389" s="5">
        <v>1328</v>
      </c>
      <c r="B1389" s="1832">
        <f>'Expenditures 15-22'!K211</f>
        <v>29227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7511</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314</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314</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601</v>
      </c>
      <c r="D1423" s="2" t="str">
        <f t="shared" si="21"/>
        <v>Error?</v>
      </c>
    </row>
    <row r="1424" spans="1:4" x14ac:dyDescent="0.2">
      <c r="A1424" s="5">
        <v>1363</v>
      </c>
      <c r="B1424" s="1832">
        <f>'Expenditures 15-22'!D257</f>
        <v>601</v>
      </c>
      <c r="C1424" s="2" t="s">
        <v>569</v>
      </c>
      <c r="D1424" s="2" t="str">
        <f t="shared" si="21"/>
        <v>Error?</v>
      </c>
    </row>
    <row r="1425" spans="1:4" x14ac:dyDescent="0.2">
      <c r="A1425" s="5">
        <v>1364</v>
      </c>
      <c r="B1425" s="1832">
        <f>'Expenditures 15-22'!D259</f>
        <v>40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6738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5906</v>
      </c>
      <c r="D1431" s="2" t="str">
        <f t="shared" si="21"/>
        <v>Error?</v>
      </c>
    </row>
    <row r="1432" spans="1:4" x14ac:dyDescent="0.2">
      <c r="A1432" s="5">
        <v>1371</v>
      </c>
      <c r="B1432" s="1832">
        <f>'Expenditures 15-22'!D267</f>
        <v>2803</v>
      </c>
      <c r="D1432" s="2" t="str">
        <f t="shared" si="21"/>
        <v>Error?</v>
      </c>
    </row>
    <row r="1433" spans="1:4" x14ac:dyDescent="0.2">
      <c r="A1433" s="5">
        <v>1372</v>
      </c>
      <c r="B1433" s="1832">
        <f>'Expenditures 15-22'!D268</f>
        <v>3270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18717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19672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27183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7511</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314</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314</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601</v>
      </c>
      <c r="C1487" s="2" t="s">
        <v>569</v>
      </c>
      <c r="D1487" s="2" t="str">
        <f t="shared" si="22"/>
        <v>Error?</v>
      </c>
    </row>
    <row r="1488" spans="1:4" x14ac:dyDescent="0.2">
      <c r="A1488" s="5">
        <v>1427</v>
      </c>
      <c r="B1488" s="1832">
        <f>'Expenditures 15-22'!K257</f>
        <v>601</v>
      </c>
      <c r="C1488" s="2" t="s">
        <v>569</v>
      </c>
      <c r="D1488" s="2" t="str">
        <f t="shared" si="22"/>
        <v>Error?</v>
      </c>
    </row>
    <row r="1489" spans="1:4" x14ac:dyDescent="0.2">
      <c r="A1489" s="5">
        <v>1428</v>
      </c>
      <c r="B1489" s="1832">
        <f>'Expenditures 15-22'!K259</f>
        <v>40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6738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5906</v>
      </c>
      <c r="C1495" s="2" t="s">
        <v>569</v>
      </c>
      <c r="D1495" s="2" t="str">
        <f t="shared" si="22"/>
        <v>Error?</v>
      </c>
    </row>
    <row r="1496" spans="1:4" x14ac:dyDescent="0.2">
      <c r="A1496" s="5">
        <v>1435</v>
      </c>
      <c r="B1496" s="1832">
        <f>'Expenditures 15-22'!K267</f>
        <v>2803</v>
      </c>
      <c r="C1496" s="2" t="s">
        <v>569</v>
      </c>
      <c r="D1496" s="2" t="str">
        <f t="shared" si="22"/>
        <v>Error?</v>
      </c>
    </row>
    <row r="1497" spans="1:4" x14ac:dyDescent="0.2">
      <c r="A1497" s="5">
        <v>1436</v>
      </c>
      <c r="B1497" s="1832">
        <f>'Expenditures 15-22'!K268</f>
        <v>3270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18717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19672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27183</v>
      </c>
      <c r="C1517" s="2" t="s">
        <v>569</v>
      </c>
      <c r="D1517" s="2" t="str">
        <f t="shared" si="22"/>
        <v>Error?</v>
      </c>
    </row>
    <row r="1518" spans="1:4" x14ac:dyDescent="0.2">
      <c r="A1518" s="5">
        <v>1457</v>
      </c>
      <c r="B1518" s="1832">
        <f>'Expenditures 15-22'!K296</f>
        <v>-532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193436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255049</v>
      </c>
      <c r="C1630" s="2" t="s">
        <v>569</v>
      </c>
      <c r="D1630" s="2" t="str">
        <f t="shared" si="24"/>
        <v>Error?</v>
      </c>
    </row>
    <row r="1631" spans="1:4" x14ac:dyDescent="0.2">
      <c r="A1631" s="5">
        <v>1570</v>
      </c>
      <c r="B1631" s="1832">
        <f>'Acct Summary 7-8'!D79</f>
        <v>15647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9359</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27406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56633</v>
      </c>
      <c r="C1672" s="2" t="s">
        <v>569</v>
      </c>
      <c r="D1672" s="2" t="str">
        <f t="shared" si="25"/>
        <v>Error?</v>
      </c>
    </row>
    <row r="1673" spans="1:4" x14ac:dyDescent="0.2">
      <c r="A1673" s="5">
        <v>1612</v>
      </c>
      <c r="B1673" s="1832">
        <f>'Acct Summary 7-8'!G79</f>
        <v>12599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12067</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389225</v>
      </c>
      <c r="C1744" s="2" t="s">
        <v>569</v>
      </c>
      <c r="D1744" s="2" t="str">
        <f t="shared" si="26"/>
        <v>Error?</v>
      </c>
    </row>
    <row r="1745" spans="1:5" x14ac:dyDescent="0.2">
      <c r="A1745" s="5">
        <v>1684</v>
      </c>
      <c r="B1745" s="1832">
        <f>'Tax Sched 23'!B5</f>
        <v>35628</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21887</v>
      </c>
      <c r="C1747" s="2" t="s">
        <v>569</v>
      </c>
      <c r="D1747" s="2" t="str">
        <f t="shared" si="26"/>
        <v>Error?</v>
      </c>
    </row>
    <row r="1748" spans="1:5" x14ac:dyDescent="0.2">
      <c r="A1748" s="5">
        <v>1687</v>
      </c>
      <c r="B1748" s="1832">
        <f>'Tax Sched 23'!B8</f>
        <v>9613</v>
      </c>
      <c r="C1748" s="2" t="s">
        <v>569</v>
      </c>
      <c r="D1748" s="2" t="str">
        <f t="shared" si="26"/>
        <v>Error?</v>
      </c>
    </row>
    <row r="1749" spans="1:5" x14ac:dyDescent="0.2">
      <c r="A1749" s="5">
        <v>1688</v>
      </c>
      <c r="B1749" s="1832">
        <f>'Tax Sched 23'!B10</f>
        <v>5092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2549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478413</v>
      </c>
      <c r="C1759" s="2" t="s">
        <v>569</v>
      </c>
      <c r="D1759" s="2" t="str">
        <f t="shared" si="26"/>
        <v>Error?</v>
      </c>
    </row>
    <row r="1760" spans="1:5" x14ac:dyDescent="0.2">
      <c r="A1760" s="5">
        <v>1699</v>
      </c>
      <c r="B1760" s="1832">
        <f>'Tax Sched 23'!D4</f>
        <v>389225</v>
      </c>
      <c r="C1760" s="2" t="s">
        <v>569</v>
      </c>
      <c r="D1760" s="2" t="str">
        <f t="shared" si="26"/>
        <v>Error?</v>
      </c>
    </row>
    <row r="1761" spans="1:7" x14ac:dyDescent="0.2">
      <c r="A1761" s="5">
        <v>1700</v>
      </c>
      <c r="B1761" s="1832">
        <f>'Tax Sched 23'!D5</f>
        <v>35628</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21887</v>
      </c>
      <c r="C1763" s="2" t="s">
        <v>569</v>
      </c>
      <c r="D1763" s="2" t="str">
        <f t="shared" si="26"/>
        <v>Error?</v>
      </c>
    </row>
    <row r="1764" spans="1:7" x14ac:dyDescent="0.2">
      <c r="A1764" s="5">
        <v>1703</v>
      </c>
      <c r="B1764" s="1832">
        <f>'Tax Sched 23'!D8</f>
        <v>9613</v>
      </c>
      <c r="C1764" s="2" t="s">
        <v>569</v>
      </c>
      <c r="D1764" s="2" t="str">
        <f t="shared" si="26"/>
        <v>Error?</v>
      </c>
    </row>
    <row r="1765" spans="1:7" x14ac:dyDescent="0.2">
      <c r="A1765" s="5">
        <v>1704</v>
      </c>
      <c r="B1765" s="1832">
        <f>'Tax Sched 23'!D10</f>
        <v>5092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2549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478413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398400</v>
      </c>
      <c r="C1792" s="2" t="s">
        <v>569</v>
      </c>
      <c r="D1792" s="2" t="str">
        <f t="shared" si="27"/>
        <v>Error?</v>
      </c>
    </row>
    <row r="1793" spans="1:4" x14ac:dyDescent="0.2">
      <c r="A1793" s="5">
        <v>1732</v>
      </c>
      <c r="B1793" s="1832">
        <f>'Tax Sched 23'!F5</f>
        <v>36248</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22267</v>
      </c>
      <c r="C1795" s="2" t="s">
        <v>569</v>
      </c>
      <c r="D1795" s="2" t="str">
        <f t="shared" si="27"/>
        <v>Error?</v>
      </c>
    </row>
    <row r="1796" spans="1:4" x14ac:dyDescent="0.2">
      <c r="A1796" s="5">
        <v>1735</v>
      </c>
      <c r="B1796" s="1832">
        <f>'Tax Sched 23'!F8</f>
        <v>9780</v>
      </c>
      <c r="C1796" s="2" t="s">
        <v>569</v>
      </c>
      <c r="D1796" s="2" t="str">
        <f t="shared" si="27"/>
        <v>Error?</v>
      </c>
    </row>
    <row r="1797" spans="1:4" x14ac:dyDescent="0.2">
      <c r="A1797" s="5">
        <v>1736</v>
      </c>
      <c r="B1797" s="1832">
        <f>'Tax Sched 23'!F10</f>
        <v>5182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2592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489136</v>
      </c>
      <c r="C1807" s="2" t="s">
        <v>569</v>
      </c>
      <c r="D1807" s="2" t="str">
        <f t="shared" si="27"/>
        <v>Error?</v>
      </c>
    </row>
    <row r="1808" spans="1:4" x14ac:dyDescent="0.2">
      <c r="A1808" s="5">
        <v>1747</v>
      </c>
      <c r="B1808" s="1832">
        <f>'Tax Sched 23'!E4</f>
        <v>398400</v>
      </c>
      <c r="D1808" s="2" t="str">
        <f t="shared" si="27"/>
        <v>Error?</v>
      </c>
    </row>
    <row r="1809" spans="1:4" x14ac:dyDescent="0.2">
      <c r="A1809" s="5">
        <v>1748</v>
      </c>
      <c r="B1809" s="1832">
        <f>'Tax Sched 23'!E5</f>
        <v>36248</v>
      </c>
      <c r="D1809" s="2" t="str">
        <f t="shared" si="27"/>
        <v>Error?</v>
      </c>
    </row>
    <row r="1810" spans="1:4" x14ac:dyDescent="0.2">
      <c r="A1810" s="5">
        <v>1749</v>
      </c>
      <c r="B1810" s="1832">
        <f>'Tax Sched 23'!E6</f>
        <v>0</v>
      </c>
      <c r="D1810" s="2" t="str">
        <f t="shared" si="27"/>
        <v>Error?</v>
      </c>
    </row>
    <row r="1811" spans="1:4" x14ac:dyDescent="0.2">
      <c r="A1811" s="5">
        <v>1750</v>
      </c>
      <c r="B1811" s="1832">
        <f>'Tax Sched 23'!E7</f>
        <v>22267</v>
      </c>
      <c r="D1811" s="2" t="str">
        <f t="shared" si="27"/>
        <v>Error?</v>
      </c>
    </row>
    <row r="1812" spans="1:4" x14ac:dyDescent="0.2">
      <c r="A1812" s="5">
        <v>1751</v>
      </c>
      <c r="B1812" s="1832">
        <f>'Tax Sched 23'!E8</f>
        <v>9780</v>
      </c>
      <c r="D1812" s="2" t="str">
        <f t="shared" si="27"/>
        <v>Error?</v>
      </c>
    </row>
    <row r="1813" spans="1:4" x14ac:dyDescent="0.2">
      <c r="A1813" s="5">
        <v>1752</v>
      </c>
      <c r="B1813" s="1832">
        <f>'Tax Sched 23'!E10</f>
        <v>5182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2592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489136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2549</v>
      </c>
      <c r="D1972" s="2" t="str">
        <f t="shared" si="29"/>
        <v>Error?</v>
      </c>
    </row>
    <row r="1973" spans="1:5" x14ac:dyDescent="0.2">
      <c r="A1973" s="5">
        <v>1912</v>
      </c>
      <c r="B1973" s="1832">
        <f>'Rest Tax Levies-Tort Im 25'!H6</f>
        <v>4</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2553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2553</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1284</v>
      </c>
      <c r="D2008" s="2" t="str">
        <f t="shared" si="30"/>
        <v>Error?</v>
      </c>
    </row>
    <row r="2009" spans="1:4" x14ac:dyDescent="0.2">
      <c r="A2009" s="5">
        <v>1948</v>
      </c>
      <c r="B2009" s="1832">
        <f>'Cap Outlay Deprec 26'!C8</f>
        <v>453536</v>
      </c>
      <c r="D2009" s="2" t="str">
        <f t="shared" si="30"/>
        <v>Error?</v>
      </c>
    </row>
    <row r="2010" spans="1:4" x14ac:dyDescent="0.2">
      <c r="A2010" s="5">
        <v>1949</v>
      </c>
      <c r="B2010" s="1832">
        <f>'Cap Outlay Deprec 26'!C10</f>
        <v>1439</v>
      </c>
      <c r="D2010" s="2" t="str">
        <f t="shared" si="30"/>
        <v>Error?</v>
      </c>
    </row>
    <row r="2011" spans="1:4" x14ac:dyDescent="0.2">
      <c r="A2011" s="5">
        <v>1950</v>
      </c>
      <c r="B2011" s="1832">
        <f>'Cap Outlay Deprec 26'!C12</f>
        <v>74169</v>
      </c>
      <c r="D2011" s="2" t="str">
        <f t="shared" si="30"/>
        <v>Error?</v>
      </c>
    </row>
    <row r="2012" spans="1:4" x14ac:dyDescent="0.2">
      <c r="A2012" s="5">
        <v>1951</v>
      </c>
      <c r="B2012" s="1832">
        <f>'Cap Outlay Deprec 26'!C13</f>
        <v>10568</v>
      </c>
      <c r="D2012" s="2" t="str">
        <f t="shared" si="30"/>
        <v>Error?</v>
      </c>
    </row>
    <row r="2013" spans="1:4" x14ac:dyDescent="0.2">
      <c r="A2013" s="5">
        <v>1952</v>
      </c>
      <c r="B2013" s="1832">
        <f>'Cap Outlay Deprec 26'!C16</f>
        <v>540996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141</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141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14748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14748</v>
      </c>
      <c r="C2025" s="2" t="s">
        <v>569</v>
      </c>
      <c r="D2025" s="2" t="str">
        <f t="shared" si="30"/>
        <v>Error?</v>
      </c>
    </row>
    <row r="2026" spans="1:4" x14ac:dyDescent="0.2">
      <c r="A2026" s="5">
        <v>1965</v>
      </c>
      <c r="B2026" s="1832">
        <f>'Cap Outlay Deprec 26'!F5</f>
        <v>1284</v>
      </c>
      <c r="C2026" s="2" t="s">
        <v>569</v>
      </c>
      <c r="D2026" s="2" t="str">
        <f t="shared" si="30"/>
        <v>Error?</v>
      </c>
    </row>
    <row r="2027" spans="1:4" x14ac:dyDescent="0.2">
      <c r="A2027" s="5">
        <v>1966</v>
      </c>
      <c r="B2027" s="1832">
        <f>'Cap Outlay Deprec 26'!F8</f>
        <v>453536</v>
      </c>
      <c r="C2027" s="2" t="s">
        <v>569</v>
      </c>
      <c r="D2027" s="2" t="str">
        <f t="shared" si="30"/>
        <v>Error?</v>
      </c>
    </row>
    <row r="2028" spans="1:4" x14ac:dyDescent="0.2">
      <c r="A2028" s="5">
        <v>1967</v>
      </c>
      <c r="B2028" s="1832">
        <f>'Cap Outlay Deprec 26'!F10</f>
        <v>1439</v>
      </c>
      <c r="C2028" s="2" t="s">
        <v>569</v>
      </c>
      <c r="D2028" s="2" t="str">
        <f t="shared" si="30"/>
        <v>Error?</v>
      </c>
    </row>
    <row r="2029" spans="1:4" x14ac:dyDescent="0.2">
      <c r="A2029" s="5">
        <v>1968</v>
      </c>
      <c r="B2029" s="1832">
        <f>'Cap Outlay Deprec 26'!F12</f>
        <v>59562</v>
      </c>
      <c r="C2029" s="2" t="s">
        <v>569</v>
      </c>
      <c r="D2029" s="2" t="str">
        <f t="shared" si="30"/>
        <v>Error?</v>
      </c>
    </row>
    <row r="2030" spans="1:4" x14ac:dyDescent="0.2">
      <c r="A2030" s="5">
        <v>1969</v>
      </c>
      <c r="B2030" s="1832">
        <f>'Cap Outlay Deprec 26'!F13</f>
        <v>10568</v>
      </c>
      <c r="C2030" s="2" t="s">
        <v>569</v>
      </c>
      <c r="D2030" s="2" t="str">
        <f t="shared" si="30"/>
        <v>Error?</v>
      </c>
    </row>
    <row r="2031" spans="1:4" x14ac:dyDescent="0.2">
      <c r="A2031" s="5">
        <v>1970</v>
      </c>
      <c r="B2031" s="1832">
        <f>'Cap Outlay Deprec 26'!F16</f>
        <v>526389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362223</v>
      </c>
      <c r="D2033" s="2" t="str">
        <f t="shared" si="30"/>
        <v>Error?</v>
      </c>
    </row>
    <row r="2034" spans="1:4" x14ac:dyDescent="0.2">
      <c r="A2034" s="5">
        <v>1973</v>
      </c>
      <c r="B2034" s="1832">
        <f>'Cap Outlay Deprec 26'!H10</f>
        <v>288</v>
      </c>
      <c r="D2034" s="2" t="str">
        <f t="shared" si="30"/>
        <v>Error?</v>
      </c>
    </row>
    <row r="2035" spans="1:4" x14ac:dyDescent="0.2">
      <c r="A2035" s="5">
        <v>1974</v>
      </c>
      <c r="B2035" s="1832">
        <f>'Cap Outlay Deprec 26'!H12</f>
        <v>39459</v>
      </c>
      <c r="D2035" s="2" t="str">
        <f t="shared" si="30"/>
        <v>Error?</v>
      </c>
    </row>
    <row r="2036" spans="1:4" x14ac:dyDescent="0.2">
      <c r="A2036" s="5">
        <v>1975</v>
      </c>
      <c r="B2036" s="1832">
        <f>'Cap Outlay Deprec 26'!H13</f>
        <v>10568</v>
      </c>
      <c r="D2036" s="2" t="str">
        <f t="shared" si="30"/>
        <v>Error?</v>
      </c>
    </row>
    <row r="2037" spans="1:4" x14ac:dyDescent="0.2">
      <c r="A2037" s="5">
        <v>1976</v>
      </c>
      <c r="B2037" s="1832">
        <f>'Cap Outlay Deprec 26'!H16</f>
        <v>412538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7488</v>
      </c>
      <c r="D2039" s="2" t="str">
        <f t="shared" si="30"/>
        <v>Error?</v>
      </c>
    </row>
    <row r="2040" spans="1:4" x14ac:dyDescent="0.2">
      <c r="A2040" s="5">
        <v>1979</v>
      </c>
      <c r="B2040" s="1832">
        <f>'Cap Outlay Deprec 26'!I10</f>
        <v>72</v>
      </c>
      <c r="D2040" s="2" t="str">
        <f t="shared" si="30"/>
        <v>Error?</v>
      </c>
    </row>
    <row r="2041" spans="1:4" x14ac:dyDescent="0.2">
      <c r="A2041" s="5">
        <v>1980</v>
      </c>
      <c r="B2041" s="1832">
        <f>'Cap Outlay Deprec 26'!I12</f>
        <v>5957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13517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14748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14748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369711</v>
      </c>
      <c r="C2051" s="2" t="s">
        <v>569</v>
      </c>
      <c r="D2051" s="2" t="str">
        <f t="shared" si="31"/>
        <v>Error?</v>
      </c>
    </row>
    <row r="2052" spans="1:4" x14ac:dyDescent="0.2">
      <c r="A2052" s="5">
        <v>1991</v>
      </c>
      <c r="B2052" s="1832">
        <f>'Cap Outlay Deprec 26'!K10</f>
        <v>360</v>
      </c>
      <c r="C2052" s="2" t="s">
        <v>569</v>
      </c>
      <c r="D2052" s="2" t="str">
        <f t="shared" si="31"/>
        <v>Error?</v>
      </c>
    </row>
    <row r="2053" spans="1:4" x14ac:dyDescent="0.2">
      <c r="A2053" s="5">
        <v>1992</v>
      </c>
      <c r="B2053" s="1832">
        <f>'Cap Outlay Deprec 26'!K12</f>
        <v>30668</v>
      </c>
      <c r="C2053" s="2" t="s">
        <v>569</v>
      </c>
      <c r="D2053" s="2" t="str">
        <f t="shared" si="31"/>
        <v>Error?</v>
      </c>
    </row>
    <row r="2054" spans="1:4" x14ac:dyDescent="0.2">
      <c r="A2054" s="5">
        <v>1993</v>
      </c>
      <c r="B2054" s="1832">
        <f>'Cap Outlay Deprec 26'!K13</f>
        <v>10568</v>
      </c>
      <c r="C2054" s="2" t="s">
        <v>569</v>
      </c>
      <c r="D2054" s="2" t="str">
        <f t="shared" si="31"/>
        <v>Error?</v>
      </c>
    </row>
    <row r="2055" spans="1:4" x14ac:dyDescent="0.2">
      <c r="A2055" s="5">
        <v>1994</v>
      </c>
      <c r="B2055" s="1832">
        <f>'Cap Outlay Deprec 26'!K16</f>
        <v>411307</v>
      </c>
      <c r="C2055" s="2" t="s">
        <v>569</v>
      </c>
      <c r="D2055" s="2" t="str">
        <f t="shared" si="31"/>
        <v>Error?</v>
      </c>
    </row>
    <row r="2056" spans="1:4" x14ac:dyDescent="0.2">
      <c r="A2056" s="5">
        <v>1995</v>
      </c>
      <c r="B2056" s="1832">
        <f>'Cap Outlay Deprec 26'!L5</f>
        <v>1284</v>
      </c>
      <c r="C2056" s="2" t="s">
        <v>569</v>
      </c>
      <c r="D2056" s="2" t="str">
        <f t="shared" si="31"/>
        <v>Error?</v>
      </c>
    </row>
    <row r="2057" spans="1:4" x14ac:dyDescent="0.2">
      <c r="A2057" s="5">
        <v>1996</v>
      </c>
      <c r="B2057" s="1832">
        <f>'Cap Outlay Deprec 26'!L8</f>
        <v>83825</v>
      </c>
      <c r="C2057" s="2" t="s">
        <v>569</v>
      </c>
      <c r="D2057" s="2" t="str">
        <f t="shared" si="31"/>
        <v>Error?</v>
      </c>
    </row>
    <row r="2058" spans="1:4" x14ac:dyDescent="0.2">
      <c r="A2058" s="5">
        <v>1997</v>
      </c>
      <c r="B2058" s="1832">
        <f>'Cap Outlay Deprec 26'!L10</f>
        <v>1079</v>
      </c>
      <c r="C2058" s="2" t="s">
        <v>569</v>
      </c>
      <c r="D2058" s="2" t="str">
        <f t="shared" si="31"/>
        <v>Error?</v>
      </c>
    </row>
    <row r="2059" spans="1:4" x14ac:dyDescent="0.2">
      <c r="A2059" s="5">
        <v>1998</v>
      </c>
      <c r="B2059" s="1832">
        <f>'Cap Outlay Deprec 26'!L12</f>
        <v>28894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115082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30876</v>
      </c>
      <c r="C2088" s="2" t="s">
        <v>569</v>
      </c>
      <c r="D2088" s="2" t="str">
        <f t="shared" si="31"/>
        <v>Error?</v>
      </c>
    </row>
    <row r="2089" spans="1:4" x14ac:dyDescent="0.2">
      <c r="A2089" s="5">
        <v>2028</v>
      </c>
      <c r="B2089" s="1832">
        <f>'Expenditures 15-22'!K92</f>
        <v>76094</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4916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408497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250860</v>
      </c>
      <c r="C2553" s="2" t="s">
        <v>569</v>
      </c>
      <c r="D2553" s="2" t="str">
        <f t="shared" si="38"/>
        <v>Error?</v>
      </c>
    </row>
    <row r="2554" spans="1:4" x14ac:dyDescent="0.2">
      <c r="A2554" s="5">
        <v>2493</v>
      </c>
      <c r="B2554" s="1832">
        <f>'Acct Summary 7-8'!C7</f>
        <v>66880</v>
      </c>
      <c r="C2554" s="2" t="s">
        <v>569</v>
      </c>
      <c r="D2554" s="2" t="str">
        <f t="shared" si="38"/>
        <v>Error?</v>
      </c>
    </row>
    <row r="2555" spans="1:4" x14ac:dyDescent="0.2">
      <c r="A2555" s="5">
        <v>2494</v>
      </c>
      <c r="B2555" s="1832">
        <f>'Acct Summary 7-8'!C8</f>
        <v>726237</v>
      </c>
      <c r="C2555" s="2" t="s">
        <v>569</v>
      </c>
      <c r="D2555" s="2" t="str">
        <f t="shared" si="38"/>
        <v>Error?</v>
      </c>
    </row>
    <row r="2556" spans="1:4" x14ac:dyDescent="0.2">
      <c r="A2556" s="5">
        <v>2495</v>
      </c>
      <c r="B2556" s="1832">
        <f>'Acct Summary 7-8'!C12</f>
        <v>335648</v>
      </c>
      <c r="C2556" s="2" t="s">
        <v>569</v>
      </c>
      <c r="D2556" s="2" t="str">
        <f t="shared" si="38"/>
        <v>Error?</v>
      </c>
    </row>
    <row r="2557" spans="1:4" x14ac:dyDescent="0.2">
      <c r="A2557" s="5">
        <v>2496</v>
      </c>
      <c r="B2557" s="1832">
        <f>'Acct Summary 7-8'!C13</f>
        <v>222006</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106970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664624</v>
      </c>
      <c r="C2561" s="2" t="s">
        <v>569</v>
      </c>
      <c r="D2561" s="2" t="str">
        <f t="shared" si="39"/>
        <v>Error?</v>
      </c>
    </row>
    <row r="2562" spans="1:4" x14ac:dyDescent="0.2">
      <c r="A2562" s="5">
        <v>2501</v>
      </c>
      <c r="B2562" s="1832">
        <f>'Acct Summary 7-8'!C20</f>
        <v>61613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35683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35683</v>
      </c>
      <c r="C2568" s="2" t="s">
        <v>569</v>
      </c>
      <c r="D2568" s="2" t="str">
        <f t="shared" si="39"/>
        <v>Error?</v>
      </c>
    </row>
    <row r="2569" spans="1:4" x14ac:dyDescent="0.2">
      <c r="A2569" s="5">
        <v>2508</v>
      </c>
      <c r="B2569" s="1832">
        <f>'Acct Summary 7-8'!D13</f>
        <v>41971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41971</v>
      </c>
      <c r="C2573" s="2" t="s">
        <v>569</v>
      </c>
      <c r="D2573" s="2" t="str">
        <f t="shared" si="39"/>
        <v>Error?</v>
      </c>
    </row>
    <row r="2574" spans="1:4" x14ac:dyDescent="0.2">
      <c r="A2574" s="5">
        <v>2513</v>
      </c>
      <c r="B2574" s="1832">
        <f>'Acct Summary 7-8'!D20</f>
        <v>-6288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21918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52349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74267</v>
      </c>
      <c r="C2595" s="2" t="s">
        <v>569</v>
      </c>
      <c r="D2595" s="2" t="str">
        <f t="shared" si="39"/>
        <v>Error?</v>
      </c>
    </row>
    <row r="2596" spans="1:4" x14ac:dyDescent="0.2">
      <c r="A2596" s="5">
        <v>2535</v>
      </c>
      <c r="B2596" s="1832">
        <f>'Acct Summary 7-8'!F13</f>
        <v>45040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45040</v>
      </c>
      <c r="C2600" s="2" t="s">
        <v>569</v>
      </c>
      <c r="D2600" s="2" t="str">
        <f t="shared" si="39"/>
        <v>Error?</v>
      </c>
    </row>
    <row r="2601" spans="1:4" x14ac:dyDescent="0.2">
      <c r="A2601" s="5">
        <v>2540</v>
      </c>
      <c r="B2601" s="1832">
        <f>'Acct Summary 7-8'!F20</f>
        <v>29227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26651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26651</v>
      </c>
      <c r="C2606" s="2" t="s">
        <v>569</v>
      </c>
      <c r="D2606" s="2" t="str">
        <f t="shared" si="39"/>
        <v>Error?</v>
      </c>
    </row>
    <row r="2607" spans="1:4" x14ac:dyDescent="0.2">
      <c r="A2607" s="5">
        <v>2546</v>
      </c>
      <c r="B2607" s="1832">
        <f>'Acct Summary 7-8'!G12</f>
        <v>7511</v>
      </c>
      <c r="C2607" s="2" t="s">
        <v>569</v>
      </c>
      <c r="D2607" s="2" t="str">
        <f t="shared" si="39"/>
        <v>Error?</v>
      </c>
    </row>
    <row r="2608" spans="1:4" x14ac:dyDescent="0.2">
      <c r="A2608" s="5">
        <v>2547</v>
      </c>
      <c r="B2608" s="1832">
        <f>'Acct Summary 7-8'!G13</f>
        <v>19672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27183</v>
      </c>
      <c r="C2612" s="2" t="s">
        <v>569</v>
      </c>
      <c r="D2612" s="2" t="str">
        <f t="shared" si="39"/>
        <v>Error?</v>
      </c>
    </row>
    <row r="2613" spans="1:4" x14ac:dyDescent="0.2">
      <c r="A2613" s="5">
        <v>2552</v>
      </c>
      <c r="B2613" s="1832">
        <f>'Acct Summary 7-8'!G20</f>
        <v>-532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30876</v>
      </c>
      <c r="C2789" s="2" t="s">
        <v>569</v>
      </c>
      <c r="D2789" s="2" t="str">
        <f t="shared" si="42"/>
        <v>Error?</v>
      </c>
    </row>
    <row r="2790" spans="1:4" x14ac:dyDescent="0.2">
      <c r="A2790" s="5">
        <v>2729</v>
      </c>
      <c r="B2790" s="1832">
        <f>'Expenditures 15-22'!E102</f>
        <v>30876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15674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2764</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15674</v>
      </c>
      <c r="D2912" s="2" t="str">
        <f t="shared" si="44"/>
        <v>Error?</v>
      </c>
    </row>
    <row r="2913" spans="1:4" x14ac:dyDescent="0.2">
      <c r="A2913" s="5">
        <v>2852</v>
      </c>
      <c r="B2913" s="1832">
        <f>'Assets-Liab 5-6'!I41</f>
        <v>15674</v>
      </c>
      <c r="C2913" s="2" t="s">
        <v>569</v>
      </c>
      <c r="D2913" s="2" t="str">
        <f t="shared" si="44"/>
        <v>Error?</v>
      </c>
    </row>
    <row r="2914" spans="1:4" x14ac:dyDescent="0.2">
      <c r="A2914" s="5">
        <v>2853</v>
      </c>
      <c r="B2914" s="1832">
        <f>'Assets-Liab 5-6'!L33</f>
        <v>2764</v>
      </c>
      <c r="D2914" s="2" t="str">
        <f t="shared" si="44"/>
        <v>Error?</v>
      </c>
    </row>
    <row r="2915" spans="1:4" x14ac:dyDescent="0.2">
      <c r="A2915" s="10">
        <v>2854</v>
      </c>
      <c r="B2915" s="1832"/>
      <c r="D2915" s="2" t="str">
        <f t="shared" si="44"/>
        <v>OK</v>
      </c>
    </row>
    <row r="2916" spans="1:4" x14ac:dyDescent="0.2">
      <c r="A2916" s="5">
        <v>2855</v>
      </c>
      <c r="B2916" s="1832">
        <f>'Assets-Liab 5-6'!L34</f>
        <v>2764</v>
      </c>
      <c r="C2916" s="2" t="s">
        <v>569</v>
      </c>
      <c r="D2916" s="2" t="str">
        <f t="shared" si="44"/>
        <v>Error?</v>
      </c>
    </row>
    <row r="2917" spans="1:4" x14ac:dyDescent="0.2">
      <c r="A2917" s="5">
        <v>2856</v>
      </c>
      <c r="B2917" s="1832">
        <f>'Assets-Liab 5-6'!L41</f>
        <v>2764</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30876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30876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5100</v>
      </c>
      <c r="C3225" s="2" t="s">
        <v>569</v>
      </c>
      <c r="D3225" s="2" t="str">
        <f t="shared" si="49"/>
        <v>Error?</v>
      </c>
    </row>
    <row r="3226" spans="1:4" x14ac:dyDescent="0.2">
      <c r="A3226" s="5">
        <v>3165</v>
      </c>
      <c r="B3226" s="1832">
        <f>'Acct Summary 7-8'!I8</f>
        <v>5100</v>
      </c>
      <c r="C3226" s="2" t="s">
        <v>569</v>
      </c>
      <c r="D3226" s="2" t="str">
        <f t="shared" si="49"/>
        <v>Error?</v>
      </c>
    </row>
    <row r="3227" spans="1:4" x14ac:dyDescent="0.2">
      <c r="A3227" s="5">
        <v>3166</v>
      </c>
      <c r="B3227" s="1832">
        <f>'Acct Summary 7-8'!I20</f>
        <v>5100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61613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-6288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29227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-532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5100</v>
      </c>
      <c r="C3320" s="2" t="s">
        <v>569</v>
      </c>
      <c r="D3320" s="2" t="str">
        <f t="shared" si="50"/>
        <v>Error?</v>
      </c>
    </row>
    <row r="3321" spans="1:4" x14ac:dyDescent="0.2">
      <c r="A3321" s="5">
        <v>3260</v>
      </c>
      <c r="B3321" s="1832">
        <f>'Acct Summary 7-8'!I79</f>
        <v>10574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15674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212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7511</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7511</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255892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9359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56633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12067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15674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2764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14419</v>
      </c>
      <c r="C3446" s="2" t="s">
        <v>569</v>
      </c>
      <c r="D3446" s="2" t="str">
        <f t="shared" si="52"/>
        <v>Error?</v>
      </c>
    </row>
    <row r="3447" spans="1:4" x14ac:dyDescent="0.2">
      <c r="A3447" s="5">
        <v>3386</v>
      </c>
      <c r="B3447" s="1832">
        <f>'Tax Sched 23'!D16</f>
        <v>14419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14667</v>
      </c>
      <c r="C3449" s="2" t="s">
        <v>569</v>
      </c>
      <c r="D3449" s="2" t="str">
        <f t="shared" si="52"/>
        <v>Error?</v>
      </c>
    </row>
    <row r="3450" spans="1:4" x14ac:dyDescent="0.2">
      <c r="A3450" s="5">
        <v>3389</v>
      </c>
      <c r="B3450" s="1832">
        <f>'Tax Sched 23'!E16</f>
        <v>14667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8948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165357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891594</v>
      </c>
      <c r="C4122" s="2" t="s">
        <v>569</v>
      </c>
      <c r="D4122" s="2" t="str">
        <f t="shared" si="63"/>
        <v>Error?</v>
      </c>
    </row>
    <row r="4123" spans="1:4" x14ac:dyDescent="0.2">
      <c r="A4123" s="5">
        <v>4062</v>
      </c>
      <c r="B4123" s="1832">
        <f>'Acct Summary 7-8'!D10</f>
        <v>35683</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74267</v>
      </c>
      <c r="C4125" s="2" t="s">
        <v>569</v>
      </c>
      <c r="D4125" s="2" t="str">
        <f t="shared" si="63"/>
        <v>Error?</v>
      </c>
    </row>
    <row r="4126" spans="1:4" x14ac:dyDescent="0.2">
      <c r="A4126" s="5">
        <v>4065</v>
      </c>
      <c r="B4126" s="1832">
        <f>'Acct Summary 7-8'!G10</f>
        <v>26651</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5100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165357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829981</v>
      </c>
      <c r="C4136" s="2" t="s">
        <v>569</v>
      </c>
      <c r="D4136" s="2" t="str">
        <f t="shared" si="63"/>
        <v>Error?</v>
      </c>
    </row>
    <row r="4137" spans="1:4" x14ac:dyDescent="0.2">
      <c r="A4137" s="5">
        <v>4076</v>
      </c>
      <c r="B4137" s="1832">
        <f>'Acct Summary 7-8'!D19</f>
        <v>41971</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45040</v>
      </c>
      <c r="C4139" s="2" t="s">
        <v>569</v>
      </c>
      <c r="D4139" s="2" t="str">
        <f t="shared" si="63"/>
        <v>Error?</v>
      </c>
    </row>
    <row r="4140" spans="1:4" x14ac:dyDescent="0.2">
      <c r="A4140" s="5">
        <v>4079</v>
      </c>
      <c r="B4140" s="1832">
        <f>'Acct Summary 7-8'!G19</f>
        <v>27183</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3067.46</v>
      </c>
      <c r="C4265" s="2" t="s">
        <v>569</v>
      </c>
      <c r="D4265" s="2" t="str">
        <f t="shared" si="65"/>
        <v>Error?</v>
      </c>
      <c r="E4265" s="125"/>
    </row>
    <row r="4266" spans="1:5" x14ac:dyDescent="0.2">
      <c r="A4266" s="12">
        <v>4205</v>
      </c>
      <c r="B4266" s="1832">
        <f>('FP Info 3'!F10)*100000</f>
        <v>279.08999999999997</v>
      </c>
      <c r="C4266" s="2" t="s">
        <v>569</v>
      </c>
      <c r="D4266" s="2" t="str">
        <f t="shared" si="65"/>
        <v>Error?</v>
      </c>
      <c r="E4266" s="125"/>
    </row>
    <row r="4267" spans="1:5" x14ac:dyDescent="0.2">
      <c r="A4267" s="12">
        <v>4206</v>
      </c>
      <c r="B4267" s="1832">
        <f>('FP Info 3'!H10)*100000</f>
        <v>171.44</v>
      </c>
      <c r="C4267" s="2" t="s">
        <v>569</v>
      </c>
      <c r="D4267" s="2" t="str">
        <f t="shared" si="65"/>
        <v>Error?</v>
      </c>
      <c r="E4267" s="125"/>
    </row>
    <row r="4268" spans="1:5" x14ac:dyDescent="0.2">
      <c r="A4268" s="12">
        <v>4207</v>
      </c>
      <c r="B4268" s="1832">
        <f>('FP Info 3'!J10)*100000</f>
        <v>3518.0000000000005</v>
      </c>
      <c r="C4268" s="2" t="s">
        <v>569</v>
      </c>
      <c r="D4268" s="2" t="str">
        <f t="shared" si="65"/>
        <v>Error?</v>
      </c>
    </row>
    <row r="4269" spans="1:5" x14ac:dyDescent="0.2">
      <c r="A4269" s="12">
        <v>4208</v>
      </c>
      <c r="B4269" s="1832">
        <f>'FP Info 3'!J16</f>
        <v>336715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879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450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39.9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11391</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12987943</v>
      </c>
      <c r="D4995" s="2" t="str">
        <f t="shared" si="77"/>
        <v>Error?</v>
      </c>
    </row>
    <row r="4996" spans="1:4" x14ac:dyDescent="0.2">
      <c r="A4996" s="12">
        <v>4935</v>
      </c>
      <c r="B4996" s="1832">
        <f>'FP Info 3'!H31</f>
        <v>896168.06700000004</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389225</v>
      </c>
      <c r="D5061" s="2" t="str">
        <f t="shared" si="78"/>
        <v>Error?</v>
      </c>
    </row>
    <row r="5062" spans="1:4" x14ac:dyDescent="0.2">
      <c r="A5062" s="10">
        <v>5001</v>
      </c>
      <c r="B5062" s="1832"/>
      <c r="D5062" s="2" t="str">
        <f t="shared" si="78"/>
        <v>OK</v>
      </c>
    </row>
    <row r="5063" spans="1:4" x14ac:dyDescent="0.2">
      <c r="A5063" s="5">
        <v>5002</v>
      </c>
      <c r="B5063" s="1832">
        <f>'Revenues 9-14'!C7</f>
        <v>2549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391774</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3558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3558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576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576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573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6498</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1800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11</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1811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159</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4033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88</v>
      </c>
      <c r="D5119" s="2" t="str">
        <f t="shared" ref="D5119:D5182" si="79">IF(ISBLANK(B5119),"OK",IF(A5119-B5119=0,"OK","Error?"))</f>
        <v>Error?</v>
      </c>
    </row>
    <row r="5120" spans="1:4" x14ac:dyDescent="0.2">
      <c r="A5120" s="5">
        <v>5059</v>
      </c>
      <c r="B5120" s="1832">
        <f>'Revenues 9-14'!C108</f>
        <v>4280</v>
      </c>
      <c r="C5120" s="2" t="s">
        <v>569</v>
      </c>
      <c r="D5120" s="2" t="str">
        <f t="shared" si="79"/>
        <v>Error?</v>
      </c>
    </row>
    <row r="5121" spans="1:4" x14ac:dyDescent="0.2">
      <c r="A5121" s="5">
        <v>5060</v>
      </c>
      <c r="B5121" s="1832">
        <f>'Revenues 9-14'!C109</f>
        <v>408497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250624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250624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236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236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250860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11391</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4566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2493</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7059</v>
      </c>
      <c r="C5246" s="2" t="s">
        <v>569</v>
      </c>
      <c r="D5246" s="2" t="str">
        <f t="shared" si="80"/>
        <v>Error?</v>
      </c>
    </row>
    <row r="5247" spans="1:4" x14ac:dyDescent="0.2">
      <c r="A5247" s="5">
        <v>5186</v>
      </c>
      <c r="B5247" s="1832">
        <f>'Revenues 9-14'!C200</f>
        <v>35303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35303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11798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11798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55489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66880</v>
      </c>
      <c r="C5326" s="2" t="s">
        <v>569</v>
      </c>
      <c r="D5326" s="2" t="str">
        <f t="shared" si="82"/>
        <v>Error?</v>
      </c>
    </row>
    <row r="5327" spans="1:5" x14ac:dyDescent="0.2">
      <c r="A5327" s="5">
        <v>5266</v>
      </c>
      <c r="B5327" s="1832">
        <f>'Revenues 9-14'!C268</f>
        <v>726237</v>
      </c>
      <c r="C5327" s="2" t="s">
        <v>569</v>
      </c>
      <c r="D5327" s="2" t="str">
        <f t="shared" si="82"/>
        <v>Error?</v>
      </c>
    </row>
    <row r="5328" spans="1:5" x14ac:dyDescent="0.2">
      <c r="A5328" s="5">
        <v>5267</v>
      </c>
      <c r="B5328" s="1832">
        <f>'Revenues 9-14'!D5</f>
        <v>35628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35628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51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4</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4</v>
      </c>
      <c r="C5355" s="2" t="s">
        <v>569</v>
      </c>
      <c r="D5355" s="2" t="str">
        <f t="shared" si="82"/>
        <v>Error?</v>
      </c>
    </row>
    <row r="5356" spans="1:4" x14ac:dyDescent="0.2">
      <c r="A5356" s="5">
        <v>5295</v>
      </c>
      <c r="B5356" s="1832">
        <f>'Revenues 9-14'!D109</f>
        <v>35683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35683</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21887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21887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21918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46864</v>
      </c>
      <c r="D5615" s="2" t="str">
        <f t="shared" si="86"/>
        <v>Error?</v>
      </c>
    </row>
    <row r="5616" spans="1:4" x14ac:dyDescent="0.2">
      <c r="A5616" s="10">
        <v>5555</v>
      </c>
      <c r="B5616" s="1832"/>
      <c r="D5616" s="2" t="str">
        <f t="shared" si="86"/>
        <v>OK</v>
      </c>
    </row>
    <row r="5617" spans="1:5" x14ac:dyDescent="0.2">
      <c r="A5617" s="5">
        <v>5556</v>
      </c>
      <c r="B5617" s="1832">
        <f>'Revenues 9-14'!F153</f>
        <v>5485</v>
      </c>
      <c r="D5617" s="2" t="str">
        <f t="shared" si="86"/>
        <v>Error?</v>
      </c>
    </row>
    <row r="5618" spans="1:5" x14ac:dyDescent="0.2">
      <c r="A5618" s="5">
        <v>5557</v>
      </c>
      <c r="B5618" s="1832">
        <f>'Revenues 9-14'!F155</f>
        <v>52349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52349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52349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74267</v>
      </c>
      <c r="C5720" s="2" t="s">
        <v>569</v>
      </c>
      <c r="D5720" s="2" t="str">
        <f t="shared" si="88"/>
        <v>Error?</v>
      </c>
    </row>
    <row r="5721" spans="1:4" x14ac:dyDescent="0.2">
      <c r="A5721" s="5">
        <v>5660</v>
      </c>
      <c r="B5721" s="1832">
        <f>'Revenues 9-14'!G5</f>
        <v>9613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14419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24032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2587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2587</v>
      </c>
      <c r="C5730" s="2" t="s">
        <v>569</v>
      </c>
      <c r="D5730" s="2" t="str">
        <f t="shared" si="88"/>
        <v>Error?</v>
      </c>
    </row>
    <row r="5731" spans="1:4" x14ac:dyDescent="0.2">
      <c r="A5731" s="5">
        <v>5670</v>
      </c>
      <c r="B5731" s="1832">
        <f>'Revenues 9-14'!G65</f>
        <v>32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26651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5092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5092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5100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26651</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5100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5925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2649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43.1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61613</v>
      </c>
      <c r="D6267" s="2" t="str">
        <f t="shared" si="96"/>
        <v>Error?</v>
      </c>
      <c r="E6267" s="2" t="s">
        <v>189</v>
      </c>
    </row>
    <row r="6268" spans="1:5" x14ac:dyDescent="0.2">
      <c r="A6268">
        <v>6207</v>
      </c>
      <c r="B6268" s="1832">
        <f>'Acct Summary 7-8'!D82</f>
        <v>-6288</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29227</v>
      </c>
      <c r="D6270" s="2" t="str">
        <f t="shared" si="96"/>
        <v>Error?</v>
      </c>
      <c r="E6270" s="2" t="s">
        <v>189</v>
      </c>
    </row>
    <row r="6271" spans="1:5" x14ac:dyDescent="0.2">
      <c r="A6271">
        <v>6210</v>
      </c>
      <c r="B6271" s="1832">
        <f>'Acct Summary 7-8'!G82</f>
        <v>-532</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5100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0.24157318789722759</v>
      </c>
      <c r="D6276" s="2" t="str">
        <f t="shared" si="97"/>
        <v>Error?</v>
      </c>
      <c r="E6276" s="2" t="s">
        <v>189</v>
      </c>
    </row>
    <row r="6277" spans="1:5" x14ac:dyDescent="0.2">
      <c r="A6277">
        <v>6216</v>
      </c>
      <c r="B6277" s="1832">
        <f>'Acct Summary 7-8'!D83</f>
        <v>-0.67186665242013033</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0.51607719880634961</v>
      </c>
      <c r="D6279" s="2" t="str">
        <f t="shared" si="97"/>
        <v>Error?</v>
      </c>
      <c r="E6279" s="2" t="s">
        <v>189</v>
      </c>
    </row>
    <row r="6280" spans="1:5" x14ac:dyDescent="0.2">
      <c r="A6280">
        <v>6219</v>
      </c>
      <c r="B6280" s="1832">
        <f>'Acct Summary 7-8'!G83</f>
        <v>-4.4087179912157125E-2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0.32537960954446854</v>
      </c>
      <c r="D6282" s="2" t="str">
        <f t="shared" si="97"/>
        <v>Error?</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2640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19827</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19827</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60494</v>
      </c>
      <c r="D6981" s="2" t="str">
        <f t="shared" si="108"/>
        <v>Error?</v>
      </c>
    </row>
    <row r="6982" spans="1:4" x14ac:dyDescent="0.2">
      <c r="A6982">
        <v>6921</v>
      </c>
      <c r="B6982" s="1832">
        <f>'Expenditures 15-22'!K85</f>
        <v>60494</v>
      </c>
      <c r="D6982" s="2" t="str">
        <f t="shared" si="108"/>
        <v>Error?</v>
      </c>
    </row>
    <row r="6983" spans="1:4" x14ac:dyDescent="0.2">
      <c r="A6983">
        <v>6922</v>
      </c>
      <c r="B6983" s="1832">
        <f>'Expenditures 15-22'!H86</f>
        <v>15600</v>
      </c>
      <c r="D6983" s="2" t="str">
        <f t="shared" si="108"/>
        <v>Error?</v>
      </c>
    </row>
    <row r="6984" spans="1:4" x14ac:dyDescent="0.2">
      <c r="A6984">
        <v>6923</v>
      </c>
      <c r="B6984" s="1832">
        <f>'Expenditures 15-22'!K86</f>
        <v>15600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76094</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2640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13517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2553</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16863.05</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778818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2640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109751</v>
      </c>
      <c r="D7834" s="2" t="str">
        <f t="shared" si="129"/>
        <v>Error?</v>
      </c>
      <c r="E7834" s="4" t="s">
        <v>1998</v>
      </c>
    </row>
    <row r="7835" spans="1:5" x14ac:dyDescent="0.2">
      <c r="A7835">
        <v>7774</v>
      </c>
      <c r="B7835" s="1832">
        <f>'PCTC-OEPP 27-28'!F78</f>
        <v>669067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15523.596287703016</v>
      </c>
      <c r="D7837" s="2" t="str">
        <f t="shared" si="129"/>
        <v>Error?</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52349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11391</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7059</v>
      </c>
      <c r="D7858" s="2" t="str">
        <f t="shared" si="129"/>
        <v>Error?</v>
      </c>
      <c r="E7858" s="4" t="s">
        <v>1998</v>
      </c>
    </row>
    <row r="7859" spans="1:5" x14ac:dyDescent="0.2">
      <c r="A7859">
        <v>7798</v>
      </c>
      <c r="B7859" s="1832">
        <f>'PCTC-OEPP 27-28'!F127</f>
        <v>35303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11798</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879</v>
      </c>
      <c r="D7874" s="2" t="str">
        <f t="shared" si="129"/>
        <v>Error?</v>
      </c>
      <c r="E7874" s="4" t="s">
        <v>1998</v>
      </c>
    </row>
    <row r="7875" spans="1:5" x14ac:dyDescent="0.2">
      <c r="A7875">
        <v>7814</v>
      </c>
      <c r="B7875" s="1832">
        <f>'PCTC-OEPP 27-28'!F170</f>
        <v>450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144637.04999999999</v>
      </c>
      <c r="D7877" s="2" t="str">
        <f t="shared" si="129"/>
        <v>Error?</v>
      </c>
      <c r="E7877" s="4" t="s">
        <v>1998</v>
      </c>
    </row>
    <row r="7878" spans="1:5" x14ac:dyDescent="0.2">
      <c r="A7878">
        <v>7817</v>
      </c>
      <c r="B7878" s="1832">
        <f>'PCTC-OEPP 27-28'!F176</f>
        <v>524429.94999999995</v>
      </c>
      <c r="D7878" s="2" t="str">
        <f t="shared" si="129"/>
        <v>Error?</v>
      </c>
      <c r="E7878" s="4" t="s">
        <v>1998</v>
      </c>
    </row>
    <row r="7879" spans="1:5" x14ac:dyDescent="0.2">
      <c r="A7879">
        <v>7818</v>
      </c>
      <c r="B7879" s="1832">
        <f>'PCTC-OEPP 27-28'!F178</f>
        <v>537946.94999999995</v>
      </c>
      <c r="D7879" s="2" t="str">
        <f t="shared" si="129"/>
        <v>Error?</v>
      </c>
      <c r="E7879" s="4" t="s">
        <v>1998</v>
      </c>
    </row>
    <row r="7880" spans="1:5" x14ac:dyDescent="0.2">
      <c r="A7880">
        <v>7819</v>
      </c>
      <c r="B7880" s="1832">
        <f>'PCTC-OEPP 27-28'!F180</f>
        <v>12481.367749419953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9" t="s">
        <v>1181</v>
      </c>
      <c r="B2" s="2559"/>
      <c r="C2" s="2559"/>
      <c r="D2" s="2559"/>
      <c r="E2" s="2559"/>
      <c r="F2" s="2559"/>
      <c r="G2" s="2559"/>
      <c r="H2" s="2559"/>
      <c r="I2" s="2559"/>
      <c r="J2" s="2559"/>
      <c r="K2" s="2559"/>
      <c r="L2" s="2559"/>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76" t="str">
        <f>"Year Ending June 30, "&amp;'AFR20'!E2</f>
        <v>Year Ending June 30, 2020</v>
      </c>
      <c r="B4" s="2577"/>
      <c r="C4" s="2577"/>
      <c r="D4" s="2577"/>
      <c r="E4" s="2577"/>
      <c r="F4" s="2577"/>
      <c r="G4" s="2577"/>
      <c r="H4" s="2577"/>
      <c r="I4" s="2577"/>
      <c r="J4" s="2577"/>
      <c r="K4" s="2577"/>
      <c r="L4" s="257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9" t="str">
        <f>COVER!A17</f>
        <v xml:space="preserve">   Spring Lake CCSD 606</v>
      </c>
      <c r="B7" s="2540"/>
      <c r="C7" s="2540"/>
      <c r="D7" s="2578"/>
      <c r="E7" s="2579">
        <f>COVER!A13</f>
        <v>53090606004</v>
      </c>
      <c r="F7" s="2580"/>
      <c r="G7" s="2546" t="str">
        <f>COVER!T23</f>
        <v>066-005027</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52" t="str">
        <f>COVER!T13</f>
        <v>Gorenz and Associates, Ltd.</v>
      </c>
      <c r="H9" s="2553"/>
      <c r="I9" s="2553"/>
      <c r="J9" s="2553"/>
      <c r="K9" s="2553"/>
      <c r="L9" s="2554"/>
    </row>
    <row r="10" spans="1:29" ht="13.5" customHeight="1" x14ac:dyDescent="0.2">
      <c r="A10" s="2536" t="str">
        <f>COVER!A38</f>
        <v>Charles Nagel</v>
      </c>
      <c r="B10" s="2537"/>
      <c r="C10" s="2537"/>
      <c r="D10" s="2537"/>
      <c r="E10" s="2537"/>
      <c r="F10" s="2538"/>
      <c r="G10" s="2552" t="str">
        <f>COVER!T17</f>
        <v>4200 N Knoxville Ave.</v>
      </c>
      <c r="H10" s="2565"/>
      <c r="I10" s="2565"/>
      <c r="J10" s="2565"/>
      <c r="K10" s="2565"/>
      <c r="L10" s="2566"/>
    </row>
    <row r="11" spans="1:29" ht="13.5" customHeight="1" x14ac:dyDescent="0.2">
      <c r="A11" s="963" t="s">
        <v>1502</v>
      </c>
      <c r="B11" s="964"/>
      <c r="C11" s="965"/>
      <c r="D11" s="970"/>
      <c r="E11" s="965"/>
      <c r="F11" s="969"/>
      <c r="G11" s="2552" t="str">
        <f>COVER!T19</f>
        <v>Peoria</v>
      </c>
      <c r="H11" s="2565"/>
      <c r="I11" s="2565"/>
      <c r="J11" s="2565"/>
      <c r="K11" s="2565"/>
      <c r="L11" s="2566"/>
    </row>
    <row r="12" spans="1:29" ht="13.5" customHeight="1" x14ac:dyDescent="0.2">
      <c r="A12" s="2570" t="s">
        <v>1501</v>
      </c>
      <c r="B12" s="2571"/>
      <c r="C12" s="2571"/>
      <c r="D12" s="2571"/>
      <c r="E12" s="2571"/>
      <c r="F12" s="2572"/>
      <c r="G12" s="2567"/>
      <c r="H12" s="2568"/>
      <c r="I12" s="2568"/>
      <c r="J12" s="2568"/>
      <c r="K12" s="2568"/>
      <c r="L12" s="2569"/>
    </row>
    <row r="13" spans="1:29" ht="13.5" customHeight="1" x14ac:dyDescent="0.2">
      <c r="A13" s="2552"/>
      <c r="B13" s="2565"/>
      <c r="C13" s="2565"/>
      <c r="D13" s="2565"/>
      <c r="E13" s="2565"/>
      <c r="F13" s="2566"/>
      <c r="G13" s="2560" t="s">
        <v>1503</v>
      </c>
      <c r="H13" s="2561"/>
      <c r="I13" s="2573" t="str">
        <f>COVER!T25</f>
        <v>jhohulin@gorenzcpa.com</v>
      </c>
      <c r="J13" s="2574"/>
      <c r="K13" s="2574"/>
      <c r="L13" s="2575"/>
    </row>
    <row r="14" spans="1:29" ht="13.5" customHeight="1" x14ac:dyDescent="0.2">
      <c r="A14" s="2552" t="str">
        <f>COVER!A19</f>
        <v>13650 N. Manito Road</v>
      </c>
      <c r="B14" s="2565"/>
      <c r="C14" s="2565"/>
      <c r="D14" s="2565"/>
      <c r="E14" s="2565"/>
      <c r="F14" s="2566"/>
      <c r="G14" s="974" t="s">
        <v>1175</v>
      </c>
      <c r="H14" s="972"/>
      <c r="I14" s="972"/>
      <c r="J14" s="972"/>
      <c r="K14" s="972"/>
      <c r="L14" s="973"/>
    </row>
    <row r="15" spans="1:29" ht="13.5" customHeight="1" x14ac:dyDescent="0.2">
      <c r="A15" s="2552" t="str">
        <f>COVER!A21</f>
        <v>Manito</v>
      </c>
      <c r="B15" s="2565"/>
      <c r="C15" s="2565"/>
      <c r="D15" s="2565"/>
      <c r="E15" s="2565"/>
      <c r="F15" s="2566"/>
      <c r="G15" s="2562" t="str">
        <f>COVER!T15</f>
        <v>Jason A. Hohulin, CPA</v>
      </c>
      <c r="H15" s="2563"/>
      <c r="I15" s="2563"/>
      <c r="J15" s="2563"/>
      <c r="K15" s="2563"/>
      <c r="L15" s="2564"/>
    </row>
    <row r="16" spans="1:29" ht="12.2" customHeight="1" x14ac:dyDescent="0.2">
      <c r="A16" s="2542">
        <f>COVER!A25</f>
        <v>61546</v>
      </c>
      <c r="B16" s="2543"/>
      <c r="C16" s="2543"/>
      <c r="D16" s="2543"/>
      <c r="E16" s="2543"/>
      <c r="F16" s="2544"/>
      <c r="G16" s="2555"/>
      <c r="H16" s="2556"/>
      <c r="I16" s="2556"/>
      <c r="J16" s="2556"/>
      <c r="K16" s="2556"/>
      <c r="L16" s="2557"/>
    </row>
    <row r="17" spans="1:13" ht="12.2" customHeight="1" x14ac:dyDescent="0.2">
      <c r="A17" s="2558"/>
      <c r="B17" s="2543"/>
      <c r="C17" s="2543"/>
      <c r="D17" s="2543"/>
      <c r="E17" s="2543"/>
      <c r="F17" s="2544"/>
      <c r="G17" s="974" t="s">
        <v>1174</v>
      </c>
      <c r="H17" s="972"/>
      <c r="I17" s="972"/>
      <c r="J17" s="972"/>
      <c r="K17" s="976" t="s">
        <v>1173</v>
      </c>
      <c r="L17" s="969"/>
      <c r="M17" s="962"/>
    </row>
    <row r="18" spans="1:13" ht="12.2" customHeight="1" x14ac:dyDescent="0.2">
      <c r="A18" s="2536"/>
      <c r="B18" s="2537"/>
      <c r="C18" s="2537"/>
      <c r="D18" s="2537"/>
      <c r="E18" s="2537"/>
      <c r="F18" s="2538"/>
      <c r="G18" s="2539" t="str">
        <f>COVER!T21</f>
        <v>309-685-7621</v>
      </c>
      <c r="H18" s="2540"/>
      <c r="I18" s="2540"/>
      <c r="J18" s="2540"/>
      <c r="K18" s="2539" t="str">
        <f>COVER!X21</f>
        <v>309-685-4758</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1" t="str">
        <f>'Single Audit Cover'!A7</f>
        <v xml:space="preserve">   Spring Lake CCSD 606</v>
      </c>
      <c r="B1" s="2582"/>
      <c r="C1" s="2582"/>
      <c r="D1" s="2582"/>
    </row>
    <row r="2" spans="1:11" s="991" customFormat="1" ht="12.75" x14ac:dyDescent="0.2">
      <c r="A2" s="2583">
        <f>'Single Audit Cover'!E7</f>
        <v>53090606004</v>
      </c>
      <c r="B2" s="2584"/>
      <c r="C2" s="2584"/>
      <c r="D2" s="2584"/>
    </row>
    <row r="3" spans="1:11" s="991" customFormat="1" ht="12.75" x14ac:dyDescent="0.2">
      <c r="A3" s="2581" t="s">
        <v>1496</v>
      </c>
      <c r="B3" s="2582"/>
      <c r="C3" s="2582"/>
      <c r="D3" s="258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6" t="str">
        <f>'Single Audit Cover'!A7</f>
        <v xml:space="preserve">   Spring Lake CCSD 606</v>
      </c>
      <c r="B1" s="2586"/>
      <c r="C1" s="2586"/>
      <c r="D1" s="2586"/>
      <c r="E1" s="2586"/>
    </row>
    <row r="2" spans="1:5" x14ac:dyDescent="0.2">
      <c r="A2" s="2587">
        <f>'Single Audit Cover'!E7</f>
        <v>53090606004</v>
      </c>
      <c r="B2" s="2587"/>
      <c r="C2" s="2587"/>
      <c r="D2" s="2587"/>
      <c r="E2" s="2587"/>
    </row>
    <row r="3" spans="1:5" ht="4.5" customHeight="1" x14ac:dyDescent="0.2"/>
    <row r="4" spans="1:5" x14ac:dyDescent="0.2">
      <c r="A4" s="2586" t="s">
        <v>1234</v>
      </c>
      <c r="B4" s="2586"/>
      <c r="C4" s="2586"/>
      <c r="D4" s="2586"/>
      <c r="E4" s="2586"/>
    </row>
    <row r="5" spans="1:5" x14ac:dyDescent="0.2">
      <c r="A5" s="2589" t="str">
        <f>'Single Audit Cover'!A4</f>
        <v>Year Ending June 30, 2020</v>
      </c>
      <c r="B5" s="2589"/>
      <c r="C5" s="2589"/>
      <c r="D5" s="2589"/>
      <c r="E5" s="2589"/>
    </row>
    <row r="6" spans="1:5" x14ac:dyDescent="0.2">
      <c r="A6" s="2586" t="s">
        <v>1233</v>
      </c>
      <c r="B6" s="2586"/>
      <c r="C6" s="2586"/>
      <c r="D6" s="2586"/>
      <c r="E6" s="2586"/>
    </row>
    <row r="8" spans="1:5" x14ac:dyDescent="0.2">
      <c r="A8" s="1036" t="s">
        <v>1232</v>
      </c>
    </row>
    <row r="10" spans="1:5" x14ac:dyDescent="0.2">
      <c r="A10" s="1037" t="s">
        <v>1231</v>
      </c>
      <c r="B10" s="1038" t="s">
        <v>1230</v>
      </c>
      <c r="C10" s="1038"/>
      <c r="D10" s="1039">
        <f>SUM('Acct Summary 7-8'!C7:K7)</f>
        <v>66880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2649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-450</v>
      </c>
    </row>
    <row r="19" spans="1:4" ht="13.5" thickBot="1" x14ac:dyDescent="0.25">
      <c r="A19" s="1041" t="s">
        <v>1224</v>
      </c>
      <c r="D19" s="1042">
        <f>SUM(D10:D17)</f>
        <v>69079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8"/>
      <c r="B24" s="2588"/>
      <c r="D24" s="1044"/>
    </row>
    <row r="25" spans="1:4" x14ac:dyDescent="0.2">
      <c r="A25" s="2585"/>
      <c r="B25" s="2585"/>
      <c r="D25" s="1044"/>
    </row>
    <row r="26" spans="1:4" x14ac:dyDescent="0.2">
      <c r="A26" s="2585"/>
      <c r="B26" s="2585"/>
      <c r="D26" s="1044"/>
    </row>
    <row r="27" spans="1:4" x14ac:dyDescent="0.2">
      <c r="A27" s="2585"/>
      <c r="B27" s="2585"/>
      <c r="D27" s="1044"/>
    </row>
    <row r="28" spans="1:4" x14ac:dyDescent="0.2">
      <c r="A28" s="2585"/>
      <c r="B28" s="2585"/>
      <c r="D28" s="1044"/>
    </row>
    <row r="29" spans="1:4" x14ac:dyDescent="0.2">
      <c r="A29" s="2585"/>
      <c r="B29" s="2585"/>
      <c r="D29" s="1044"/>
    </row>
    <row r="30" spans="1:4" x14ac:dyDescent="0.2">
      <c r="A30" s="2585"/>
      <c r="B30" s="2585"/>
      <c r="D30" s="1044"/>
    </row>
    <row r="32" spans="1:4" x14ac:dyDescent="0.2">
      <c r="A32" s="1036" t="s">
        <v>1222</v>
      </c>
      <c r="D32" s="1039">
        <f>SUM(D19:D30)</f>
        <v>69079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5"/>
      <c r="B40" s="2585"/>
      <c r="D40" s="1044"/>
    </row>
    <row r="41" spans="1:4" x14ac:dyDescent="0.2">
      <c r="A41" s="2585"/>
      <c r="B41" s="2585"/>
      <c r="D41" s="1047"/>
    </row>
    <row r="42" spans="1:4" x14ac:dyDescent="0.2">
      <c r="A42" s="2585"/>
      <c r="B42" s="2585"/>
      <c r="D42" s="1047"/>
    </row>
    <row r="43" spans="1:4" x14ac:dyDescent="0.2">
      <c r="A43" s="2585"/>
      <c r="B43" s="2585"/>
      <c r="D43" s="1047"/>
    </row>
    <row r="44" spans="1:4" x14ac:dyDescent="0.2">
      <c r="A44" s="2585"/>
      <c r="B44" s="2585"/>
      <c r="D44" s="1047"/>
    </row>
    <row r="45" spans="1:4" x14ac:dyDescent="0.2">
      <c r="A45" s="2585"/>
      <c r="B45" s="2585"/>
      <c r="D45" s="1047"/>
    </row>
    <row r="47" spans="1:4" x14ac:dyDescent="0.2">
      <c r="B47" s="1048" t="s">
        <v>1216</v>
      </c>
      <c r="C47" s="1048"/>
      <c r="D47" s="1049">
        <f>SUM(D35:D45)</f>
        <v>0</v>
      </c>
    </row>
    <row r="49" spans="2:4" x14ac:dyDescent="0.2">
      <c r="B49" s="1048" t="s">
        <v>1215</v>
      </c>
      <c r="C49" s="1048"/>
      <c r="D49" s="1049">
        <f>D32-D47</f>
        <v>69079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Spring Lake CCSD 606</v>
      </c>
      <c r="C1" s="2590"/>
      <c r="D1" s="2590"/>
      <c r="E1" s="2590"/>
      <c r="F1" s="2590"/>
      <c r="G1" s="2590"/>
      <c r="H1" s="2590"/>
      <c r="I1" s="2590"/>
      <c r="J1" s="2590"/>
      <c r="K1" s="2590"/>
      <c r="L1" s="2590"/>
      <c r="M1" s="2590"/>
    </row>
    <row r="2" spans="2:14" ht="15" x14ac:dyDescent="0.2">
      <c r="B2" s="2591">
        <f>'Single Audit Cover'!E7</f>
        <v>53090606004</v>
      </c>
      <c r="C2" s="2591"/>
      <c r="D2" s="2591"/>
      <c r="E2" s="2591"/>
      <c r="F2" s="2591"/>
      <c r="G2" s="2591"/>
      <c r="H2" s="2591"/>
      <c r="I2" s="2591"/>
      <c r="J2" s="2591"/>
      <c r="K2" s="2591"/>
      <c r="L2" s="2591"/>
      <c r="M2" s="2591"/>
      <c r="N2" s="1078"/>
    </row>
    <row r="3" spans="2:14" ht="15" x14ac:dyDescent="0.2">
      <c r="B3" s="2592" t="s">
        <v>1208</v>
      </c>
      <c r="C3" s="2592"/>
      <c r="D3" s="2592"/>
      <c r="E3" s="2592"/>
      <c r="F3" s="2592"/>
      <c r="G3" s="2592"/>
      <c r="H3" s="2592"/>
      <c r="I3" s="2592"/>
      <c r="J3" s="2592"/>
      <c r="K3" s="2592"/>
      <c r="L3" s="2592"/>
      <c r="M3" s="2592"/>
      <c r="N3" s="1078"/>
    </row>
    <row r="4" spans="2:14" ht="15" x14ac:dyDescent="0.2">
      <c r="B4" s="2593" t="str">
        <f>'Single Audit Cover'!A4</f>
        <v>Year Ending June 30, 2020</v>
      </c>
      <c r="C4" s="2593"/>
      <c r="D4" s="2593"/>
      <c r="E4" s="2593"/>
      <c r="F4" s="2593"/>
      <c r="G4" s="2593"/>
      <c r="H4" s="2593"/>
      <c r="I4" s="2593"/>
      <c r="J4" s="2593"/>
      <c r="K4" s="2593"/>
      <c r="L4" s="2593"/>
      <c r="M4" s="2593"/>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Spring Lake CCSD 606</v>
      </c>
      <c r="B1" s="2595"/>
      <c r="C1" s="2595"/>
      <c r="D1" s="2595"/>
      <c r="E1" s="2595"/>
      <c r="F1" s="2595"/>
    </row>
    <row r="2" spans="1:7" ht="13.5" customHeight="1" x14ac:dyDescent="0.2">
      <c r="A2" s="2591">
        <f>'Single Audit Cover'!E7</f>
        <v>53090606004</v>
      </c>
      <c r="B2" s="2591"/>
      <c r="C2" s="2591"/>
      <c r="D2" s="2591"/>
      <c r="E2" s="2591"/>
      <c r="F2" s="2591"/>
      <c r="G2" s="1051"/>
    </row>
    <row r="3" spans="1:7" ht="15.75" customHeight="1" x14ac:dyDescent="0.2">
      <c r="A3" s="2596" t="s">
        <v>1260</v>
      </c>
      <c r="B3" s="2596"/>
      <c r="C3" s="2596"/>
      <c r="D3" s="2596"/>
      <c r="E3" s="2596"/>
      <c r="F3" s="2596"/>
    </row>
    <row r="4" spans="1:7" ht="13.5" customHeight="1" x14ac:dyDescent="0.2">
      <c r="A4" s="2597" t="str">
        <f>'Single Audit Cover'!A4</f>
        <v>Year Ending June 30, 2020</v>
      </c>
      <c r="B4" s="2597"/>
      <c r="C4" s="2597"/>
      <c r="D4" s="2597"/>
      <c r="E4" s="2597"/>
      <c r="F4" s="2597"/>
    </row>
    <row r="5" spans="1:7" ht="8.25" customHeight="1" x14ac:dyDescent="0.2">
      <c r="C5" s="295"/>
      <c r="D5" s="295"/>
    </row>
    <row r="6" spans="1:7" ht="13.5" customHeight="1" x14ac:dyDescent="0.2">
      <c r="A6" s="1052" t="s">
        <v>1705</v>
      </c>
      <c r="C6" s="295"/>
      <c r="D6" s="295"/>
    </row>
    <row r="7" spans="1:7" ht="60.95" customHeight="1" x14ac:dyDescent="0.2">
      <c r="A7" s="2594" t="s">
        <v>1706</v>
      </c>
      <c r="B7" s="2594"/>
      <c r="C7" s="2594"/>
      <c r="D7" s="2594"/>
      <c r="E7" s="2594"/>
      <c r="F7" s="259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94" t="s">
        <v>1708</v>
      </c>
      <c r="B13" s="2594"/>
      <c r="C13" s="2594"/>
      <c r="D13" s="2594"/>
      <c r="E13" s="2594"/>
      <c r="F13" s="2594"/>
    </row>
    <row r="14" spans="1:7" ht="9.75" customHeight="1" x14ac:dyDescent="0.2">
      <c r="C14" s="1036"/>
      <c r="D14" s="1036"/>
    </row>
    <row r="15" spans="1:7" ht="13.5" customHeight="1" x14ac:dyDescent="0.2">
      <c r="C15" s="1476" t="s">
        <v>1259</v>
      </c>
      <c r="D15" s="2599" t="s">
        <v>1258</v>
      </c>
      <c r="E15" s="2599"/>
      <c r="F15" s="2599"/>
    </row>
    <row r="16" spans="1:7" ht="13.5" customHeight="1" x14ac:dyDescent="0.2">
      <c r="A16" s="1058"/>
      <c r="B16" s="1052" t="s">
        <v>1257</v>
      </c>
      <c r="C16" s="1476" t="s">
        <v>1256</v>
      </c>
      <c r="D16" s="2600" t="s">
        <v>1571</v>
      </c>
      <c r="E16" s="2600"/>
      <c r="F16" s="2600"/>
    </row>
    <row r="17" spans="1:6" ht="20.45" customHeight="1" x14ac:dyDescent="0.2">
      <c r="A17" s="1059"/>
      <c r="B17" s="1060"/>
      <c r="C17" s="1061"/>
      <c r="D17" s="2598"/>
      <c r="E17" s="2598"/>
      <c r="F17" s="2598"/>
    </row>
    <row r="18" spans="1:6" ht="20.65" customHeight="1" x14ac:dyDescent="0.2">
      <c r="A18" s="1059"/>
      <c r="B18" s="1060"/>
      <c r="C18" s="1061"/>
      <c r="D18" s="2598"/>
      <c r="E18" s="2598"/>
      <c r="F18" s="2598"/>
    </row>
    <row r="19" spans="1:6" ht="20.65" customHeight="1" x14ac:dyDescent="0.2">
      <c r="A19" s="1059"/>
      <c r="B19" s="1060"/>
      <c r="C19" s="1061"/>
      <c r="D19" s="2598"/>
      <c r="E19" s="2598"/>
      <c r="F19" s="2598"/>
    </row>
    <row r="20" spans="1:6" ht="20.65" customHeight="1" x14ac:dyDescent="0.2">
      <c r="A20" s="1059"/>
      <c r="B20" s="1060"/>
      <c r="C20" s="1061"/>
      <c r="D20" s="2598"/>
      <c r="E20" s="2598"/>
      <c r="F20" s="2598"/>
    </row>
    <row r="21" spans="1:6" ht="20.65" customHeight="1" x14ac:dyDescent="0.2">
      <c r="A21" s="1059"/>
      <c r="B21" s="1060"/>
      <c r="C21" s="1061"/>
      <c r="D21" s="2598"/>
      <c r="E21" s="2598"/>
      <c r="F21" s="2598"/>
    </row>
    <row r="22" spans="1:6" ht="20.65" customHeight="1" x14ac:dyDescent="0.2">
      <c r="A22" s="1059"/>
      <c r="B22" s="1060"/>
      <c r="C22" s="1061"/>
      <c r="D22" s="2598"/>
      <c r="E22" s="2598"/>
      <c r="F22" s="2598"/>
    </row>
    <row r="23" spans="1:6" ht="20.65" customHeight="1" x14ac:dyDescent="0.2">
      <c r="A23" s="1059"/>
      <c r="B23" s="1060"/>
      <c r="C23" s="1061"/>
      <c r="D23" s="2598"/>
      <c r="E23" s="2598"/>
      <c r="F23" s="2598"/>
    </row>
    <row r="24" spans="1:6" ht="20.65" customHeight="1" x14ac:dyDescent="0.2">
      <c r="A24" s="1059"/>
      <c r="B24" s="1060"/>
      <c r="C24" s="1061"/>
      <c r="D24" s="2598"/>
      <c r="E24" s="2598"/>
      <c r="F24" s="2598"/>
    </row>
    <row r="25" spans="1:6" ht="20.65" customHeight="1" x14ac:dyDescent="0.2">
      <c r="A25" s="1059"/>
      <c r="B25" s="1060"/>
      <c r="C25" s="1061"/>
      <c r="D25" s="2598"/>
      <c r="E25" s="2598"/>
      <c r="F25" s="2598"/>
    </row>
    <row r="26" spans="1:6" ht="20.65" customHeight="1" x14ac:dyDescent="0.2">
      <c r="A26" s="1059"/>
      <c r="B26" s="1060"/>
      <c r="C26" s="1061"/>
      <c r="D26" s="2598"/>
      <c r="E26" s="2598"/>
      <c r="F26" s="2598"/>
    </row>
    <row r="27" spans="1:6" ht="20.65" customHeight="1" x14ac:dyDescent="0.2">
      <c r="A27" s="1059"/>
      <c r="B27" s="1060"/>
      <c r="C27" s="1061"/>
      <c r="D27" s="2598"/>
      <c r="E27" s="2598"/>
      <c r="F27" s="2598"/>
    </row>
    <row r="28" spans="1:6" ht="20.65" customHeight="1" x14ac:dyDescent="0.2">
      <c r="A28" s="1059"/>
      <c r="B28" s="1060"/>
      <c r="C28" s="1061"/>
      <c r="D28" s="2598"/>
      <c r="E28" s="2598"/>
      <c r="F28" s="2598"/>
    </row>
    <row r="29" spans="1:6" ht="20.65" customHeight="1" x14ac:dyDescent="0.2">
      <c r="A29" s="1059"/>
      <c r="B29" s="1060"/>
      <c r="C29" s="1061"/>
      <c r="D29" s="2598"/>
      <c r="E29" s="2598"/>
      <c r="F29" s="2598"/>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02" t="s">
        <v>1709</v>
      </c>
      <c r="B32" s="2602"/>
      <c r="C32" s="2602"/>
      <c r="D32" s="2602"/>
      <c r="E32" s="2602"/>
      <c r="F32" s="260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03">
        <f>+C33+C34</f>
        <v>0</v>
      </c>
      <c r="F34" s="260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5" t="s">
        <v>1573</v>
      </c>
      <c r="C49" s="2605"/>
      <c r="D49" s="2605"/>
      <c r="E49" s="1168"/>
    </row>
    <row r="50" spans="1:5" s="1076" customFormat="1" ht="3.75" customHeight="1" x14ac:dyDescent="0.2">
      <c r="A50" s="1075"/>
      <c r="B50" s="1475"/>
      <c r="C50" s="1475"/>
      <c r="D50" s="1475"/>
      <c r="E50" s="1168"/>
    </row>
    <row r="51" spans="1:5" s="1076" customFormat="1" ht="20.25" customHeight="1" x14ac:dyDescent="0.2">
      <c r="A51" s="1077">
        <v>6</v>
      </c>
      <c r="B51" s="2601" t="s">
        <v>1534</v>
      </c>
      <c r="C51" s="2601"/>
      <c r="D51" s="2601"/>
    </row>
    <row r="52" spans="1:5" ht="14.25" customHeight="1" x14ac:dyDescent="0.2">
      <c r="A52" s="1077"/>
      <c r="B52" s="2601"/>
      <c r="C52" s="2601"/>
      <c r="D52" s="260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Spring Lake CCSD 606</v>
      </c>
      <c r="C1" s="2611"/>
      <c r="D1" s="2611"/>
      <c r="E1" s="2611"/>
      <c r="F1" s="2611"/>
      <c r="G1" s="2611"/>
      <c r="H1" s="2611"/>
      <c r="I1" s="2611"/>
      <c r="J1" s="1178"/>
    </row>
    <row r="2" spans="2:10" s="295" customFormat="1" ht="12.75" customHeight="1" x14ac:dyDescent="0.2">
      <c r="B2" s="2612">
        <f>'Single Audit Cover'!E7</f>
        <v>53090606004</v>
      </c>
      <c r="C2" s="2613"/>
      <c r="D2" s="2613"/>
      <c r="E2" s="2613"/>
      <c r="F2" s="2613"/>
      <c r="G2" s="2613"/>
      <c r="H2" s="2613"/>
      <c r="I2" s="2613"/>
      <c r="J2" s="1178"/>
    </row>
    <row r="3" spans="2:10" s="295" customFormat="1" ht="12.75" customHeight="1" x14ac:dyDescent="0.2">
      <c r="B3" s="2614" t="s">
        <v>1274</v>
      </c>
      <c r="C3" s="2615"/>
      <c r="D3" s="2615"/>
      <c r="E3" s="2615"/>
      <c r="F3" s="2615"/>
      <c r="G3" s="2615"/>
      <c r="H3" s="2615"/>
      <c r="I3" s="2615"/>
      <c r="J3" s="1179"/>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4" t="s">
        <v>1273</v>
      </c>
      <c r="C7" s="2615"/>
      <c r="D7" s="2615"/>
      <c r="E7" s="2615"/>
      <c r="F7" s="2615"/>
      <c r="G7" s="2615"/>
      <c r="H7" s="2615"/>
      <c r="I7" s="2615"/>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6"/>
      <c r="D11" s="2616"/>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7"/>
      <c r="E29" s="2617"/>
      <c r="F29" s="2617"/>
      <c r="G29" s="2617"/>
      <c r="H29" s="2617"/>
      <c r="I29" s="2617"/>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8" t="s">
        <v>1728</v>
      </c>
      <c r="D37" s="2619"/>
      <c r="E37" s="2619"/>
      <c r="F37" s="2620"/>
      <c r="G37" s="2618" t="s">
        <v>1575</v>
      </c>
      <c r="H37" s="2619"/>
      <c r="I37" s="2620"/>
    </row>
    <row r="38" spans="2:9" ht="16.5" customHeight="1" x14ac:dyDescent="0.2">
      <c r="B38" s="1200"/>
      <c r="C38" s="2606"/>
      <c r="D38" s="2607"/>
      <c r="E38" s="2607"/>
      <c r="F38" s="2608"/>
      <c r="G38" s="2621"/>
      <c r="H38" s="2622"/>
      <c r="I38" s="2623"/>
    </row>
    <row r="39" spans="2:9" ht="16.5" customHeight="1" x14ac:dyDescent="0.2">
      <c r="B39" s="1200"/>
      <c r="C39" s="2606"/>
      <c r="D39" s="2607"/>
      <c r="E39" s="2607"/>
      <c r="F39" s="2608"/>
      <c r="G39" s="2609"/>
      <c r="H39" s="2609"/>
      <c r="I39" s="2609"/>
    </row>
    <row r="40" spans="2:9" ht="16.5" customHeight="1" x14ac:dyDescent="0.2">
      <c r="B40" s="1200"/>
      <c r="C40" s="2606"/>
      <c r="D40" s="2607"/>
      <c r="E40" s="2607"/>
      <c r="F40" s="2608"/>
      <c r="G40" s="2609"/>
      <c r="H40" s="2609"/>
      <c r="I40" s="2609"/>
    </row>
    <row r="41" spans="2:9" ht="16.5" customHeight="1" x14ac:dyDescent="0.2">
      <c r="B41" s="1200"/>
      <c r="C41" s="2606"/>
      <c r="D41" s="2607"/>
      <c r="E41" s="2607"/>
      <c r="F41" s="2608"/>
      <c r="G41" s="2609"/>
      <c r="H41" s="2609"/>
      <c r="I41" s="2609"/>
    </row>
    <row r="42" spans="2:9" ht="16.5" customHeight="1" x14ac:dyDescent="0.2">
      <c r="B42" s="1200"/>
      <c r="C42" s="2606"/>
      <c r="D42" s="2607"/>
      <c r="E42" s="2607"/>
      <c r="F42" s="2608"/>
      <c r="G42" s="2609"/>
      <c r="H42" s="2609"/>
      <c r="I42" s="2609"/>
    </row>
    <row r="43" spans="2:9" ht="16.5" customHeight="1" x14ac:dyDescent="0.2">
      <c r="B43" s="1200"/>
      <c r="C43" s="2624" t="s">
        <v>1576</v>
      </c>
      <c r="D43" s="2625"/>
      <c r="E43" s="2625"/>
      <c r="F43" s="2626"/>
      <c r="G43" s="2627">
        <f>SUM(G38:I42)</f>
        <v>0</v>
      </c>
      <c r="H43" s="2627"/>
      <c r="I43" s="2627"/>
    </row>
    <row r="44" spans="2:9" ht="12.75" customHeight="1" x14ac:dyDescent="0.2"/>
    <row r="45" spans="2:9" ht="12.75" customHeight="1" x14ac:dyDescent="0.2">
      <c r="B45" s="1917" t="str">
        <f>"Total Federal Expenditures for 7/1/"&amp;MID('AFR20'!E2,3,2)-1&amp;"-6/30/"&amp;MID('AFR20'!E2,3,2)</f>
        <v>Total Federal Expenditures for 7/1/19-6/30/20</v>
      </c>
      <c r="C45" s="1918"/>
      <c r="D45" s="2628">
        <v>0</v>
      </c>
      <c r="E45" s="262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0"/>
      <c r="F49" s="2630"/>
      <c r="G49" s="263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Spring Lake CCSD 606</v>
      </c>
      <c r="C1" s="2610"/>
      <c r="D1" s="2610"/>
      <c r="E1" s="2610"/>
      <c r="F1" s="2610"/>
      <c r="G1" s="2610"/>
      <c r="H1" s="2610"/>
      <c r="I1" s="2610"/>
      <c r="J1" s="2610"/>
      <c r="K1" s="2610"/>
      <c r="L1" s="1144"/>
      <c r="M1" s="1144"/>
    </row>
    <row r="2" spans="1:13" ht="12" customHeight="1" x14ac:dyDescent="0.2">
      <c r="B2" s="2612">
        <f>'Single Audit Cover'!E7</f>
        <v>53090606004</v>
      </c>
      <c r="C2" s="2612"/>
      <c r="D2" s="2612"/>
      <c r="E2" s="2612"/>
      <c r="F2" s="2612"/>
      <c r="G2" s="2612"/>
      <c r="H2" s="2612"/>
      <c r="I2" s="2612"/>
      <c r="J2" s="2612"/>
      <c r="K2" s="2612"/>
      <c r="L2" s="1145"/>
      <c r="M2" s="1146"/>
    </row>
    <row r="3" spans="1:13" ht="10.35" customHeight="1" x14ac:dyDescent="0.2">
      <c r="B3" s="2633" t="s">
        <v>1274</v>
      </c>
      <c r="C3" s="2633"/>
      <c r="D3" s="2633"/>
      <c r="E3" s="2633"/>
      <c r="F3" s="2633"/>
      <c r="G3" s="2633"/>
      <c r="H3" s="2633"/>
      <c r="I3" s="2633"/>
      <c r="J3" s="2633"/>
      <c r="K3" s="2633"/>
      <c r="L3" s="1147"/>
      <c r="M3" s="1147"/>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4" t="s">
        <v>1285</v>
      </c>
      <c r="C7" s="2634"/>
      <c r="D7" s="2635"/>
      <c r="E7" s="2635"/>
      <c r="F7" s="2635"/>
      <c r="G7" s="2635"/>
      <c r="H7" s="2635"/>
      <c r="I7" s="2635"/>
      <c r="J7" s="2635"/>
      <c r="K7" s="263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2"/>
      <c r="C14" s="2632"/>
      <c r="D14" s="2632"/>
      <c r="E14" s="2632"/>
      <c r="F14" s="2632"/>
      <c r="G14" s="2632"/>
      <c r="H14" s="2632"/>
      <c r="I14" s="2632"/>
      <c r="J14" s="2632"/>
      <c r="K14" s="263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2"/>
      <c r="C17" s="2632"/>
      <c r="D17" s="2632"/>
      <c r="E17" s="2632"/>
      <c r="F17" s="2632"/>
      <c r="G17" s="2632"/>
      <c r="H17" s="2632"/>
      <c r="I17" s="2632"/>
      <c r="J17" s="2632"/>
      <c r="K17" s="263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6"/>
      <c r="C20" s="2636"/>
      <c r="D20" s="2632"/>
      <c r="E20" s="2632"/>
      <c r="F20" s="2632"/>
      <c r="G20" s="2632"/>
      <c r="H20" s="2632"/>
      <c r="I20" s="2632"/>
      <c r="J20" s="2632"/>
      <c r="K20" s="263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2"/>
      <c r="C23" s="2632"/>
      <c r="D23" s="2632"/>
      <c r="E23" s="2632"/>
      <c r="F23" s="2632"/>
      <c r="G23" s="2632"/>
      <c r="H23" s="2632"/>
      <c r="I23" s="2632"/>
      <c r="J23" s="2632"/>
      <c r="K23" s="263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2"/>
      <c r="C26" s="2632"/>
      <c r="D26" s="2632"/>
      <c r="E26" s="2632"/>
      <c r="F26" s="2632"/>
      <c r="G26" s="2632"/>
      <c r="H26" s="2632"/>
      <c r="I26" s="2632"/>
      <c r="J26" s="2632"/>
      <c r="K26" s="263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1"/>
      <c r="C29" s="2631"/>
      <c r="D29" s="2632"/>
      <c r="E29" s="2632"/>
      <c r="F29" s="2632"/>
      <c r="G29" s="2632"/>
      <c r="H29" s="2632"/>
      <c r="I29" s="2632"/>
      <c r="J29" s="2632"/>
      <c r="K29" s="263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1"/>
      <c r="C32" s="2631"/>
      <c r="D32" s="2632"/>
      <c r="E32" s="2632"/>
      <c r="F32" s="2632"/>
      <c r="G32" s="2632"/>
      <c r="H32" s="2632"/>
      <c r="I32" s="2632"/>
      <c r="J32" s="2632"/>
      <c r="K32" s="263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Spring Lake CCSD 606</v>
      </c>
      <c r="C1" s="2610"/>
      <c r="D1" s="2610"/>
      <c r="E1" s="2610"/>
      <c r="F1" s="2610"/>
      <c r="G1" s="2610"/>
      <c r="H1" s="2610"/>
      <c r="I1" s="2610"/>
      <c r="J1" s="2610"/>
      <c r="K1" s="2610"/>
      <c r="L1" s="1144"/>
      <c r="M1" s="1144"/>
    </row>
    <row r="2" spans="1:13" ht="12" customHeight="1" x14ac:dyDescent="0.2">
      <c r="B2" s="2612">
        <f>'Single Audit Cover'!E7</f>
        <v>53090606004</v>
      </c>
      <c r="C2" s="2612"/>
      <c r="D2" s="2612"/>
      <c r="E2" s="2612"/>
      <c r="F2" s="2612"/>
      <c r="G2" s="2612"/>
      <c r="H2" s="2612"/>
      <c r="I2" s="2612"/>
      <c r="J2" s="2612"/>
      <c r="K2" s="2612"/>
      <c r="L2" s="1145"/>
      <c r="M2" s="1146"/>
    </row>
    <row r="3" spans="1:13" ht="10.35" customHeight="1" x14ac:dyDescent="0.2">
      <c r="B3" s="2633" t="s">
        <v>1274</v>
      </c>
      <c r="C3" s="2633"/>
      <c r="D3" s="2633"/>
      <c r="E3" s="2633"/>
      <c r="F3" s="2633"/>
      <c r="G3" s="2633"/>
      <c r="H3" s="2633"/>
      <c r="I3" s="2633"/>
      <c r="J3" s="2633"/>
      <c r="K3" s="2633"/>
      <c r="L3" s="2035"/>
      <c r="M3" s="2035"/>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4" t="s">
        <v>1285</v>
      </c>
      <c r="C7" s="2634"/>
      <c r="D7" s="2635"/>
      <c r="E7" s="2635"/>
      <c r="F7" s="2635"/>
      <c r="G7" s="2635"/>
      <c r="H7" s="2635"/>
      <c r="I7" s="2635"/>
      <c r="J7" s="2635"/>
      <c r="K7" s="263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1990</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2" t="s">
        <v>2061</v>
      </c>
      <c r="C14" s="2632"/>
      <c r="D14" s="2632"/>
      <c r="E14" s="2632"/>
      <c r="F14" s="2632"/>
      <c r="G14" s="2632"/>
      <c r="H14" s="2632"/>
      <c r="I14" s="2632"/>
      <c r="J14" s="2632"/>
      <c r="K14" s="263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2" t="s">
        <v>2062</v>
      </c>
      <c r="C17" s="2632"/>
      <c r="D17" s="2632"/>
      <c r="E17" s="2632"/>
      <c r="F17" s="2632"/>
      <c r="G17" s="2632"/>
      <c r="H17" s="2632"/>
      <c r="I17" s="2632"/>
      <c r="J17" s="2632"/>
      <c r="K17" s="263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6" t="s">
        <v>2063</v>
      </c>
      <c r="C20" s="2636"/>
      <c r="D20" s="2632"/>
      <c r="E20" s="2632"/>
      <c r="F20" s="2632"/>
      <c r="G20" s="2632"/>
      <c r="H20" s="2632"/>
      <c r="I20" s="2632"/>
      <c r="J20" s="2632"/>
      <c r="K20" s="263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2" t="s">
        <v>2064</v>
      </c>
      <c r="C23" s="2632"/>
      <c r="D23" s="2632"/>
      <c r="E23" s="2632"/>
      <c r="F23" s="2632"/>
      <c r="G23" s="2632"/>
      <c r="H23" s="2632"/>
      <c r="I23" s="2632"/>
      <c r="J23" s="2632"/>
      <c r="K23" s="263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2" t="s">
        <v>2065</v>
      </c>
      <c r="C26" s="2632"/>
      <c r="D26" s="2632"/>
      <c r="E26" s="2632"/>
      <c r="F26" s="2632"/>
      <c r="G26" s="2632"/>
      <c r="H26" s="2632"/>
      <c r="I26" s="2632"/>
      <c r="J26" s="2632"/>
      <c r="K26" s="263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1" t="s">
        <v>2066</v>
      </c>
      <c r="C29" s="2631"/>
      <c r="D29" s="2632"/>
      <c r="E29" s="2632"/>
      <c r="F29" s="2632"/>
      <c r="G29" s="2632"/>
      <c r="H29" s="2632"/>
      <c r="I29" s="2632"/>
      <c r="J29" s="2632"/>
      <c r="K29" s="263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1" t="s">
        <v>2067</v>
      </c>
      <c r="C32" s="2631"/>
      <c r="D32" s="2632"/>
      <c r="E32" s="2632"/>
      <c r="F32" s="2632"/>
      <c r="G32" s="2632"/>
      <c r="H32" s="2632"/>
      <c r="I32" s="2632"/>
      <c r="J32" s="2632"/>
      <c r="K32" s="263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7" t="str">
        <f>'Single Audit Cover'!A7</f>
        <v xml:space="preserve">   Spring Lake CCSD 606</v>
      </c>
      <c r="C1" s="2637"/>
      <c r="D1" s="2637"/>
      <c r="E1" s="2637"/>
      <c r="F1" s="2637"/>
      <c r="G1" s="2637"/>
      <c r="H1" s="2637"/>
      <c r="I1" s="2637"/>
      <c r="J1" s="2637"/>
      <c r="K1" s="2637"/>
      <c r="L1" s="1221"/>
    </row>
    <row r="2" spans="1:12" ht="12.75" customHeight="1" x14ac:dyDescent="0.2">
      <c r="B2" s="2638">
        <f>'Single Audit Cover'!E7</f>
        <v>53090606004</v>
      </c>
      <c r="C2" s="2638"/>
      <c r="D2" s="2638"/>
      <c r="E2" s="2638"/>
      <c r="F2" s="2638"/>
      <c r="G2" s="2638"/>
      <c r="H2" s="2638"/>
      <c r="I2" s="2638"/>
      <c r="J2" s="2638"/>
      <c r="K2" s="2638"/>
      <c r="L2" s="1222"/>
    </row>
    <row r="3" spans="1:12" ht="12.75" customHeight="1" x14ac:dyDescent="0.2">
      <c r="B3" s="2633" t="s">
        <v>1274</v>
      </c>
      <c r="C3" s="2633"/>
      <c r="D3" s="2633"/>
      <c r="E3" s="2633"/>
      <c r="F3" s="2633"/>
      <c r="G3" s="2633"/>
      <c r="H3" s="2633"/>
      <c r="I3" s="2633"/>
      <c r="J3" s="2633"/>
      <c r="K3" s="2633"/>
      <c r="L3" s="1147"/>
    </row>
    <row r="4" spans="1:12" ht="12.75" customHeight="1" x14ac:dyDescent="0.2">
      <c r="B4" s="2633" t="str">
        <f>'Single Audit Cover'!A4</f>
        <v>Year Ending June 30, 2020</v>
      </c>
      <c r="C4" s="2633"/>
      <c r="D4" s="2633"/>
      <c r="E4" s="2633"/>
      <c r="F4" s="2633"/>
      <c r="G4" s="2633"/>
      <c r="H4" s="2633"/>
      <c r="I4" s="2633"/>
      <c r="J4" s="2633"/>
      <c r="K4" s="2633"/>
      <c r="L4" s="1147"/>
    </row>
    <row r="5" spans="1:12" ht="5.25" customHeight="1" x14ac:dyDescent="0.2">
      <c r="B5" s="1036" t="s">
        <v>1159</v>
      </c>
      <c r="C5" s="1036"/>
      <c r="L5" s="300"/>
    </row>
    <row r="6" spans="1:12" ht="30.75" customHeight="1" x14ac:dyDescent="0.2">
      <c r="A6" s="300"/>
      <c r="B6" s="2639" t="s">
        <v>1297</v>
      </c>
      <c r="C6" s="2639"/>
      <c r="D6" s="2639"/>
      <c r="E6" s="2639"/>
      <c r="F6" s="2639"/>
      <c r="G6" s="2639"/>
      <c r="H6" s="2639"/>
      <c r="I6" s="2639"/>
      <c r="J6" s="2639"/>
      <c r="K6" s="263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7"/>
      <c r="G12" s="2617"/>
      <c r="H12" s="2617"/>
      <c r="I12" s="2617"/>
      <c r="J12" s="2617"/>
      <c r="K12" s="261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40"/>
      <c r="E14" s="2640"/>
      <c r="F14" s="2640"/>
      <c r="H14" s="1230" t="s">
        <v>1292</v>
      </c>
      <c r="I14" s="2641"/>
      <c r="J14" s="2641"/>
      <c r="K14" s="264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41"/>
      <c r="E16" s="2641"/>
      <c r="F16" s="2641"/>
      <c r="G16" s="2641"/>
      <c r="H16" s="2641"/>
      <c r="I16" s="2641"/>
      <c r="J16" s="2641"/>
      <c r="K16" s="2641"/>
      <c r="L16" s="300"/>
    </row>
    <row r="17" spans="2:12" ht="13.5" customHeight="1" x14ac:dyDescent="0.2">
      <c r="B17" s="1156" t="s">
        <v>1290</v>
      </c>
      <c r="C17" s="1156"/>
      <c r="D17" s="2642"/>
      <c r="E17" s="2642"/>
      <c r="F17" s="2642"/>
      <c r="G17" s="2642"/>
      <c r="H17" s="2642"/>
      <c r="I17" s="2642"/>
      <c r="J17" s="2642"/>
      <c r="K17" s="264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2"/>
      <c r="C20" s="2632"/>
      <c r="D20" s="2632"/>
      <c r="E20" s="2632"/>
      <c r="F20" s="2632"/>
      <c r="G20" s="2632"/>
      <c r="H20" s="2632"/>
      <c r="I20" s="2632"/>
      <c r="J20" s="2632"/>
      <c r="K20" s="263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2"/>
      <c r="C23" s="2632"/>
      <c r="D23" s="2632"/>
      <c r="E23" s="2632"/>
      <c r="F23" s="2632"/>
      <c r="G23" s="2632"/>
      <c r="H23" s="2632"/>
      <c r="I23" s="2632"/>
      <c r="J23" s="2632"/>
      <c r="K23" s="263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2"/>
      <c r="C26" s="2632"/>
      <c r="D26" s="2632"/>
      <c r="E26" s="2632"/>
      <c r="F26" s="2632"/>
      <c r="G26" s="2632"/>
      <c r="H26" s="2632"/>
      <c r="I26" s="2632"/>
      <c r="J26" s="2632"/>
      <c r="K26" s="263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2"/>
      <c r="C29" s="2632"/>
      <c r="D29" s="2632"/>
      <c r="E29" s="2632"/>
      <c r="F29" s="2632"/>
      <c r="G29" s="2632"/>
      <c r="H29" s="2632"/>
      <c r="I29" s="2632"/>
      <c r="J29" s="2632"/>
      <c r="K29" s="263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2"/>
      <c r="C32" s="2632"/>
      <c r="D32" s="2632"/>
      <c r="E32" s="2632"/>
      <c r="F32" s="2632"/>
      <c r="G32" s="2632"/>
      <c r="H32" s="2632"/>
      <c r="I32" s="2632"/>
      <c r="J32" s="2632"/>
      <c r="K32" s="263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2"/>
      <c r="C35" s="2632"/>
      <c r="D35" s="2632"/>
      <c r="E35" s="2632"/>
      <c r="F35" s="2632"/>
      <c r="G35" s="2632"/>
      <c r="H35" s="2632"/>
      <c r="I35" s="2632"/>
      <c r="J35" s="2632"/>
      <c r="K35" s="263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2"/>
      <c r="C38" s="2632"/>
      <c r="D38" s="2632"/>
      <c r="E38" s="2632"/>
      <c r="F38" s="2632"/>
      <c r="G38" s="2632"/>
      <c r="H38" s="2632"/>
      <c r="I38" s="2632"/>
      <c r="J38" s="2632"/>
      <c r="K38" s="263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2"/>
      <c r="C41" s="2632"/>
      <c r="D41" s="2632"/>
      <c r="E41" s="2632"/>
      <c r="F41" s="2632"/>
      <c r="G41" s="2632"/>
      <c r="H41" s="2632"/>
      <c r="I41" s="2632"/>
      <c r="J41" s="2632"/>
      <c r="K41" s="263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0" t="str">
        <f>'Single Audit Cover'!A7</f>
        <v xml:space="preserve">   Spring Lake CCSD 606</v>
      </c>
      <c r="C1" s="2610"/>
      <c r="D1" s="2610"/>
      <c r="E1" s="1240"/>
    </row>
    <row r="2" spans="2:5" s="1058" customFormat="1" ht="12.75" customHeight="1" x14ac:dyDescent="0.2">
      <c r="B2" s="2612">
        <f>'Single Audit Cover'!E7</f>
        <v>53090606004</v>
      </c>
      <c r="C2" s="2612"/>
      <c r="D2" s="2612"/>
      <c r="E2" s="1241"/>
    </row>
    <row r="3" spans="2:5" ht="12.75" customHeight="1" x14ac:dyDescent="0.2">
      <c r="B3" s="2633" t="s">
        <v>1743</v>
      </c>
      <c r="C3" s="2633"/>
      <c r="D3" s="2633"/>
      <c r="E3" s="1050"/>
    </row>
    <row r="4" spans="2:5" s="1058" customFormat="1" ht="12.75" customHeight="1" x14ac:dyDescent="0.2">
      <c r="B4" s="2643" t="str">
        <f>'Single Audit Cover'!A4</f>
        <v>Year Ending June 30, 2020</v>
      </c>
      <c r="C4" s="2643"/>
      <c r="D4" s="2643"/>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2070</v>
      </c>
      <c r="C7" s="302" t="s">
        <v>2071</v>
      </c>
      <c r="D7" s="302" t="s">
        <v>2072</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645" t="s">
        <v>2068</v>
      </c>
      <c r="C1" s="2645"/>
      <c r="D1" s="2645"/>
      <c r="E1" s="2645"/>
      <c r="F1" s="2036"/>
      <c r="G1" s="2036"/>
      <c r="H1" s="2036"/>
      <c r="I1" s="2036"/>
      <c r="J1" s="2036"/>
      <c r="K1" s="2036"/>
      <c r="L1" s="2036"/>
    </row>
    <row r="2" spans="2:12" ht="13.5" customHeight="1" x14ac:dyDescent="0.2">
      <c r="B2" s="2646" t="s">
        <v>2069</v>
      </c>
      <c r="C2" s="2646"/>
      <c r="D2" s="2646"/>
      <c r="E2" s="2646"/>
      <c r="F2" s="2038"/>
      <c r="G2" s="2038"/>
      <c r="H2" s="2038"/>
      <c r="I2" s="2038"/>
      <c r="J2" s="2038"/>
      <c r="K2" s="2038"/>
      <c r="L2" s="2038"/>
    </row>
    <row r="3" spans="2:12" ht="13.5" customHeight="1" x14ac:dyDescent="0.2">
      <c r="B3" s="2647" t="s">
        <v>2073</v>
      </c>
      <c r="C3" s="2647"/>
      <c r="D3" s="2647"/>
      <c r="E3" s="2647"/>
      <c r="F3" s="2039"/>
      <c r="G3" s="2039"/>
      <c r="H3" s="2039"/>
      <c r="I3" s="2039"/>
      <c r="J3" s="2039"/>
      <c r="K3" s="2039"/>
      <c r="L3" s="2039"/>
    </row>
    <row r="4" spans="2:12" ht="13.5" customHeight="1" x14ac:dyDescent="0.2">
      <c r="B4" s="2648" t="str">
        <f>SSPAF!B4</f>
        <v>Year Ending June 30, 2020</v>
      </c>
      <c r="C4" s="2648"/>
      <c r="D4" s="2648"/>
      <c r="E4" s="2648"/>
      <c r="F4" s="2040"/>
      <c r="G4" s="2040"/>
      <c r="H4" s="2040"/>
      <c r="I4" s="2040"/>
      <c r="J4" s="2040"/>
      <c r="K4" s="2040"/>
      <c r="L4" s="2040"/>
    </row>
    <row r="5" spans="2:12" ht="29.85" customHeight="1" x14ac:dyDescent="0.2"/>
    <row r="6" spans="2:12" ht="13.5" customHeight="1" x14ac:dyDescent="0.2">
      <c r="B6" s="2041" t="s">
        <v>2074</v>
      </c>
      <c r="C6" s="2041"/>
      <c r="D6" s="2042"/>
      <c r="E6" s="2043"/>
      <c r="F6" s="2043"/>
      <c r="G6" s="2044"/>
      <c r="H6" s="2044"/>
      <c r="I6" s="2044"/>
    </row>
    <row r="7" spans="2:12" ht="13.5" customHeight="1" x14ac:dyDescent="0.2">
      <c r="B7" s="2037" t="s">
        <v>1159</v>
      </c>
    </row>
    <row r="8" spans="2:12" ht="13.5" customHeight="1" x14ac:dyDescent="0.2">
      <c r="B8" s="2045" t="s">
        <v>2075</v>
      </c>
      <c r="C8" s="2046" t="s">
        <v>2086</v>
      </c>
      <c r="D8" s="2047">
        <v>1</v>
      </c>
    </row>
    <row r="9" spans="2:12" ht="13.5" customHeight="1" x14ac:dyDescent="0.2">
      <c r="B9" s="2048"/>
      <c r="C9" s="2048"/>
      <c r="D9" s="2048"/>
    </row>
    <row r="10" spans="2:12" ht="13.5" customHeight="1" x14ac:dyDescent="0.2">
      <c r="B10" s="2045" t="s">
        <v>2076</v>
      </c>
      <c r="C10" s="2045"/>
    </row>
    <row r="11" spans="2:12" ht="66.75" customHeight="1" x14ac:dyDescent="0.2">
      <c r="B11" s="2644" t="s">
        <v>2062</v>
      </c>
      <c r="C11" s="2644"/>
      <c r="D11" s="2644"/>
      <c r="E11" s="2644"/>
    </row>
    <row r="12" spans="2:12" ht="13.5" customHeight="1" x14ac:dyDescent="0.2"/>
    <row r="13" spans="2:12" ht="13.5" customHeight="1" x14ac:dyDescent="0.2">
      <c r="B13" s="2045" t="s">
        <v>2077</v>
      </c>
      <c r="C13" s="2045"/>
    </row>
    <row r="14" spans="2:12" ht="76.5" customHeight="1" x14ac:dyDescent="0.2">
      <c r="B14" s="2644" t="s">
        <v>2078</v>
      </c>
      <c r="C14" s="2644"/>
      <c r="D14" s="2644"/>
      <c r="E14" s="2644"/>
    </row>
    <row r="15" spans="2:12" ht="13.5" customHeight="1" x14ac:dyDescent="0.2"/>
    <row r="16" spans="2:12" ht="13.5" customHeight="1" x14ac:dyDescent="0.2">
      <c r="B16" s="2045" t="s">
        <v>2079</v>
      </c>
      <c r="C16" s="2045"/>
      <c r="E16" s="2049">
        <v>44377</v>
      </c>
    </row>
    <row r="17" spans="2:5" ht="13.5" customHeight="1" x14ac:dyDescent="0.2"/>
    <row r="18" spans="2:5" ht="13.5" customHeight="1" x14ac:dyDescent="0.2">
      <c r="B18" s="2045" t="s">
        <v>2080</v>
      </c>
      <c r="C18" s="2045"/>
      <c r="E18" s="2050" t="s">
        <v>2081</v>
      </c>
    </row>
    <row r="19" spans="2:5" ht="13.5" customHeight="1" x14ac:dyDescent="0.2"/>
    <row r="20" spans="2:5" ht="13.5" customHeight="1" x14ac:dyDescent="0.2">
      <c r="B20" s="2045" t="s">
        <v>2082</v>
      </c>
      <c r="C20" s="2045"/>
      <c r="E20" s="2050" t="s">
        <v>2083</v>
      </c>
    </row>
    <row r="21" spans="2:5" ht="13.5" customHeight="1" x14ac:dyDescent="0.2">
      <c r="E21" s="2050" t="s">
        <v>2084</v>
      </c>
    </row>
    <row r="22" spans="2:5" ht="13.5" customHeight="1" x14ac:dyDescent="0.2">
      <c r="E22" s="2050"/>
    </row>
    <row r="23" spans="2:5" ht="13.5" customHeight="1" x14ac:dyDescent="0.2"/>
    <row r="24" spans="2:5" ht="13.5" customHeight="1" x14ac:dyDescent="0.2"/>
    <row r="25" spans="2:5" ht="13.5" customHeight="1" x14ac:dyDescent="0.2">
      <c r="B25" s="2051"/>
      <c r="C25" s="2051"/>
      <c r="D25" s="2051"/>
    </row>
    <row r="26" spans="2:5" ht="13.5" customHeight="1" x14ac:dyDescent="0.2">
      <c r="B26" s="2051"/>
      <c r="C26" s="2051"/>
      <c r="D26" s="2051"/>
    </row>
    <row r="27" spans="2:5" ht="13.5" customHeight="1" x14ac:dyDescent="0.2">
      <c r="B27" s="2051"/>
      <c r="C27" s="2051"/>
      <c r="D27" s="20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3"/>
      <c r="C41" s="2053"/>
      <c r="D41" s="2053"/>
      <c r="E41" s="2053"/>
    </row>
    <row r="42" spans="2:5" ht="12.2" customHeight="1" x14ac:dyDescent="0.2">
      <c r="B42" s="2054" t="s">
        <v>2085</v>
      </c>
      <c r="C42" s="2054"/>
      <c r="D42" s="2054"/>
    </row>
    <row r="43" spans="2:5" ht="12.2" customHeight="1" x14ac:dyDescent="0.2">
      <c r="B43" s="2055"/>
      <c r="C43" s="2055"/>
      <c r="D43" s="2055"/>
    </row>
    <row r="44" spans="2:5" ht="12.75" customHeight="1" x14ac:dyDescent="0.2">
      <c r="B44" s="2045"/>
      <c r="C44" s="2045"/>
      <c r="D44" s="2045"/>
    </row>
    <row r="45" spans="2:5" ht="12.75" customHeight="1" x14ac:dyDescent="0.2">
      <c r="B45" s="2045"/>
      <c r="C45" s="2045"/>
      <c r="D45" s="2045"/>
    </row>
    <row r="46" spans="2:5" x14ac:dyDescent="0.2">
      <c r="B46" s="2045"/>
      <c r="C46" s="2045"/>
      <c r="D46" s="2045"/>
    </row>
    <row r="47" spans="2:5" x14ac:dyDescent="0.2">
      <c r="B47" s="2045"/>
      <c r="C47" s="2045"/>
      <c r="D47" s="2045"/>
    </row>
    <row r="51" spans="2:4" x14ac:dyDescent="0.2">
      <c r="B51" s="2056"/>
      <c r="C51" s="2056"/>
      <c r="D51" s="20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7"/>
      <c r="C64" s="2057"/>
      <c r="D64" s="2057"/>
    </row>
    <row r="65" spans="2:4" x14ac:dyDescent="0.2">
      <c r="B65" s="2045"/>
      <c r="C65" s="2045"/>
      <c r="D65" s="2045"/>
    </row>
    <row r="66" spans="2:4" x14ac:dyDescent="0.2">
      <c r="B66" s="2045"/>
      <c r="C66" s="2045"/>
      <c r="D66" s="2045"/>
    </row>
    <row r="67" spans="2:4" x14ac:dyDescent="0.2">
      <c r="B67" s="2057"/>
      <c r="C67" s="2057"/>
      <c r="D67" s="2057"/>
    </row>
    <row r="68" spans="2:4" x14ac:dyDescent="0.2">
      <c r="B68" s="2057"/>
      <c r="C68" s="2057"/>
      <c r="D68" s="2057"/>
    </row>
    <row r="69" spans="2:4" x14ac:dyDescent="0.2">
      <c r="B69" s="2057"/>
      <c r="C69" s="2057"/>
      <c r="D69" s="2057"/>
    </row>
    <row r="70" spans="2:4" x14ac:dyDescent="0.2">
      <c r="B70" s="2045"/>
      <c r="C70" s="2045"/>
      <c r="D70" s="204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sharepoint/v3"/>
    <ds:schemaRef ds:uri="http://schemas.microsoft.com/office/2006/metadata/properties"/>
    <ds:schemaRef ds:uri="6ce3111e-7420-4802-b50a-75d4e9a0b980"/>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4d435f69-8686-490b-bd6d-b153bf22ab50"/>
    <ds:schemaRef ds:uri="d21dc803-237d-4c68-8692-8d731fd29118"/>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SF&amp;QC Sec-3</vt:lpstr>
      <vt:lpstr>SSPAF</vt:lpstr>
      <vt:lpstr>CAP</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2020-09-29T21:32:49Z</cp:lastPrinted>
  <dcterms:created xsi:type="dcterms:W3CDTF">2003-10-29T19:06:34Z</dcterms:created>
  <dcterms:modified xsi:type="dcterms:W3CDTF">2020-10-15T13:29:30Z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