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EBAC1E3-39DE-4D9A-99E2-51BD4D79709A}" xr6:coauthVersionLast="36" xr6:coauthVersionMax="36" xr10:uidLastSave="{00000000-0000-0000-0000-000000000000}"/>
  <bookViews>
    <workbookView xWindow="-24120" yWindow="-120" windowWidth="24240" windowHeight="13140" tabRatio="943"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(3)'!$B$1:$M$45</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3" i="8" l="1"/>
  <c r="J32" i="8"/>
  <c r="J31" i="8"/>
  <c r="D217" i="29" l="1"/>
  <c r="D38" i="3" l="1"/>
  <c r="G39" i="174" l="1"/>
  <c r="G38" i="174"/>
  <c r="C34" i="173"/>
  <c r="C33" i="173"/>
  <c r="K17" i="186"/>
  <c r="K24" i="186" s="1"/>
  <c r="K26" i="179" s="1"/>
  <c r="K27" i="179" s="1"/>
  <c r="J17" i="186"/>
  <c r="I17" i="186"/>
  <c r="H17" i="186"/>
  <c r="G17" i="186"/>
  <c r="F17" i="186"/>
  <c r="K22" i="186"/>
  <c r="J22" i="186"/>
  <c r="J24" i="186" s="1"/>
  <c r="J26" i="179" s="1"/>
  <c r="J27" i="179" s="1"/>
  <c r="I22" i="186"/>
  <c r="H22" i="186"/>
  <c r="H24" i="186" s="1"/>
  <c r="H26" i="179" s="1"/>
  <c r="H27" i="179" s="1"/>
  <c r="G22" i="186"/>
  <c r="F22" i="186"/>
  <c r="E22" i="186"/>
  <c r="E17" i="186"/>
  <c r="E24" i="186" s="1"/>
  <c r="E26" i="179" s="1"/>
  <c r="E27" i="179" s="1"/>
  <c r="K11" i="186"/>
  <c r="J11" i="186"/>
  <c r="I11" i="186"/>
  <c r="H11" i="186"/>
  <c r="G11" i="186"/>
  <c r="F11" i="186"/>
  <c r="E11" i="186"/>
  <c r="K25" i="179"/>
  <c r="J25" i="179"/>
  <c r="I25" i="179"/>
  <c r="H25" i="179"/>
  <c r="G25" i="179"/>
  <c r="F25" i="179"/>
  <c r="E25" i="179"/>
  <c r="L27" i="185"/>
  <c r="K27" i="185"/>
  <c r="J27" i="185"/>
  <c r="I27" i="185"/>
  <c r="H27" i="185"/>
  <c r="G27" i="185"/>
  <c r="F27" i="185"/>
  <c r="E27" i="185"/>
  <c r="L23" i="185"/>
  <c r="K23" i="185"/>
  <c r="J23" i="185"/>
  <c r="I23" i="185"/>
  <c r="H23" i="185"/>
  <c r="G23" i="185"/>
  <c r="F23" i="185"/>
  <c r="E23" i="185"/>
  <c r="L19" i="185"/>
  <c r="K19" i="185"/>
  <c r="J19" i="185"/>
  <c r="I19" i="185"/>
  <c r="H19" i="185"/>
  <c r="G19" i="185"/>
  <c r="F19" i="185"/>
  <c r="E19" i="185"/>
  <c r="L15" i="185"/>
  <c r="K15" i="185"/>
  <c r="J15" i="185"/>
  <c r="I15" i="185"/>
  <c r="H15" i="185"/>
  <c r="G15" i="185"/>
  <c r="F15" i="185"/>
  <c r="E15" i="185"/>
  <c r="K23" i="179"/>
  <c r="J23" i="179"/>
  <c r="H23" i="179"/>
  <c r="I23" i="179"/>
  <c r="G23" i="179"/>
  <c r="F23" i="179"/>
  <c r="E23" i="179"/>
  <c r="L21" i="186"/>
  <c r="L22" i="186" s="1"/>
  <c r="L20" i="186"/>
  <c r="L16" i="186"/>
  <c r="L15" i="186"/>
  <c r="L17" i="186" s="1"/>
  <c r="I9" i="186"/>
  <c r="G9" i="186"/>
  <c r="F9" i="186"/>
  <c r="E9" i="186"/>
  <c r="J8" i="186"/>
  <c r="H8" i="186"/>
  <c r="B4" i="186"/>
  <c r="L25" i="185"/>
  <c r="L22" i="185"/>
  <c r="L21" i="185"/>
  <c r="L20" i="185"/>
  <c r="L18" i="185"/>
  <c r="L17" i="185"/>
  <c r="L14" i="185"/>
  <c r="L13" i="185"/>
  <c r="L12" i="185"/>
  <c r="L11" i="185"/>
  <c r="I9" i="185"/>
  <c r="G9" i="185"/>
  <c r="F9" i="185"/>
  <c r="E9" i="185"/>
  <c r="J8" i="185"/>
  <c r="H8" i="185"/>
  <c r="B4" i="185"/>
  <c r="D55" i="127"/>
  <c r="D34" i="127"/>
  <c r="D28" i="127"/>
  <c r="D15" i="127"/>
  <c r="L24" i="186" l="1"/>
  <c r="L26" i="179" s="1"/>
  <c r="L27" i="179" s="1"/>
  <c r="F24" i="186"/>
  <c r="F26" i="179" s="1"/>
  <c r="F27" i="179" s="1"/>
  <c r="D35" i="171" s="1"/>
  <c r="G24" i="186"/>
  <c r="G26" i="179" s="1"/>
  <c r="G27" i="179" s="1"/>
  <c r="I24" i="186"/>
  <c r="I26" i="179" s="1"/>
  <c r="I27" i="179" s="1"/>
  <c r="D45" i="174" s="1"/>
  <c r="L11" i="186"/>
  <c r="K9" i="12" l="1"/>
  <c r="K7" i="12"/>
  <c r="H5" i="12"/>
  <c r="C9" i="4"/>
  <c r="J39" i="3"/>
  <c r="L33"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35" i="183" l="1"/>
  <c r="F34" i="183"/>
  <c r="F33" i="183"/>
  <c r="F32" i="183"/>
  <c r="F31" i="183"/>
  <c r="F30" i="183"/>
  <c r="F29" i="183"/>
  <c r="F28" i="183"/>
  <c r="F27" i="183"/>
  <c r="F26" i="183"/>
  <c r="F25" i="183"/>
  <c r="F24" i="183"/>
  <c r="F23" i="183"/>
  <c r="E35" i="183"/>
  <c r="E34" i="183"/>
  <c r="E33" i="183"/>
  <c r="E32" i="183"/>
  <c r="E31" i="183"/>
  <c r="E30" i="183"/>
  <c r="E29" i="183"/>
  <c r="E28" i="183"/>
  <c r="E27" i="183"/>
  <c r="E26" i="183"/>
  <c r="E25" i="183"/>
  <c r="E24" i="183"/>
  <c r="E23" i="183"/>
  <c r="E22" i="183"/>
  <c r="F22" i="183" s="1"/>
  <c r="E21" i="183"/>
  <c r="F21" i="183" s="1"/>
  <c r="E20" i="183"/>
  <c r="F20" i="183" s="1"/>
  <c r="E19" i="183"/>
  <c r="F19" i="183" s="1"/>
  <c r="E18" i="183"/>
  <c r="F18" i="183" s="1"/>
  <c r="E17" i="183"/>
  <c r="F17" i="183" s="1"/>
  <c r="B7885" i="106" l="1"/>
  <c r="D7885" i="106" s="1"/>
  <c r="B7884" i="106"/>
  <c r="B7883" i="106"/>
  <c r="B7882" i="106"/>
  <c r="D7882" i="106" s="1"/>
  <c r="D7884" i="106"/>
  <c r="D7883" i="106"/>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5" i="179" l="1"/>
  <c r="L23" i="179"/>
  <c r="L21" i="179"/>
  <c r="L20" i="179"/>
  <c r="L19" i="179"/>
  <c r="L18" i="179"/>
  <c r="L17"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B3454" i="106" l="1"/>
  <c r="D3454" i="106" s="1"/>
  <c r="M20" i="3"/>
  <c r="B2864" i="106" s="1"/>
  <c r="D2864" i="106" s="1"/>
  <c r="B2029" i="106"/>
  <c r="D2029" i="106" s="1"/>
  <c r="M19" i="3"/>
  <c r="B276" i="106" s="1"/>
  <c r="D276" i="106" s="1"/>
  <c r="B2028" i="106"/>
  <c r="D2028" i="106" s="1"/>
  <c r="M18" i="3"/>
  <c r="B275" i="106" s="1"/>
  <c r="D275" i="106" s="1"/>
  <c r="B2027" i="106"/>
  <c r="D2027" i="106" s="1"/>
  <c r="M17" i="3"/>
  <c r="B274" i="106" s="1"/>
  <c r="D274" i="106" s="1"/>
  <c r="B2026" i="106"/>
  <c r="D2026" i="106" s="1"/>
  <c r="M16" i="3"/>
  <c r="D69" i="36"/>
  <c r="F71" i="34"/>
  <c r="G30" i="108"/>
  <c r="B7705" i="106"/>
  <c r="D7705" i="106" s="1"/>
  <c r="E67" i="184"/>
  <c r="N67" i="184" s="1"/>
  <c r="B7198" i="106"/>
  <c r="D7198" i="106" s="1"/>
  <c r="E65" i="184"/>
  <c r="N65" i="184" s="1"/>
  <c r="B7126" i="106"/>
  <c r="D7126" i="106" s="1"/>
  <c r="E57" i="184"/>
  <c r="D31" i="108"/>
  <c r="E16" i="184"/>
  <c r="H16" i="184" s="1"/>
  <c r="H12" i="184"/>
  <c r="B7180" i="106"/>
  <c r="D7180" i="106" s="1"/>
  <c r="E63" i="184"/>
  <c r="N63" i="184" s="1"/>
  <c r="F77" i="4"/>
  <c r="B3255" i="106" s="1"/>
  <c r="D3255" i="106" s="1"/>
  <c r="G33" i="108"/>
  <c r="E17" i="184"/>
  <c r="H17" i="184" s="1"/>
  <c r="D24" i="37"/>
  <c r="B4270" i="106" s="1"/>
  <c r="D4270" i="106" s="1"/>
  <c r="B7171" i="106"/>
  <c r="D7171" i="106" s="1"/>
  <c r="E62" i="184"/>
  <c r="N62" i="184" s="1"/>
  <c r="L22" i="37"/>
  <c r="F36" i="34"/>
  <c r="B7828" i="106" s="1"/>
  <c r="D7828" i="106" s="1"/>
  <c r="B7162" i="106"/>
  <c r="D7162" i="106" s="1"/>
  <c r="E61" i="184"/>
  <c r="N61" i="184" s="1"/>
  <c r="H365" i="29"/>
  <c r="B7242" i="106" s="1"/>
  <c r="D7242" i="106" s="1"/>
  <c r="B7189" i="106"/>
  <c r="D7189" i="106" s="1"/>
  <c r="E64" i="184"/>
  <c r="N64" i="184" s="1"/>
  <c r="B7153" i="106"/>
  <c r="D7153" i="106" s="1"/>
  <c r="E60" i="184"/>
  <c r="N60"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273" i="106" l="1"/>
  <c r="D273" i="106" s="1"/>
  <c r="M23" i="3"/>
  <c r="B1381" i="106"/>
  <c r="D1381" i="106" s="1"/>
  <c r="H151" i="29"/>
  <c r="B1273" i="106" s="1"/>
  <c r="D1273" i="106" s="1"/>
  <c r="F41" i="108"/>
  <c r="G43" i="108" s="1"/>
  <c r="B5527" i="106"/>
  <c r="D5527" i="106" s="1"/>
  <c r="B6216" i="106"/>
  <c r="D6216" i="106" s="1"/>
  <c r="N57" i="184"/>
  <c r="N68" i="184" s="1"/>
  <c r="E68" i="184"/>
  <c r="L114" i="29"/>
  <c r="E367" i="29"/>
  <c r="B3635" i="106"/>
  <c r="B7220" i="106"/>
  <c r="D7220" i="106" s="1"/>
  <c r="F75" i="34"/>
  <c r="B7886" i="106" s="1"/>
  <c r="D7886" i="106" s="1"/>
  <c r="E19" i="184"/>
  <c r="B7222" i="106"/>
  <c r="D7222" i="106" s="1"/>
  <c r="F76" i="34"/>
  <c r="B7887" i="106" s="1"/>
  <c r="D7887" i="106" s="1"/>
  <c r="H19" i="184"/>
  <c r="L20" i="184" s="1"/>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279" i="106" l="1"/>
  <c r="D279" i="106" s="1"/>
  <c r="M40" i="3"/>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M41" i="3" l="1"/>
  <c r="B280" i="106"/>
  <c r="D280" i="106" s="1"/>
  <c r="K17" i="4"/>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81" i="106" l="1"/>
  <c r="D281" i="106" s="1"/>
  <c r="D54" i="3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3567" i="106" l="1"/>
  <c r="D3567" i="106" s="1"/>
  <c r="K41" i="3"/>
  <c r="B123" i="106"/>
  <c r="D123" i="106" s="1"/>
  <c r="D41" i="3"/>
  <c r="B2912" i="106"/>
  <c r="D2912" i="106" s="1"/>
  <c r="I41" i="3"/>
  <c r="B212" i="106"/>
  <c r="D212" i="106" s="1"/>
  <c r="H41" i="3"/>
  <c r="F176" i="34"/>
  <c r="B7878" i="106" s="1"/>
  <c r="D7878" i="106" s="1"/>
  <c r="B7835" i="106"/>
  <c r="D7835" i="106" s="1"/>
  <c r="B3278" i="106"/>
  <c r="D3278" i="106" s="1"/>
  <c r="E81" i="4"/>
  <c r="E39" i="3" s="1"/>
  <c r="B3233" i="106"/>
  <c r="D3233" i="106" s="1"/>
  <c r="C81" i="4"/>
  <c r="C39"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52" i="36" l="1"/>
  <c r="B3568" i="106"/>
  <c r="D3568" i="106" s="1"/>
  <c r="B189" i="106"/>
  <c r="D189" i="106" s="1"/>
  <c r="G41" i="3"/>
  <c r="D76" i="36"/>
  <c r="B170" i="106"/>
  <c r="D170" i="106" s="1"/>
  <c r="F41" i="3"/>
  <c r="N21" i="3"/>
  <c r="B140" i="106"/>
  <c r="D140" i="106" s="1"/>
  <c r="E41" i="3"/>
  <c r="B124" i="106"/>
  <c r="D124" i="106" s="1"/>
  <c r="D45" i="36"/>
  <c r="B92" i="106"/>
  <c r="D92" i="106" s="1"/>
  <c r="C41" i="3"/>
  <c r="B213" i="106"/>
  <c r="D213" i="106" s="1"/>
  <c r="D49" i="36"/>
  <c r="D50" i="36"/>
  <c r="B2913" i="106"/>
  <c r="D2913"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8" i="36" l="1"/>
  <c r="B190" i="106"/>
  <c r="D190" i="106" s="1"/>
  <c r="B171" i="106"/>
  <c r="D171" i="106" s="1"/>
  <c r="D47" i="36"/>
  <c r="D46" i="36"/>
  <c r="B141" i="106"/>
  <c r="D141" i="106" s="1"/>
  <c r="B282" i="106"/>
  <c r="D282" i="106" s="1"/>
  <c r="N23" i="3"/>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<sst xmlns="http://schemas.openxmlformats.org/spreadsheetml/2006/main" count="5407" uniqueCount="2184">
  <si>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</si>
  <si>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</si>
  <si>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</si>
  <si>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</si>
  <si>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</si>
  <si>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</si>
  <si>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</si>
  <si>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</si>
  <si>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</si>
  <si>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</si>
  <si>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</si>
  <si>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</si>
  <si>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</si>
  <si>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</si>
  <si>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</si>
  <si>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</si>
  <si>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</si>
  <si>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</si>
  <si>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</si>
  <si>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</si>
  <si>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</si>
  <si>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</si>
  <si>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</si>
  <si>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</si>
  <si>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</si>
  <si>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</si>
  <si>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</si>
  <si>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</si>
  <si>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</si>
  <si>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</si>
  <si>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</si>
  <si>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</si>
  <si>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</si>
  <si>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</si>
  <si>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</si>
  <si>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</si>
  <si>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</si>
  <si>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</si>
  <si>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</si>
  <si>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</si>
  <si>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</si>
  <si>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</si>
  <si>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</si>
  <si>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</si>
  <si>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</si>
  <si>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</si>
  <si>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</si>
  <si>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</si>
  <si>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</si>
  <si>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</si>
  <si>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</si>
  <si>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</si>
  <si>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</si>
  <si>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</si>
  <si>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</si>
  <si>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</si>
  <si>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</si>
  <si>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</si>
  <si>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</si>
  <si>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</si>
  <si>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</si>
  <si>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</si>
  <si>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</si>
  <si>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</si>
  <si>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</si>
  <si>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</si>
  <si>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</si>
  <si>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</si>
  <si>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</si>
  <si>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</si>
  <si>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</si>
  <si>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</si>
  <si>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</si>
  <si>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</si>
  <si>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</si>
  <si>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</si>
  <si>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</si>
  <si>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</si>
  <si>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</si>
  <si>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</si>
  <si>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</si>
  <si>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</si>
  <si>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</si>
  <si>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</si>
  <si>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</si>
  <si>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</si>
  <si>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</si>
  <si>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</si>
  <si>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</si>
  <si>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</si>
  <si>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</si>
  <si>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</si>
  <si>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</si>
  <si>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</si>
  <si>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</si>
  <si>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</si>
  <si>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</si>
  <si>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</si>
  <si>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</si>
  <si>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</si>
  <si>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</si>
  <si>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</si>
  <si>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</si>
  <si>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</si>
  <si>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</si>
  <si>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</si>
  <si>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</si>
  <si>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</si>
  <si>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</si>
  <si>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</si>
  <si>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</si>
  <si>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</si>
  <si>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</si>
  <si>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</si>
  <si>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</si>
  <si>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</si>
  <si>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</si>
  <si>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</si>
  <si>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</si>
  <si>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</si>
  <si>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</si>
  <si>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</si>
  <si>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</si>
  <si>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</si>
  <si>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</si>
  <si>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</si>
  <si>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</si>
  <si>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</si>
  <si>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</si>
  <si>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</si>
  <si>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</si>
  <si>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</si>
  <si>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</si>
  <si>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</si>
  <si>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</si>
  <si>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</si>
  <si>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</si>
  <si>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</si>
  <si>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</si>
  <si>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</si>
  <si>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</si>
  <si>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</si>
  <si>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</si>
  <si>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</si>
  <si>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</si>
  <si>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</si>
  <si>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</si>
  <si>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</si>
  <si>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</si>
  <si>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</si>
  <si>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</si>
  <si>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</si>
  <si>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</si>
  <si>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</si>
  <si>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</si>
  <si>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</si>
  <si>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</si>
  <si>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</si>
  <si>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</si>
  <si>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</si>
  <si>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</si>
  <si>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</si>
  <si>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</si>
  <si>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</si>
  <si>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</si>
  <si>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</si>
  <si>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</si>
  <si>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</si>
  <si>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</si>
  <si>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</si>
  <si>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</si>
  <si>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</si>
  <si>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</si>
  <si>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</si>
  <si>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</si>
  <si>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</si>
  <si>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</si>
  <si>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</si>
  <si>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</si>
  <si>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</si>
  <si>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</si>
  <si>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</si>
  <si>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</si>
  <si>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</si>
  <si>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</si>
  <si>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</si>
  <si>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</si>
  <si>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</si>
  <si>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</si>
  <si>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</si>
  <si>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</si>
  <si>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</si>
  <si>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</si>
  <si>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</si>
  <si>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</si>
  <si>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</si>
  <si>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</si>
  <si>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</si>
  <si>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</si>
  <si>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</si>
  <si>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</si>
  <si>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</si>
  <si>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</si>
  <si>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</si>
  <si>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</si>
  <si>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</si>
  <si>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</si>
  <si>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</si>
  <si>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</si>
  <si>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</si>
  <si>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</si>
  <si>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</si>
  <si>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</si>
  <si>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</si>
  <si>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</si>
  <si>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</si>
  <si>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</si>
  <si>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</si>
  <si>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</si>
  <si>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</si>
  <si>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</si>
  <si>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</si>
  <si>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</si>
  <si>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</si>
  <si>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</si>
  <si>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</si>
  <si>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</si>
  <si>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</si>
  <si>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</si>
  <si>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</si>
  <si>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</si>
  <si>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</si>
  <si>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</si>
  <si>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</si>
  <si>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</si>
  <si>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</si>
  <si>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</si>
  <si>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</si>
  <si>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</si>
  <si>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</si>
  <si>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</si>
  <si>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</si>
  <si>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</si>
  <si>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</si>
  <si>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</si>
  <si>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</si>
  <si>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</si>
  <si>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</si>
  <si>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</si>
  <si>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</si>
  <si>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</si>
  <si>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</si>
  <si>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</si>
  <si>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</si>
  <si>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</si>
  <si>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</si>
  <si>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</si>
  <si>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</si>
  <si>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</si>
  <si>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</si>
  <si>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</si>
  <si>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</si>
  <si>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</si>
  <si>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</si>
  <si>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</si>
  <si>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</si>
  <si>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</si>
  <si>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</si>
  <si>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</si>
  <si>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</si>
  <si>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</si>
  <si>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</si>
  <si>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</si>
  <si>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</si>
  <si>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</si>
  <si>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</si>
  <si>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</si>
  <si>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</si>
  <si>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</si>
  <si>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</si>
  <si>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</si>
  <si>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</si>
  <si>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</si>
  <si>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</si>
  <si>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</si>
  <si>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</si>
  <si>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</si>
  <si>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</si>
  <si>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</si>
  <si>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</si>
  <si>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</si>
  <si>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</si>
  <si>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</si>
  <si>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</si>
  <si>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</si>
  <si>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</si>
  <si>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</si>
  <si>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</si>
  <si>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</si>
  <si>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</si>
  <si>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</si>
  <si>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</si>
  <si>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</si>
  <si>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</si>
  <si>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</si>
  <si>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</si>
  <si>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</si>
  <si>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</si>
  <si>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</si>
  <si>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</si>
  <si>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</si>
  <si>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</si>
  <si>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</si>
  <si>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</si>
  <si>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</si>
  <si>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</si>
  <si>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</si>
  <si>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</si>
  <si>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</si>
  <si>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</si>
  <si>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</si>
  <si>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</si>
  <si>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</si>
  <si>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</si>
  <si>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</si>
  <si>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</si>
  <si>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</si>
  <si>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</si>
  <si>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</si>
  <si>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</si>
  <si>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</si>
  <si>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</si>
  <si>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</si>
  <si>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</si>
  <si>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</si>
  <si>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</si>
  <si>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</si>
  <si>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</si>
  <si>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</si>
  <si>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</si>
  <si>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</si>
  <si>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</si>
  <si>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</si>
  <si>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</si>
  <si>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</si>
  <si>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</si>
  <si>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</si>
  <si>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</si>
  <si>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</si>
  <si>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</si>
  <si>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</si>
  <si>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</si>
  <si>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</si>
  <si>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</si>
  <si>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</si>
  <si>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</si>
  <si>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</si>
  <si>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</si>
  <si>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</si>
  <si>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</si>
  <si>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</si>
  <si>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</si>
  <si>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</si>
  <si>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</si>
  <si>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</si>
  <si>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</si>
  <si>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</si>
  <si>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</si>
  <si>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</si>
  <si>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</si>
  <si>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</si>
  <si>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</si>
  <si>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</si>
  <si>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</si>
  <si>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</si>
  <si>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</si>
  <si>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</si>
  <si>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</si>
  <si>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</si>
  <si>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</si>
  <si>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</si>
  <si>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</si>
  <si>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</si>
  <si>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</si>
  <si>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</si>
  <si>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</si>
  <si>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</si>
  <si>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</si>
  <si>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</si>
  <si>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</si>
  <si>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</si>
  <si>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</si>
  <si>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</si>
  <si>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</si>
  <si>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</si>
  <si>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</si>
  <si>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</si>
  <si>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</si>
  <si>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</si>
  <si>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</si>
  <si>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</si>
  <si>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</si>
  <si>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</si>
  <si>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</si>
  <si>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</si>
  <si>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</si>
  <si>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</si>
  <si>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</si>
  <si>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</si>
  <si>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</si>
  <si>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</si>
  <si>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</si>
  <si>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</si>
  <si>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</si>
  <si>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</si>
  <si>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</si>
  <si>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</si>
  <si>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</si>
  <si>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</si>
  <si>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</si>
  <si>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</si>
  <si>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</si>
  <si>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</si>
  <si>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</si>
  <si>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</si>
  <si>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</si>
  <si>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</si>
  <si>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</si>
  <si>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</si>
  <si>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</si>
  <si>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</si>
  <si>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</si>
  <si>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</si>
  <si>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</si>
  <si>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</si>
  <si>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</si>
  <si>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</si>
  <si>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</si>
  <si>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</si>
  <si>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</si>
  <si>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</si>
  <si>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</si>
  <si>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</si>
  <si>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</si>
  <si>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</si>
  <si>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</si>
  <si>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</si>
  <si>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</si>
  <si>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</si>
  <si>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</si>
  <si>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</si>
  <si>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</si>
  <si>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</si>
  <si>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</si>
  <si>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</si>
  <si>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</si>
  <si>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</si>
  <si>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</si>
  <si>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</si>
  <si>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</si>
  <si>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</si>
  <si>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</si>
  <si>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</si>
  <si>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</si>
  <si>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</si>
  <si>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</si>
  <si>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</si>
  <si>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</si>
  <si>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</si>
  <si>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</si>
  <si>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</si>
  <si>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</si>
  <si>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</si>
  <si>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</si>
  <si>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</si>
  <si>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</si>
  <si>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</si>
  <si>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</si>
  <si>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</si>
  <si>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</si>
  <si>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</si>
  <si>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</si>
  <si>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</si>
  <si>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</si>
  <si>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</si>
  <si>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</si>
  <si>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</si>
  <si>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</si>
  <si>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</si>
  <si>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</si>
  <si>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</si>
  <si>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</si>
  <si>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</si>
  <si>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</si>
  <si>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</si>
  <si>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</si>
  <si>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</si>
  <si>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</si>
  <si>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</si>
  <si>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</si>
  <si>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</si>
  <si>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</si>
  <si>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</si>
  <si>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</si>
  <si>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</si>
  <si>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</si>
  <si>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</si>
  <si>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</si>
  <si>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</si>
  <si>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</si>
  <si>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</si>
  <si>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</si>
  <si>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</si>
  <si>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</si>
  <si>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</si>
  <si>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</si>
  <si>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</si>
  <si>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</si>
  <si>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</si>
  <si>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</si>
  <si>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</si>
  <si>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</si>
  <si>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</si>
  <si>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</si>
  <si>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</si>
  <si>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</si>
  <si>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</si>
  <si>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</si>
  <si>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</si>
  <si>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</si>
  <si>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</si>
  <si>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</si>
  <si>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</si>
  <si>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</si>
  <si>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</si>
  <si>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</si>
  <si>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</si>
  <si>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</si>
  <si>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</si>
  <si>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</si>
  <si>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</si>
  <si>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</si>
  <si>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</si>
  <si>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</si>
  <si>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</si>
  <si>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</si>
  <si>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</si>
  <si>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</si>
  <si>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</si>
  <si>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</si>
  <si>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</si>
  <si>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</si>
  <si>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</si>
  <si>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</si>
  <si>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</si>
  <si>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</si>
  <si>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</si>
  <si>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</si>
  <si>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</si>
  <si>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</si>
  <si>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</si>
  <si>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</si>
  <si>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</si>
  <si>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</si>
  <si>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</si>
  <si>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</si>
  <si>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</si>
  <si>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</si>
  <si>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</si>
  <si>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</si>
  <si>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</si>
  <si>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</si>
  <si>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</si>
  <si>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</si>
  <si>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</si>
  <si>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</si>
  <si>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</si>
  <si>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</si>
  <si>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</si>
  <si>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</si>
  <si>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</si>
  <si>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</si>
  <si>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</si>
  <si>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</si>
  <si>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</si>
  <si>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</si>
  <si>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</si>
  <si>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</si>
  <si>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</si>
  <si>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</si>
  <si>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</si>
  <si>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</si>
  <si>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</si>
  <si>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</si>
  <si>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</si>
  <si>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</si>
  <si>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</si>
  <si>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</si>
  <si>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</si>
  <si>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</si>
  <si>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</si>
  <si>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</si>
  <si>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</si>
  <si>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</si>
  <si>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</si>
  <si>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</si>
  <si>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</si>
  <si>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</si>
  <si>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</si>
  <si>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</si>
  <si>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</si>
  <si>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</si>
  <si>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</si>
  <si>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</si>
  <si>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</si>
  <si>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</si>
  <si>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</si>
  <si>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</si>
  <si>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</si>
  <si>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</si>
  <si>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</si>
  <si>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</si>
  <si>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</si>
  <si>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</si>
  <si>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</si>
  <si>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</si>
  <si>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</si>
  <si>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</si>
  <si>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</si>
  <si>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</si>
  <si>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</si>
  <si>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</si>
  <si>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</si>
  <si>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</si>
  <si>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</si>
  <si>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</si>
  <si>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</si>
  <si>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</si>
  <si>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</si>
  <si>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</si>
  <si>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</si>
  <si>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</si>
  <si>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</si>
  <si>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</si>
  <si>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</si>
  <si>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</si>
  <si>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</si>
  <si>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</si>
  <si>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</si>
  <si>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</si>
  <si>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</si>
  <si>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</si>
  <si>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</si>
  <si>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</si>
  <si>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</si>
  <si>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</si>
  <si>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</si>
  <si>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</si>
  <si>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</si>
  <si>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</si>
  <si>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</si>
  <si>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</si>
  <si>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</si>
  <si>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</si>
  <si>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</si>
  <si>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</si>
  <si>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</si>
  <si>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</si>
  <si>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</si>
  <si>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</si>
  <si>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</si>
  <si>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</si>
  <si>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</si>
  <si>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</si>
  <si>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</si>
  <si>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</si>
  <si>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</si>
  <si>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</si>
  <si>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</si>
  <si>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</si>
  <si>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</si>
  <si>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</si>
  <si>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</si>
  <si>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</si>
  <si>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</si>
  <si>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</si>
  <si>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</si>
  <si>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</si>
  <si>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</si>
  <si>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</si>
  <si>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</si>
  <si>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</si>
  <si>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</si>
  <si>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</si>
  <si>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</si>
  <si>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</si>
  <si>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</si>
  <si>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</si>
  <si>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</si>
  <si>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</si>
  <si>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</si>
  <si>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</si>
  <si>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</si>
  <si>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</si>
  <si>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</si>
  <si>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</si>
  <si>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</si>
  <si>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</si>
  <si>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</si>
  <si>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</si>
  <si>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</si>
  <si>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</si>
  <si>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</si>
  <si>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</si>
  <si>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</si>
  <si>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</si>
  <si>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</si>
  <si>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</si>
  <si>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</si>
  <si>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</si>
  <si>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</si>
  <si>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</si>
  <si>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</si>
  <si>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</si>
  <si>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</si>
  <si>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</si>
  <si>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</si>
  <si>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</si>
  <si>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</si>
  <si>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</si>
  <si>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</si>
  <si>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</si>
  <si>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</si>
  <si>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</si>
  <si>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</si>
  <si>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</si>
  <si>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</si>
  <si>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</si>
  <si>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</si>
  <si>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</si>
  <si>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</si>
  <si>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</si>
  <si>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</si>
  <si>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</si>
  <si>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</si>
  <si>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</si>
  <si>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</si>
  <si>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</si>
  <si>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</si>
  <si>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</si>
  <si>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</si>
  <si>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</si>
  <si>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</si>
  <si>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</si>
  <si>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</si>
  <si>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</si>
  <si>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</si>
  <si>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</si>
  <si>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</si>
  <si>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</si>
  <si>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</si>
  <si>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</si>
  <si>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</si>
  <si>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</si>
  <si>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</si>
  <si>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</si>
  <si>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</si>
  <si>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</si>
  <si>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</si>
  <si>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</si>
  <si>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</si>
  <si>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</si>
  <si>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</si>
  <si>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</si>
  <si>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</si>
  <si>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</si>
  <si>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</si>
  <si>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</si>
  <si>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</si>
  <si>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</si>
  <si>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</si>
  <si>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</si>
  <si>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</si>
  <si>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</si>
  <si>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</si>
  <si>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</si>
  <si>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</si>
  <si>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</si>
  <si>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</si>
  <si>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</si>
  <si>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</si>
  <si>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</si>
  <si>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</si>
  <si>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</si>
  <si>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</si>
  <si>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</si>
  <si>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</si>
  <si>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</si>
  <si>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</si>
  <si>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</si>
  <si>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</si>
  <si>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</si>
  <si>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</si>
  <si>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</si>
  <si>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</si>
  <si>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</si>
  <si>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</si>
  <si>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</si>
  <si>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</si>
  <si>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</si>
  <si>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</si>
  <si>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</si>
  <si>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</si>
  <si>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</si>
  <si>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</si>
  <si>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</si>
  <si>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</si>
  <si>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</si>
  <si>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</si>
  <si>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</si>
  <si>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</si>
  <si>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</si>
  <si>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</si>
  <si>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</si>
  <si>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</si>
  <si>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</si>
  <si>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</si>
  <si>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</si>
  <si>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</si>
  <si>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</si>
  <si>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</si>
  <si>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</si>
  <si>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</si>
  <si>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</si>
  <si>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</si>
  <si>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</si>
  <si>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</si>
  <si>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</si>
  <si>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</si>
  <si>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</si>
  <si>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</si>
  <si>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</si>
  <si>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</si>
  <si>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</si>
  <si>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</si>
  <si>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</si>
  <si>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</si>
  <si>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</si>
  <si>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</si>
  <si>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</si>
  <si>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</si>
  <si>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</si>
  <si>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</si>
  <si>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</si>
  <si>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</si>
  <si>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</si>
  <si>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</si>
  <si>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</si>
  <si>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</si>
  <si>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</si>
  <si>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</si>
  <si>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</si>
  <si>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</si>
  <si>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</si>
  <si>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</si>
  <si>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</si>
  <si>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</si>
  <si>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</si>
  <si>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</si>
  <si>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</si>
  <si>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</si>
  <si>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</si>
  <si>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</si>
  <si>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</si>
  <si>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</si>
  <si>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</si>
  <si>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</si>
  <si>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</si>
  <si>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</si>
  <si>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</si>
  <si>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</si>
  <si>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</si>
  <si>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</si>
  <si>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</si>
  <si>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</si>
  <si>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</si>
  <si>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</si>
  <si>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</si>
  <si>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</si>
  <si>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</si>
  <si>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</si>
  <si>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</si>
  <si>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</si>
  <si>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</si>
  <si>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</si>
  <si>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</si>
  <si>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</si>
  <si>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</si>
  <si>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</si>
  <si>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</si>
  <si>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</si>
  <si>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</si>
  <si>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</si>
  <si>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</si>
  <si>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</si>
  <si>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</si>
  <si>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</si>
  <si>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</si>
  <si>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</si>
  <si>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</si>
  <si>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</si>
  <si>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</si>
  <si>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</si>
  <si>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</si>
  <si>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</si>
  <si>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</si>
  <si>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</si>
  <si>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</si>
  <si>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</si>
  <si>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</si>
  <si>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</si>
  <si>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</si>
  <si>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</si>
  <si>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</si>
  <si>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</si>
  <si>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</si>
  <si>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</si>
  <si>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</si>
  <si>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</si>
  <si>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</si>
  <si>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</si>
  <si>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</si>
  <si>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</si>
  <si>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</si>
  <si>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</si>
  <si>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</si>
  <si>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</si>
  <si>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</si>
  <si>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</si>
  <si>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</si>
  <si>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</si>
  <si>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</si>
  <si>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</si>
  <si>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</si>
  <si>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</si>
  <si>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</si>
  <si>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</si>
  <si>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</si>
  <si>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</si>
  <si>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</si>
  <si>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</si>
  <si>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</si>
  <si>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</si>
  <si>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</si>
  <si>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</si>
  <si>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</si>
  <si>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</si>
  <si>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</si>
  <si>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</si>
  <si>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</si>
  <si>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</si>
  <si>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</si>
  <si>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</si>
  <si>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</si>
  <si>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</si>
  <si>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</si>
  <si>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</si>
  <si>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</si>
  <si>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</si>
  <si>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</si>
  <si>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</si>
  <si>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</si>
  <si>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</si>
  <si>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</si>
  <si>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</si>
  <si>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</si>
  <si>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</si>
  <si>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</si>
  <si>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</si>
  <si>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</si>
  <si>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</si>
  <si>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</si>
  <si>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</si>
  <si>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</si>
  <si>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</si>
  <si>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</si>
  <si>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</si>
  <si>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</si>
  <si>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</si>
  <si>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</si>
  <si>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</si>
  <si>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</si>
  <si>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</si>
  <si>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</si>
  <si>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</si>
  <si>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</si>
  <si>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</si>
  <si>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</si>
  <si>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</si>
  <si>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</si>
  <si>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</si>
  <si>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</si>
  <si>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</si>
  <si>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</si>
  <si>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</si>
  <si>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</si>
  <si>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</si>
  <si>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</si>
  <si>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</si>
  <si>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</si>
  <si>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</si>
  <si>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</si>
  <si>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</si>
  <si>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</si>
  <si>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</si>
  <si>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</si>
  <si>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</si>
  <si>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</si>
  <si>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</si>
  <si>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</si>
  <si>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</si>
  <si>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</si>
  <si>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</si>
  <si>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</si>
  <si>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</si>
  <si>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</si>
  <si>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</si>
  <si>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</si>
  <si>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</si>
  <si>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</si>
  <si>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</si>
  <si>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</si>
  <si>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</si>
  <si>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</si>
  <si>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</si>
  <si>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</si>
  <si>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</si>
  <si>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</si>
  <si>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</si>
  <si>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</si>
  <si>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</si>
  <si>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</si>
  <si>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</si>
  <si>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</si>
  <si>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</si>
  <si>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</si>
  <si>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</si>
  <si>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</si>
  <si>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</si>
  <si>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</si>
  <si>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</si>
  <si>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</si>
  <si>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</si>
  <si>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</si>
  <si>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</si>
  <si>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</si>
  <si>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</si>
  <si>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</si>
  <si>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</si>
  <si>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</si>
  <si>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</si>
  <si>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</si>
  <si>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</si>
  <si>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</si>
  <si>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</si>
  <si>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</si>
  <si>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</si>
  <si>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</si>
  <si>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</si>
  <si>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</si>
  <si>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</si>
  <si>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</si>
  <si>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</si>
  <si>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</si>
  <si>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</si>
  <si>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</si>
  <si>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</si>
  <si>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</si>
  <si>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</si>
  <si>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</si>
  <si>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</si>
  <si>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</si>
  <si>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</si>
  <si>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</si>
  <si>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</si>
  <si>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</si>
  <si>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</si>
  <si>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</si>
  <si>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</si>
  <si>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</si>
  <si>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</si>
  <si>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</si>
  <si>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</si>
  <si>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</si>
  <si>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</si>
  <si>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</si>
  <si>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</si>
  <si>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</si>
  <si>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</si>
  <si>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</si>
  <si>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</si>
  <si>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</si>
  <si>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</si>
  <si>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</si>
  <si>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</si>
  <si>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</si>
  <si>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</si>
  <si>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</si>
  <si>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</si>
  <si>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</si>
  <si>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</si>
  <si>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</si>
  <si>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</si>
  <si>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</si>
  <si>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</si>
  <si>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</si>
  <si>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</si>
  <si>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</si>
  <si>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</si>
  <si>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</si>
  <si>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</si>
  <si>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</si>
  <si>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</si>
  <si>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</si>
  <si>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</si>
  <si>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</si>
  <si>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</si>
  <si>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</si>
  <si>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</si>
  <si>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</si>
  <si>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</si>
  <si>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</si>
  <si>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</si>
  <si>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</si>
  <si>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</si>
  <si>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</si>
  <si>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</si>
  <si>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</si>
  <si>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</si>
  <si>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</si>
  <si>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</si>
  <si>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</si>
  <si>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</si>
  <si>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</si>
  <si>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</si>
  <si>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</si>
  <si>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</si>
  <si>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</si>
  <si>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</si>
  <si>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</si>
  <si>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</si>
  <si>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</si>
  <si>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</si>
  <si>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</si>
  <si>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</si>
  <si>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</si>
  <si>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</si>
  <si>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</si>
  <si>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</si>
  <si>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</si>
  <si>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</si>
  <si>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</si>
  <si>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</si>
  <si>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</si>
  <si>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</si>
  <si>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</si>
  <si>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</si>
  <si>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</si>
  <si>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</si>
  <si>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</si>
  <si>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</si>
  <si>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</si>
  <si>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</si>
  <si>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</si>
  <si>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</si>
  <si>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</si>
  <si>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</si>
  <si>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</si>
  <si>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</si>
  <si>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</si>
  <si>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</si>
  <si>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</si>
  <si>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</si>
  <si>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</si>
  <si>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</si>
  <si>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</si>
  <si>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</si>
  <si>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</si>
  <si>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</si>
  <si>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</si>
  <si>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</si>
  <si>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</si>
  <si>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</si>
  <si>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</si>
  <si>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</si>
  <si>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</si>
  <si>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</si>
  <si>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</si>
  <si>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</si>
  <si>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</si>
  <si>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</si>
  <si>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</si>
  <si>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</si>
  <si>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</si>
  <si>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</si>
  <si>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</si>
  <si>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</si>
  <si>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</si>
  <si>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</si>
  <si>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</si>
  <si>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</si>
  <si>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</si>
  <si>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</si>
  <si>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</si>
  <si>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</si>
  <si>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</si>
  <si>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</si>
  <si>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</si>
  <si>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</si>
  <si>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</si>
  <si>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</si>
  <si>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</si>
  <si>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</si>
  <si>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</si>
  <si>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</si>
  <si>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</si>
  <si>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</si>
  <si>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</si>
  <si>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</si>
  <si>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</si>
  <si>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</si>
  <si>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</si>
  <si>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</si>
  <si>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</si>
  <si>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</si>
  <si>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</si>
  <si>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</si>
  <si>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</si>
  <si>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</si>
  <si>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</si>
  <si>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</si>
  <si>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</si>
  <si>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</si>
  <si>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</si>
  <si>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</si>
  <si>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</si>
  <si>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</si>
  <si>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</si>
  <si>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</si>
  <si>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</si>
  <si>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</si>
  <si>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</si>
  <si>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</si>
  <si>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</si>
  <si>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</si>
  <si>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</si>
  <si>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</si>
  <si>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</si>
  <si>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</si>
  <si>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</si>
  <si>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</si>
  <si>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</si>
  <si>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</si>
  <si>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</si>
  <si>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</si>
  <si>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</si>
  <si>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</si>
  <si>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</si>
  <si>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</si>
  <si>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</si>
  <si>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</si>
  <si>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</si>
  <si>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</si>
  <si>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</si>
  <si>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</si>
  <si>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</si>
  <si>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</si>
  <si>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</si>
  <si>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</si>
  <si>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</si>
  <si>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</si>
  <si>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</si>
  <si>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</si>
  <si>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</si>
  <si>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</si>
  <si>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</si>
  <si>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</si>
  <si>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</si>
  <si>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</si>
  <si>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</si>
  <si>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</si>
  <si>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</si>
  <si>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</si>
  <si>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</si>
  <si>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</si>
  <si>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</si>
  <si>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</si>
  <si>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</si>
  <si>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</si>
  <si>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</si>
  <si>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</si>
  <si>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</si>
  <si>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</si>
  <si>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</si>
  <si>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</si>
  <si>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</si>
  <si>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</si>
  <si>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</si>
  <si>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</si>
  <si>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</si>
  <si>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</si>
  <si>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</si>
  <si>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</si>
  <si>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</si>
  <si>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</si>
  <si>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</si>
  <si>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</si>
  <si>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</si>
  <si>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</si>
  <si>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</si>
  <si>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</si>
  <si>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</si>
  <si>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</si>
  <si>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</si>
  <si>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</si>
  <si>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</si>
  <si>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</si>
  <si>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</si>
  <si>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</si>
  <si>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</si>
  <si>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</si>
  <si>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</si>
  <si>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</si>
  <si>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</si>
  <si>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</si>
  <si>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</si>
  <si>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</si>
  <si>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</si>
  <si>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</si>
  <si>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</si>
  <si>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</si>
  <si>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</si>
  <si>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</si>
  <si>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</si>
  <si>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</si>
  <si>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</si>
  <si>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</si>
  <si>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</si>
  <si>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</si>
  <si>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</si>
  <si>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</si>
  <si>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</si>
  <si>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</si>
  <si>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</si>
  <si>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</si>
  <si>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</si>
  <si>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</si>
  <si>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</si>
  <si>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</si>
  <si>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</si>
  <si>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</si>
  <si>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</si>
  <si>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</si>
  <si>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</si>
  <si>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</si>
  <si>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</si>
  <si>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</si>
  <si>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</si>
  <si>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</si>
  <si>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</si>
  <si>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</si>
  <si>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</si>
  <si>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</si>
  <si>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</si>
  <si>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</si>
  <si>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</si>
  <si>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</si>
  <si>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</si>
  <si>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</si>
  <si>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</si>
  <si>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</si>
  <si>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</si>
  <si>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</si>
  <si>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</si>
  <si>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</si>
  <si>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</si>
  <si>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</si>
  <si>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</si>
  <si>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</si>
  <si>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</si>
  <si>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</si>
  <si>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</si>
  <si>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</si>
  <si>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</si>
  <si>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</si>
  <si>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</si>
  <si>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</si>
  <si>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</si>
  <si>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</si>
  <si>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</si>
  <si>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</si>
  <si>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</si>
  <si>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</si>
  <si>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</si>
  <si>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</si>
  <si>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</si>
  <si>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</si>
  <si>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</si>
  <si>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</si>
  <si>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</si>
  <si>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</si>
  <si>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</si>
  <si>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</si>
  <si>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</si>
  <si>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</si>
  <si>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</si>
  <si>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</si>
  <si>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</si>
  <si>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</si>
  <si>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</si>
  <si>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</si>
  <si>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</si>
  <si>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</si>
  <si>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</si>
  <si>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</si>
  <si>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</si>
  <si>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</si>
  <si>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</si>
  <si>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</si>
  <si>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</si>
  <si>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</si>
  <si>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</si>
  <si>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</si>
  <si>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</si>
  <si>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</si>
  <si>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</si>
  <si>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</si>
  <si>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</si>
  <si>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</si>
  <si>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</si>
  <si>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</si>
  <si>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</si>
  <si>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</si>
  <si>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</si>
  <si>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</si>
  <si>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</si>
  <si>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</si>
  <si>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</si>
  <si>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</si>
  <si>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</si>
  <si>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</si>
  <si>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</si>
  <si>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</si>
  <si>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</si>
  <si>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</si>
  <si>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</si>
  <si>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</si>
  <si>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</si>
  <si>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</si>
  <si>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</si>
  <si>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</si>
  <si>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</si>
  <si>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</si>
  <si>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</si>
  <si>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</si>
  <si>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</si>
  <si>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</si>
  <si>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</si>
  <si>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</si>
  <si>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</si>
  <si>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</si>
  <si>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</si>
  <si>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</si>
  <si>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</si>
  <si>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</si>
  <si>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</si>
  <si>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</si>
  <si>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</si>
  <si>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</si>
  <si>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</si>
  <si>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</si>
  <si>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</si>
  <si>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</si>
  <si>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</si>
  <si>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</si>
  <si>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</si>
  <si>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</si>
  <si>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</si>
  <si>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</si>
  <si>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</si>
  <si>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</si>
  <si>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</si>
  <si>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</si>
  <si>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</si>
  <si>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</si>
  <si>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</si>
  <si>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</si>
  <si>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</si>
  <si>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</si>
  <si>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</si>
  <si>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</si>
  <si>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</si>
  <si>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</si>
  <si>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</si>
  <si>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</si>
  <si>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</si>
  <si>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</si>
  <si>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</si>
  <si>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</si>
  <si>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</si>
  <si>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</si>
  <si>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</si>
  <si>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</si>
  <si>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</si>
  <si>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</si>
  <si>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</si>
  <si>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</si>
  <si>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</si>
  <si>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</si>
  <si>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</si>
  <si>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</si>
  <si>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</si>
  <si>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</si>
  <si>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</si>
  <si>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</si>
  <si>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</si>
  <si>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</si>
  <si>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</si>
  <si>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</si>
  <si>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</si>
  <si>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</si>
  <si>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</si>
  <si>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</si>
  <si>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</si>
  <si>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</si>
  <si>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</si>
  <si>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</si>
  <si>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</si>
  <si>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</si>
  <si>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</si>
  <si>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</si>
  <si>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</si>
  <si>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</si>
  <si>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</si>
  <si>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</si>
  <si>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</si>
  <si>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</si>
  <si>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</si>
  <si>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</si>
  <si>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</si>
  <si>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</si>
  <si>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</si>
  <si>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</si>
  <si>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</si>
  <si>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</si>
  <si>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</si>
  <si>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</si>
  <si>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</si>
  <si>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</si>
  <si>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</si>
  <si>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</si>
  <si>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</si>
  <si>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</si>
  <si>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</si>
  <si>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</si>
  <si>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</si>
  <si>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</si>
  <si>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</si>
  <si>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</si>
  <si>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</si>
  <si>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</si>
  <si>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</si>
  <si>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</si>
  <si>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</si>
  <si>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</si>
  <si>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</si>
  <si>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</si>
  <si>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</si>
  <si>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</si>
  <si>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</si>
  <si>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</si>
  <si>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</si>
  <si>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</si>
  <si>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</si>
  <si>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</si>
  <si>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</si>
  <si>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</si>
  <si>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</si>
  <si>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</si>
  <si>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</si>
  <si>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</si>
  <si>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</si>
  <si>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</si>
  <si>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</si>
  <si>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</si>
  <si>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</si>
  <si>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</si>
  <si>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</si>
  <si>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</si>
  <si>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</si>
  <si>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</si>
  <si>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</si>
  <si>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</si>
  <si>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</si>
  <si>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</si>
  <si>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</si>
  <si>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</si>
  <si>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</si>
  <si>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</si>
  <si>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</si>
  <si>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</si>
  <si>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</si>
  <si>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</si>
  <si>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</si>
  <si>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</si>
  <si>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</si>
  <si>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</si>
  <si>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</si>
  <si>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</si>
  <si>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</si>
  <si>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</si>
  <si>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</si>
  <si>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</si>
  <si>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</si>
  <si>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</si>
  <si>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</si>
  <si>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</si>
  <si>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</si>
  <si>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</si>
  <si>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</si>
  <si>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</si>
  <si>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</si>
  <si>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</si>
  <si>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</si>
  <si>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</si>
  <si>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</si>
  <si>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</si>
  <si>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</si>
  <si>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</si>
  <si>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</si>
  <si>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</si>
  <si>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</si>
  <si>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</si>
  <si>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</si>
  <si>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</si>
  <si>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</si>
  <si>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</si>
  <si>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</si>
  <si>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</si>
  <si>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</si>
  <si>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</si>
  <si>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</si>
  <si>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</si>
  <si>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</si>
  <si>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</si>
  <si>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</si>
  <si>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</si>
  <si>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</si>
  <si>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</si>
  <si>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</si>
  <si>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</si>
  <si>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</si>
  <si>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</si>
  <si>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</si>
  <si>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</si>
  <si>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</si>
  <si>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</si>
  <si>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</si>
  <si>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</si>
  <si>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</si>
  <si>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</si>
  <si>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</si>
  <si>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</si>
  <si>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</si>
  <si>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</si>
  <si>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</si>
  <si>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</si>
  <si>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</si>
  <si>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</si>
  <si>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</si>
  <si>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</si>
  <si>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</si>
  <si>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</si>
  <si>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</si>
  <si>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</si>
  <si>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</si>
  <si>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</si>
  <si>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</si>
  <si>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</si>
  <si>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</si>
  <si>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</si>
  <si>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</si>
  <si>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</si>
  <si>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</si>
  <si>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</si>
  <si>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</si>
  <si>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</si>
  <si>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</si>
  <si>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</si>
  <si>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</si>
  <si>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</si>
  <si>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</si>
  <si>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</si>
  <si>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</si>
  <si>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</si>
  <si>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</si>
  <si>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</si>
  <si>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</si>
  <si>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</si>
  <si>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</si>
  <si>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</si>
  <si>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</si>
  <si>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</si>
  <si>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</si>
  <si>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</si>
  <si>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</si>
  <si>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</si>
  <si>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</si>
  <si>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</si>
  <si>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</si>
  <si>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</si>
  <si>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</si>
  <si>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</si>
  <si>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</si>
  <si>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</si>
  <si>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</si>
  <si>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</si>
  <si>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</si>
  <si>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</si>
  <si>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</si>
  <si>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</si>
  <si>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</si>
  <si>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</si>
  <si>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</si>
  <si>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</si>
  <si>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</si>
  <si>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</si>
  <si>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</si>
  <si>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</si>
  <si>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</si>
  <si>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</si>
  <si>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</si>
  <si>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</si>
  <si>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</si>
  <si>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</si>
  <si>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</si>
  <si>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</si>
  <si>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</si>
  <si>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</si>
  <si>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</si>
  <si>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</si>
  <si>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</si>
  <si>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</si>
  <si>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</si>
  <si>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</si>
  <si>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</si>
  <si>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</si>
  <si>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</si>
  <si>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</si>
  <si>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</si>
  <si>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</si>
  <si>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</si>
  <si>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</si>
  <si>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</si>
  <si>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</si>
  <si>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</si>
  <si>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</si>
  <si>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</si>
  <si>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</si>
  <si>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</si>
  <si>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</si>
  <si>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</si>
  <si>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</si>
  <si>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</si>
  <si>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</si>
  <si>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</si>
  <si>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</si>
  <si>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</si>
  <si>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</si>
  <si>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</si>
  <si>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</si>
  <si>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</si>
  <si>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</si>
  <si>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</si>
  <si>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</si>
  <si>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</si>
  <si>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</si>
  <si>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</si>
  <si>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</si>
  <si>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</si>
  <si>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</si>
  <si>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</si>
  <si>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</si>
  <si>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</si>
  <si>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</si>
  <si>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</si>
  <si>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</si>
  <si>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</si>
  <si>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</si>
  <si>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</si>
  <si>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</si>
  <si>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</si>
  <si>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</si>
  <si>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</si>
  <si>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</si>
  <si>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</si>
  <si>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</si>
  <si>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</si>
  <si>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</si>
  <si>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</si>
  <si>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</si>
  <si>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</si>
  <si>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</si>
  <si>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</si>
  <si>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</si>
  <si>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</si>
  <si>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</si>
  <si>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</si>
  <si>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</si>
  <si>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</si>
  <si>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</si>
  <si>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</si>
  <si>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</si>
  <si>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</si>
  <si>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</si>
  <si>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</si>
  <si>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</si>
  <si>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</si>
  <si>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</si>
  <si>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</si>
  <si>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</si>
  <si>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</si>
  <si>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</si>
  <si>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</si>
  <si>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</si>
  <si>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</si>
  <si>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</si>
  <si>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</si>
  <si>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</si>
  <si>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</si>
  <si>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</si>
  <si>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</si>
  <si>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</si>
  <si>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</si>
  <si>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</si>
  <si>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</si>
  <si>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</si>
  <si>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</si>
  <si>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</si>
  <si>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</si>
  <si>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</si>
  <si>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</si>
  <si>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</si>
  <si>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</si>
  <si>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</si>
  <si>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</si>
  <si>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</si>
  <si>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</si>
  <si>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</si>
  <si>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</si>
  <si>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</si>
  <si>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</si>
  <si>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</si>
  <si>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</si>
  <si>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</si>
  <si>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</si>
  <si>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</si>
  <si>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</si>
  <si>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</si>
  <si>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</si>
  <si>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</si>
  <si>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</si>
  <si>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</si>
  <si>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</si>
  <si>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</si>
  <si>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</si>
  <si>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</si>
  <si>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</si>
  <si>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</si>
  <si>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</si>
  <si>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</si>
  <si>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</si>
  <si>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</si>
  <si>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</si>
  <si>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</si>
  <si>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</si>
  <si>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</si>
  <si>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</si>
  <si>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</si>
  <si>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</si>
  <si>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</si>
  <si>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</si>
  <si>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</si>
  <si>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</si>
  <si>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</si>
  <si>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</si>
  <si>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</si>
  <si>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</si>
  <si>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</si>
  <si>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</si>
  <si>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</si>
  <si>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</si>
  <si>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</si>
  <si>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</si>
  <si>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</si>
  <si>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</si>
  <si>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</si>
  <si>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</si>
  <si>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</si>
  <si>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</si>
  <si>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</si>
  <si>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</si>
  <si>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</si>
  <si>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</si>
  <si>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</si>
  <si>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</si>
  <si>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</si>
  <si>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</si>
  <si>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</si>
  <si>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</si>
  <si>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</si>
  <si>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</si>
  <si>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</si>
  <si>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</si>
  <si>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</si>
  <si>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</si>
  <si>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</si>
  <si>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</si>
  <si>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</si>
  <si>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</si>
  <si>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</si>
  <si>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</si>
  <si>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</si>
  <si>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</si>
  <si>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</si>
  <si>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</si>
  <si>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</si>
  <si>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</si>
  <si>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</si>
  <si>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</si>
  <si>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</si>
  <si>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</si>
  <si>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</si>
  <si>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</si>
  <si>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</si>
  <si>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</si>
  <si>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</si>
  <si>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</si>
  <si>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</si>
  <si>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</si>
  <si>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</si>
  <si>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</si>
  <si>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</si>
  <si>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</si>
  <si>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</si>
  <si>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</si>
  <si>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</si>
  <si>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</si>
  <si>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</si>
  <si>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</si>
  <si>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</si>
  <si>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</si>
  <si>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</si>
  <si>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</si>
  <si>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</si>
  <si>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</si>
  <si>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</si>
  <si>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</si>
  <si>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</si>
  <si>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</si>
  <si>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</si>
  <si>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</si>
  <si>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</si>
  <si>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</si>
  <si>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</si>
  <si>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</si>
  <si>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</si>
  <si>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</si>
  <si>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</si>
  <si>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</si>
  <si>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</si>
  <si>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</si>
  <si>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</si>
  <si>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</si>
  <si>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</si>
  <si>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</si>
  <si>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</si>
  <si>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</si>
  <si>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</si>
  <si>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</si>
  <si>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</si>
  <si>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</si>
  <si>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</si>
  <si>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</si>
  <si>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</si>
  <si>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</si>
  <si>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</si>
  <si>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</si>
  <si>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</si>
  <si>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</si>
  <si>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</si>
  <si>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</si>
  <si>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</si>
  <si>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</si>
  <si>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</si>
  <si>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</si>
  <si>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</si>
  <si>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</si>
  <si>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</si>
  <si>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</si>
  <si>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</si>
  <si>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</si>
  <si>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</si>
  <si>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</si>
  <si>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</si>
  <si>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</si>
  <si>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</si>
  <si>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</si>
  <si>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</si>
  <si>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</si>
  <si>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</si>
  <si>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</si>
  <si>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</si>
  <si>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</si>
  <si>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</si>
  <si>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</si>
  <si>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</si>
  <si>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</si>
  <si>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</si>
  <si>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</si>
  <si>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</si>
  <si>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</si>
  <si>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</si>
  <si>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</si>
  <si>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</si>
  <si>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</si>
  <si>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</si>
  <si>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</si>
  <si>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</si>
  <si>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</si>
  <si>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</si>
  <si>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</si>
  <si>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</si>
  <si>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</si>
  <si>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</si>
  <si>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</si>
  <si>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</si>
  <si>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</si>
  <si>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Phillips, Salmi &amp; Associates, LLC</t>
  </si>
  <si>
    <t>Lori Salmi</t>
  </si>
  <si>
    <t>112 S Main Street</t>
  </si>
  <si>
    <t>Washington</t>
  </si>
  <si>
    <t>IL</t>
  </si>
  <si>
    <t>309 444-4909</t>
  </si>
  <si>
    <t>309 444-8580</t>
  </si>
  <si>
    <t>066-004355</t>
  </si>
  <si>
    <t>lsalmi@psa-cpa.com</t>
  </si>
  <si>
    <t>X</t>
  </si>
  <si>
    <t>Tazewell</t>
  </si>
  <si>
    <t>1401 E. Washington Street</t>
  </si>
  <si>
    <t>East Peoria</t>
  </si>
  <si>
    <t>mgreuter@ep309.org</t>
  </si>
  <si>
    <t>Marjorie Greuter</t>
  </si>
  <si>
    <t>(309) 694-8300</t>
  </si>
  <si>
    <t>(309) 694-8322</t>
  </si>
  <si>
    <t>Taxable General Obligations Bonds, Series 2011</t>
  </si>
  <si>
    <t>General Obligation Refund Bond, Series 2013</t>
  </si>
  <si>
    <t>Capitalized Bus Leases</t>
  </si>
  <si>
    <t>Stadium Lease</t>
  </si>
  <si>
    <t>Copier Lease</t>
  </si>
  <si>
    <t>various</t>
  </si>
  <si>
    <t>Capital Lease</t>
  </si>
  <si>
    <t>ED-Instruction-Other</t>
  </si>
  <si>
    <t>ED-Support Serv-Purch Serv</t>
  </si>
  <si>
    <t>The Hope Institute</t>
  </si>
  <si>
    <t>Catapult Learning</t>
  </si>
  <si>
    <t>Children's Home</t>
  </si>
  <si>
    <t>East Peoria Police Dept.</t>
  </si>
  <si>
    <t>Tazwood Mental Health</t>
  </si>
  <si>
    <t>East Peoria Elementary District 86</t>
  </si>
  <si>
    <t>Tazewell Mason Special Education Association</t>
  </si>
  <si>
    <t>Page 10</t>
  </si>
  <si>
    <t>1690 - Educational - Other Food Service</t>
  </si>
  <si>
    <t>Extra curricular and other food services to clubs and for events</t>
  </si>
  <si>
    <t>1719 - Educational Admissions - Other</t>
  </si>
  <si>
    <t>Non-Athletic Event Admissions</t>
  </si>
  <si>
    <t>1790 - Educational - Other District/School Activity Revenue</t>
  </si>
  <si>
    <t>Yearbook and sales of merchandise to students</t>
  </si>
  <si>
    <t>Summer Camps</t>
  </si>
  <si>
    <t>Booster contribution of scoreboard</t>
  </si>
  <si>
    <t>1829 - Educational - Sales - Other</t>
  </si>
  <si>
    <t>PE Suits</t>
  </si>
  <si>
    <t>Page 11</t>
  </si>
  <si>
    <t>1993 - O&amp;M - Other Local Fees</t>
  </si>
  <si>
    <t>Parking Fees</t>
  </si>
  <si>
    <t>1999 - Educational - Other Local Revenues</t>
  </si>
  <si>
    <t>E-rate</t>
  </si>
  <si>
    <t>Refunds &amp; reimbursements</t>
  </si>
  <si>
    <t>Self insurance refund net of loss</t>
  </si>
  <si>
    <t>Miscellaneous</t>
  </si>
  <si>
    <t>1999 - O&amp;M - Other Local Revenues</t>
  </si>
  <si>
    <t>Wireless phone reimbursement</t>
  </si>
  <si>
    <t>Ameren rebate</t>
  </si>
  <si>
    <t>1999 - Debt Services - Other Local Revenues</t>
  </si>
  <si>
    <t>East Peoria Revenue Sharing Agreement</t>
  </si>
  <si>
    <t>1999 - Transportation - Other Local Revenues</t>
  </si>
  <si>
    <t>Insurance and other reimbursements</t>
  </si>
  <si>
    <t>1999 - Capital Projects - Other Local Revenues</t>
  </si>
  <si>
    <t>Page 18</t>
  </si>
  <si>
    <t>5400 (600) - Debt Service - Other</t>
  </si>
  <si>
    <t>Service Fees</t>
  </si>
  <si>
    <t>Page 24</t>
  </si>
  <si>
    <t>Buy back on buses returned during year</t>
  </si>
  <si>
    <t>Retired Debt Total</t>
  </si>
  <si>
    <t>8990 - O&amp;M - Other Uses Not Classified Elsewhere - Stadium Lease</t>
  </si>
  <si>
    <t>8990 - Educational - Other Uses Not Classified Elsewhere - Copier Lease</t>
  </si>
  <si>
    <t>2550-500 - Transportation - Capitalized bus leases</t>
  </si>
  <si>
    <t>5300-600 - Transportation - Repayment of bus leases</t>
  </si>
  <si>
    <t>Debt Services - Payments of Principal on Long-Term Debt</t>
  </si>
  <si>
    <t>U.S. DEPARTMENT OF AGRICULTURE</t>
  </si>
  <si>
    <t>Passed through the Illinois State Board of Education</t>
  </si>
  <si>
    <t xml:space="preserve">  Value of Commidities</t>
  </si>
  <si>
    <t xml:space="preserve">  Value of Fruits and Vegetables</t>
  </si>
  <si>
    <t>TOTAL NATIONAL SCHOOL LUNCH CLUSTER/TOTAL U.S. DEPARTMENT OF AGRICUTURE (M)</t>
  </si>
  <si>
    <t xml:space="preserve">  TOTAL FEDERAL ASSISTANCE</t>
  </si>
  <si>
    <t xml:space="preserve">  Value of Commodities</t>
  </si>
  <si>
    <t xml:space="preserve">  National School Lunch Program</t>
  </si>
  <si>
    <t xml:space="preserve">   National School Breakfast Program</t>
  </si>
  <si>
    <t xml:space="preserve">  National School Breakfast Program</t>
  </si>
  <si>
    <t xml:space="preserve">  Summer Food Service Program</t>
  </si>
  <si>
    <t>19-4210-00</t>
  </si>
  <si>
    <t>20-4210-00</t>
  </si>
  <si>
    <t>19-4220-00</t>
  </si>
  <si>
    <t>20-4220-00</t>
  </si>
  <si>
    <t>20-4225-00</t>
  </si>
  <si>
    <t>N/A</t>
  </si>
  <si>
    <t>US DEPARTMENT OF EDUCATION</t>
  </si>
  <si>
    <t xml:space="preserve">  Title I - Low Income</t>
  </si>
  <si>
    <t xml:space="preserve">     TITLE 1 - LOW INCOME TOTAL (M)</t>
  </si>
  <si>
    <t>19-4300-00</t>
  </si>
  <si>
    <t>20-4300-00</t>
  </si>
  <si>
    <t xml:space="preserve">  Title II - Teacher Quality</t>
  </si>
  <si>
    <t xml:space="preserve">  TITLE II - TEACHER QUALITY TOTAL</t>
  </si>
  <si>
    <t>19-4932-00</t>
  </si>
  <si>
    <t>20-4932-00</t>
  </si>
  <si>
    <t xml:space="preserve">  IDEA Room &amp; Board</t>
  </si>
  <si>
    <t xml:space="preserve">  IDEA ROOM &amp; BOARD TOTAL</t>
  </si>
  <si>
    <t>19-4625-00</t>
  </si>
  <si>
    <t>20-4625-00</t>
  </si>
  <si>
    <t>Other Federal Programs - ESSER Grant</t>
  </si>
  <si>
    <t>84.425D</t>
  </si>
  <si>
    <t>20-4998-00</t>
  </si>
  <si>
    <t>Total Passed Through the Illinois State Board of Education</t>
  </si>
  <si>
    <t>Passed through Tazewell Mason County Special Education Association</t>
  </si>
  <si>
    <t xml:space="preserve">    IDEA Part B - Flow Through Funds </t>
  </si>
  <si>
    <t xml:space="preserve">    IDEA Part B - Flow Through Funds</t>
  </si>
  <si>
    <t xml:space="preserve">   IDEA PART B - FLOW THROUGH FUNDS TOTAL</t>
  </si>
  <si>
    <t>Department of Health and Human Services passed through the Illinois Department of Healthcare and Family Services</t>
  </si>
  <si>
    <t>19-4620-00</t>
  </si>
  <si>
    <t>20-4620-00</t>
  </si>
  <si>
    <t>93-7778</t>
  </si>
  <si>
    <t>19-4900-00</t>
  </si>
  <si>
    <t>20-4900-00</t>
  </si>
  <si>
    <t xml:space="preserve">  Medicaid Matching Funds - Administrative Outreach</t>
  </si>
  <si>
    <t>SEFA PAGE 41.1 TOTAL</t>
  </si>
  <si>
    <t>SEFA PAGE 41.2 TOTAL</t>
  </si>
  <si>
    <t>Total of Department of Education passed through the Illinois State Board of Education                           SEFA PAGE 41.1 TOTAL</t>
  </si>
  <si>
    <t>Unmodified</t>
  </si>
  <si>
    <t>10.553, 10.555, and 10.559</t>
  </si>
  <si>
    <t>Child Nutrition Cluster</t>
  </si>
  <si>
    <t>None</t>
  </si>
  <si>
    <t>2019-001</t>
  </si>
  <si>
    <t xml:space="preserve">Title 1 expenses reported to ISBE were more than actually occured. </t>
  </si>
  <si>
    <t xml:space="preserve">Corrective action </t>
  </si>
  <si>
    <t>was implemented.</t>
  </si>
  <si>
    <t>Page 46</t>
  </si>
  <si>
    <r>
      <t xml:space="preserve">The accompanying Schedule of Expenditures of Federal Awards includes the federal grant activity of </t>
    </r>
    <r>
      <rPr>
        <b/>
        <sz val="9"/>
        <rFont val="Calibri"/>
        <family val="2"/>
        <scheme val="minor"/>
      </rPr>
      <t>East Peoria Community High School</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</si>
  <si>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r>
      <t xml:space="preserve">The following amounts were expended in the form of non-cash assistance by </t>
    </r>
    <r>
      <rPr>
        <b/>
        <sz val="9"/>
        <rFont val="Calibri"/>
        <family val="2"/>
        <scheme val="minor"/>
      </rPr>
      <t>East Peoria Community High School</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</si>
  <si>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84.010A</t>
  </si>
  <si>
    <t>84.027A</t>
  </si>
  <si>
    <t>84.367A</t>
  </si>
  <si>
    <r>
      <t xml:space="preserve">Of the federal expenditures presented in the schedule, </t>
    </r>
    <r>
      <rPr>
        <b/>
        <sz val="9"/>
        <rFont val="Calibri"/>
        <family val="2"/>
        <scheme val="minor"/>
      </rPr>
      <t>East Peoria Community High School</t>
    </r>
    <r>
      <rPr>
        <sz val="9"/>
        <rFont val="Calibri"/>
        <family val="2"/>
        <scheme val="minor"/>
      </rPr>
      <t xml:space="preserve"> provided federal awards to subrecipients as follows:</t>
    </r>
  </si>
  <si>
    <t>See PDF at Opinion - Notes 36 Tab</t>
  </si>
  <si>
    <t>East Peoria CHSD 309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</si>
</sst>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 numFmtId="186" formatCode="_(&quot;$&quot;* #,##0_);_(&quot;$&quot;* \(#,##0\);_(&quot;$&quot;*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double">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4" fontId="143" fillId="0" borderId="0" applyFont="0" applyFill="0" applyBorder="0" applyAlignment="0" applyProtection="0"/>
  </cellStyleXfs>
  <cellXfs count="263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5" fontId="57" fillId="0" borderId="0" xfId="1" applyNumberFormat="1" applyFont="1"/>
    <xf numFmtId="185" fontId="57" fillId="0" borderId="196" xfId="1" applyNumberFormat="1" applyFont="1" applyBorder="1"/>
    <xf numFmtId="185" fontId="62" fillId="0" borderId="22" xfId="1" applyNumberFormat="1" applyFont="1" applyBorder="1" applyAlignment="1" applyProtection="1">
      <alignment horizontal="center" shrinkToFit="1"/>
      <protection locked="0"/>
    </xf>
    <xf numFmtId="186" fontId="62" fillId="0" borderId="22" xfId="21" applyNumberFormat="1" applyFont="1" applyBorder="1" applyAlignment="1" applyProtection="1">
      <alignment horizontal="center" shrinkToFit="1"/>
      <protection locked="0"/>
    </xf>
    <xf numFmtId="186" fontId="62" fillId="0" borderId="8" xfId="21" applyNumberFormat="1" applyFont="1" applyBorder="1" applyAlignment="1" applyProtection="1">
      <alignment horizontal="center" shrinkToFit="1"/>
      <protection locked="0"/>
    </xf>
    <xf numFmtId="185" fontId="62" fillId="0" borderId="8" xfId="1" applyNumberFormat="1" applyFont="1" applyBorder="1" applyAlignment="1" applyProtection="1">
      <alignment horizontal="center" shrinkToFit="1"/>
      <protection locked="0"/>
    </xf>
    <xf numFmtId="3" fontId="62" fillId="0" borderId="45" xfId="3" applyNumberFormat="1" applyFont="1" applyBorder="1" applyAlignment="1" applyProtection="1">
      <alignment horizontal="center" shrinkToFit="1"/>
      <protection locked="0"/>
    </xf>
    <xf numFmtId="3" fontId="62" fillId="0" borderId="44" xfId="3" applyNumberFormat="1" applyFont="1" applyBorder="1" applyAlignment="1" applyProtection="1">
      <alignment horizontal="center" shrinkToFit="1"/>
      <protection locked="0"/>
    </xf>
    <xf numFmtId="3" fontId="62" fillId="0" borderId="197" xfId="3" applyNumberFormat="1" applyFont="1" applyBorder="1" applyAlignment="1" applyProtection="1">
      <alignment horizontal="center" shrinkToFit="1"/>
      <protection locked="0"/>
    </xf>
    <xf numFmtId="185" fontId="62" fillId="0" borderId="197" xfId="1" applyNumberFormat="1" applyFont="1" applyBorder="1" applyAlignment="1" applyProtection="1">
      <alignment horizontal="center" shrinkToFit="1"/>
      <protection locked="0"/>
    </xf>
    <xf numFmtId="186" fontId="62" fillId="0" borderId="197" xfId="21" applyNumberFormat="1" applyFont="1" applyBorder="1" applyAlignment="1" applyProtection="1">
      <alignment horizontal="center" shrinkToFit="1"/>
      <protection locked="0"/>
    </xf>
    <xf numFmtId="185" fontId="62" fillId="0" borderId="45" xfId="1" applyNumberFormat="1" applyFont="1" applyBorder="1" applyAlignment="1" applyProtection="1">
      <alignment horizontal="center" shrinkToFit="1"/>
      <protection locked="0"/>
    </xf>
    <xf numFmtId="186" fontId="62" fillId="0" borderId="198" xfId="21" applyNumberFormat="1" applyFont="1" applyBorder="1" applyAlignment="1" applyProtection="1">
      <alignment horizontal="center" shrinkToFit="1"/>
      <protection locked="0"/>
    </xf>
    <xf numFmtId="0" fontId="57" fillId="0" borderId="0" xfId="3" applyFont="1" applyBorder="1" applyAlignment="1" applyProtection="1">
      <alignment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45027</xdr:colOff>
          <xdr:row>0</xdr:row>
          <xdr:rowOff>47625</xdr:rowOff>
        </xdr:from>
        <xdr:to>
          <xdr:col>1</xdr:col>
          <xdr:colOff>997527</xdr:colOff>
          <xdr:row>5</xdr:row>
          <xdr:rowOff>60614</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35502</xdr:colOff>
          <xdr:row>5</xdr:row>
          <xdr:rowOff>89189</xdr:rowOff>
        </xdr:from>
        <xdr:to>
          <xdr:col>1</xdr:col>
          <xdr:colOff>988002</xdr:colOff>
          <xdr:row>10</xdr:row>
          <xdr:rowOff>102177</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D20" sqref="D20"/>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3">
        <f>+'AFR20'!E4</f>
        <v>44119</v>
      </c>
      <c r="C1" s="2133"/>
      <c r="D1" s="2134"/>
      <c r="I1" s="2092" t="s">
        <v>402</v>
      </c>
      <c r="J1" s="2093"/>
      <c r="K1" s="2093"/>
      <c r="L1" s="2093"/>
      <c r="M1" s="2093"/>
      <c r="N1" s="2093"/>
      <c r="O1" s="2093"/>
      <c r="P1" s="2093"/>
      <c r="Q1" s="2093"/>
      <c r="R1" s="2093"/>
      <c r="S1" s="2093"/>
    </row>
    <row r="2" spans="1:32" ht="12" customHeight="1" x14ac:dyDescent="0.2">
      <c r="A2" s="1831" t="str">
        <f>"Due to ISBE on "</f>
        <v xml:space="preserve">Due to ISBE on </v>
      </c>
      <c r="B2" s="2135">
        <f>+'AFR20'!F4</f>
        <v>44151</v>
      </c>
      <c r="C2" s="2135"/>
      <c r="D2" s="2136"/>
      <c r="I2" s="2094" t="s">
        <v>2003</v>
      </c>
      <c r="J2" s="2093"/>
      <c r="K2" s="2093"/>
      <c r="L2" s="2093"/>
      <c r="M2" s="2093"/>
      <c r="N2" s="2093"/>
      <c r="O2" s="2093"/>
      <c r="P2" s="2093"/>
      <c r="Q2" s="2093"/>
      <c r="R2" s="2093"/>
      <c r="S2" s="2093"/>
    </row>
    <row r="3" spans="1:32" ht="12" customHeight="1" x14ac:dyDescent="0.2">
      <c r="A3" s="1834" t="str">
        <f>"SD/JA"&amp;MID('AFR20'!E2,3,2)</f>
        <v>SD/JA20</v>
      </c>
      <c r="B3" s="151"/>
      <c r="C3" s="151"/>
      <c r="D3" s="152"/>
      <c r="I3" s="2094" t="s">
        <v>52</v>
      </c>
      <c r="J3" s="2093"/>
      <c r="K3" s="2093"/>
      <c r="L3" s="2093"/>
      <c r="M3" s="2093"/>
      <c r="N3" s="2093"/>
      <c r="O3" s="2093"/>
      <c r="P3" s="2093"/>
      <c r="Q3" s="2093"/>
      <c r="R3" s="2093"/>
      <c r="S3" s="2093"/>
    </row>
    <row r="4" spans="1:32" ht="12" customHeight="1" x14ac:dyDescent="0.2">
      <c r="A4" s="37"/>
      <c r="I4" s="2094" t="s">
        <v>521</v>
      </c>
      <c r="J4" s="2093"/>
      <c r="K4" s="2093"/>
      <c r="L4" s="2093"/>
      <c r="M4" s="2093"/>
      <c r="N4" s="2093"/>
      <c r="O4" s="2093"/>
      <c r="P4" s="2093"/>
      <c r="Q4" s="2093"/>
      <c r="R4" s="2093"/>
      <c r="S4" s="2093"/>
    </row>
    <row r="5" spans="1:32" ht="14.1" customHeight="1" x14ac:dyDescent="0.2">
      <c r="B5" s="101" t="s">
        <v>2057</v>
      </c>
      <c r="C5" s="26" t="s">
        <v>904</v>
      </c>
      <c r="D5" s="81"/>
      <c r="E5" s="81"/>
      <c r="H5" s="38"/>
      <c r="I5" s="2102" t="s">
        <v>675</v>
      </c>
      <c r="J5" s="2101"/>
      <c r="K5" s="2101"/>
      <c r="L5" s="2101"/>
      <c r="M5" s="2101"/>
      <c r="N5" s="2101"/>
      <c r="O5" s="2101"/>
      <c r="P5" s="2101"/>
      <c r="Q5" s="2101"/>
      <c r="R5" s="2101"/>
      <c r="S5" s="2101"/>
      <c r="AF5" s="1827"/>
    </row>
    <row r="6" spans="1:32" ht="14.1" customHeight="1" x14ac:dyDescent="0.2">
      <c r="B6" s="101"/>
      <c r="C6" s="26" t="s">
        <v>905</v>
      </c>
      <c r="D6" s="81"/>
      <c r="E6" s="81"/>
      <c r="I6" s="2100" t="s">
        <v>877</v>
      </c>
      <c r="J6" s="2101"/>
      <c r="K6" s="2101"/>
      <c r="L6" s="2101"/>
      <c r="M6" s="2101"/>
      <c r="N6" s="2101"/>
      <c r="O6" s="2101"/>
      <c r="P6" s="2101"/>
      <c r="Q6" s="2101"/>
      <c r="R6" s="2101"/>
      <c r="S6" s="2101"/>
    </row>
    <row r="7" spans="1:32" ht="12.2" customHeight="1" x14ac:dyDescent="0.2">
      <c r="I7" s="2095" t="str">
        <f>"June 30, "&amp;'AFR20'!E2</f>
        <v>June 30, 2020</v>
      </c>
      <c r="J7" s="2096"/>
      <c r="K7" s="2096"/>
      <c r="L7" s="2096"/>
      <c r="M7" s="2096"/>
      <c r="N7" s="2096"/>
      <c r="O7" s="2096"/>
      <c r="P7" s="2096"/>
      <c r="Q7" s="2096"/>
      <c r="R7" s="2096"/>
      <c r="S7" s="209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7" t="s">
        <v>669</v>
      </c>
      <c r="J9" s="2098"/>
      <c r="K9" s="2098"/>
      <c r="L9" s="2098"/>
      <c r="M9" s="2098"/>
      <c r="N9" s="2098"/>
      <c r="O9" s="2098"/>
      <c r="P9" s="2098"/>
      <c r="Q9" s="2098"/>
      <c r="R9" s="2098"/>
      <c r="S9" s="2099"/>
      <c r="T9" s="2150" t="s">
        <v>530</v>
      </c>
      <c r="U9" s="2151"/>
      <c r="V9" s="2151"/>
      <c r="W9" s="2151"/>
      <c r="X9" s="2151"/>
      <c r="Y9" s="2151"/>
      <c r="Z9" s="2151"/>
      <c r="AA9" s="2152"/>
    </row>
    <row r="10" spans="1:32" ht="13.5" customHeight="1" x14ac:dyDescent="0.2">
      <c r="A10" s="2157" t="s">
        <v>670</v>
      </c>
      <c r="B10" s="2158"/>
      <c r="C10" s="2158"/>
      <c r="D10" s="2158"/>
      <c r="E10" s="2158"/>
      <c r="F10" s="2158"/>
      <c r="G10" s="2158"/>
      <c r="H10" s="2159"/>
      <c r="I10" s="29"/>
      <c r="J10" s="30"/>
      <c r="K10" s="28"/>
      <c r="R10" s="30"/>
      <c r="S10" s="30"/>
      <c r="T10" s="2153"/>
      <c r="U10" s="2101"/>
      <c r="V10" s="2101"/>
      <c r="W10" s="2101"/>
      <c r="X10" s="2101"/>
      <c r="Y10" s="2101"/>
      <c r="Z10" s="2101"/>
      <c r="AA10" s="2107"/>
    </row>
    <row r="11" spans="1:32" ht="14.25" customHeight="1" x14ac:dyDescent="0.2">
      <c r="A11" s="2160" t="s">
        <v>949</v>
      </c>
      <c r="B11" s="2161"/>
      <c r="C11" s="2161"/>
      <c r="D11" s="2161"/>
      <c r="E11" s="2161"/>
      <c r="F11" s="2161"/>
      <c r="G11" s="2161"/>
      <c r="H11" s="2162"/>
      <c r="I11" s="27"/>
      <c r="J11" s="71"/>
      <c r="K11" s="27"/>
      <c r="O11" s="144" t="s">
        <v>2057</v>
      </c>
      <c r="P11" s="97" t="s">
        <v>199</v>
      </c>
      <c r="Q11" s="30"/>
      <c r="R11" s="28"/>
      <c r="S11" s="27"/>
      <c r="T11" s="2154"/>
      <c r="U11" s="2155"/>
      <c r="V11" s="2155"/>
      <c r="W11" s="2155"/>
      <c r="X11" s="2155"/>
      <c r="Y11" s="2155"/>
      <c r="Z11" s="2155"/>
      <c r="AA11" s="215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3">
        <v>53090309016</v>
      </c>
      <c r="B13" s="2114"/>
      <c r="C13" s="2114"/>
      <c r="D13" s="2114"/>
      <c r="E13" s="2114"/>
      <c r="F13" s="2114"/>
      <c r="G13" s="2114"/>
      <c r="H13" s="2115"/>
      <c r="I13" s="31"/>
      <c r="J13" s="30"/>
      <c r="K13" s="28"/>
      <c r="L13" s="30"/>
      <c r="M13" s="30"/>
      <c r="N13" s="30"/>
      <c r="O13" s="30"/>
      <c r="P13" s="30"/>
      <c r="Q13" s="30"/>
      <c r="R13" s="30"/>
      <c r="S13" s="30"/>
      <c r="T13" s="2119" t="s">
        <v>2048</v>
      </c>
      <c r="U13" s="2120"/>
      <c r="V13" s="2120"/>
      <c r="W13" s="2120"/>
      <c r="X13" s="2120"/>
      <c r="Y13" s="2121"/>
      <c r="Z13" s="2121"/>
      <c r="AA13" s="2122"/>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16" t="s">
        <v>2058</v>
      </c>
      <c r="B15" s="2117"/>
      <c r="C15" s="2117"/>
      <c r="D15" s="2117"/>
      <c r="E15" s="2117"/>
      <c r="F15" s="2117"/>
      <c r="G15" s="2117"/>
      <c r="H15" s="2118"/>
      <c r="T15" s="2123" t="s">
        <v>2049</v>
      </c>
      <c r="U15" s="2080"/>
      <c r="V15" s="2080"/>
      <c r="W15" s="2080"/>
      <c r="X15" s="2080"/>
      <c r="Y15" s="2124"/>
      <c r="Z15" s="2124"/>
      <c r="AA15" s="212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6" t="s">
        <v>2183</v>
      </c>
      <c r="B17" s="2087"/>
      <c r="C17" s="2087"/>
      <c r="D17" s="2087"/>
      <c r="E17" s="2087"/>
      <c r="F17" s="2087"/>
      <c r="G17" s="2087"/>
      <c r="H17" s="2112"/>
      <c r="T17" s="2130" t="s">
        <v>2050</v>
      </c>
      <c r="U17" s="2131"/>
      <c r="V17" s="2131"/>
      <c r="W17" s="2131"/>
      <c r="X17" s="2131"/>
      <c r="Y17" s="2131"/>
      <c r="Z17" s="2131"/>
      <c r="AA17" s="2132"/>
    </row>
    <row r="18" spans="1:27" ht="13.5" customHeight="1" x14ac:dyDescent="0.2">
      <c r="A18" s="82" t="s">
        <v>527</v>
      </c>
      <c r="B18" s="73"/>
      <c r="C18" s="69"/>
      <c r="D18" s="73"/>
      <c r="E18" s="73"/>
      <c r="F18" s="73"/>
      <c r="G18" s="73"/>
      <c r="H18" s="53"/>
      <c r="I18" s="2111" t="s">
        <v>671</v>
      </c>
      <c r="J18" s="2062"/>
      <c r="K18" s="2062"/>
      <c r="L18" s="2062"/>
      <c r="M18" s="2062"/>
      <c r="N18" s="2062"/>
      <c r="O18" s="2062"/>
      <c r="P18" s="2062"/>
      <c r="Q18" s="2062"/>
      <c r="R18" s="2062"/>
      <c r="S18" s="2063"/>
      <c r="T18" s="82" t="s">
        <v>706</v>
      </c>
      <c r="U18" s="48"/>
      <c r="V18" s="69"/>
      <c r="W18" s="47"/>
      <c r="X18" s="82" t="s">
        <v>264</v>
      </c>
      <c r="Y18" s="78"/>
      <c r="Z18" s="154" t="s">
        <v>672</v>
      </c>
      <c r="AA18" s="44"/>
    </row>
    <row r="19" spans="1:27" ht="13.5" customHeight="1" x14ac:dyDescent="0.2">
      <c r="A19" s="2116" t="s">
        <v>2059</v>
      </c>
      <c r="B19" s="2072"/>
      <c r="C19" s="2072"/>
      <c r="D19" s="2072"/>
      <c r="E19" s="2072"/>
      <c r="F19" s="2072"/>
      <c r="G19" s="2072"/>
      <c r="H19" s="2052"/>
      <c r="I19" s="30"/>
      <c r="J19" s="96"/>
      <c r="K19" s="40"/>
      <c r="L19" s="38"/>
      <c r="M19" s="109" t="s">
        <v>312</v>
      </c>
      <c r="P19" s="27"/>
      <c r="Q19" s="27"/>
      <c r="R19" s="27"/>
      <c r="S19" s="31"/>
      <c r="T19" s="2116" t="s">
        <v>2051</v>
      </c>
      <c r="U19" s="2051"/>
      <c r="V19" s="2051"/>
      <c r="W19" s="2052"/>
      <c r="X19" s="2128" t="s">
        <v>2052</v>
      </c>
      <c r="Y19" s="2129"/>
      <c r="Z19" s="2126">
        <v>61571</v>
      </c>
      <c r="AA19" s="212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50" t="s">
        <v>2060</v>
      </c>
      <c r="B21" s="2051"/>
      <c r="C21" s="2051"/>
      <c r="D21" s="2051"/>
      <c r="E21" s="2051"/>
      <c r="F21" s="2051"/>
      <c r="G21" s="2051"/>
      <c r="H21" s="2052"/>
      <c r="I21" s="2106" t="s">
        <v>673</v>
      </c>
      <c r="J21" s="2101"/>
      <c r="K21" s="2101"/>
      <c r="L21" s="2101"/>
      <c r="M21" s="2101"/>
      <c r="N21" s="2101"/>
      <c r="O21" s="2101"/>
      <c r="P21" s="2101"/>
      <c r="Q21" s="2101"/>
      <c r="R21" s="2101"/>
      <c r="S21" s="2107"/>
      <c r="T21" s="2141" t="s">
        <v>2053</v>
      </c>
      <c r="U21" s="2142"/>
      <c r="V21" s="2142"/>
      <c r="W21" s="2142"/>
      <c r="X21" s="2147" t="s">
        <v>2054</v>
      </c>
      <c r="Y21" s="2148"/>
      <c r="Z21" s="2148"/>
      <c r="AA21" s="2149"/>
    </row>
    <row r="22" spans="1:27" ht="13.5" customHeight="1" x14ac:dyDescent="0.2">
      <c r="A22" s="84" t="s">
        <v>528</v>
      </c>
      <c r="B22" s="56"/>
      <c r="C22" s="56"/>
      <c r="D22" s="56"/>
      <c r="E22" s="56"/>
      <c r="F22" s="56"/>
      <c r="G22" s="56"/>
      <c r="H22" s="57"/>
      <c r="I22" s="2108" t="s">
        <v>1415</v>
      </c>
      <c r="J22" s="2109"/>
      <c r="K22" s="2109"/>
      <c r="L22" s="2109"/>
      <c r="M22" s="2109"/>
      <c r="N22" s="2109"/>
      <c r="O22" s="2109"/>
      <c r="P22" s="2109"/>
      <c r="Q22" s="2109"/>
      <c r="R22" s="2109"/>
      <c r="S22" s="2110"/>
      <c r="T22" s="82" t="s">
        <v>1502</v>
      </c>
      <c r="U22" s="48"/>
      <c r="V22" s="69"/>
      <c r="W22" s="48"/>
      <c r="X22" s="155" t="s">
        <v>1309</v>
      </c>
      <c r="Z22" s="43"/>
      <c r="AA22" s="44"/>
    </row>
    <row r="23" spans="1:27" ht="13.5" customHeight="1" x14ac:dyDescent="0.2">
      <c r="A23" s="2103" t="s">
        <v>2061</v>
      </c>
      <c r="B23" s="2104"/>
      <c r="C23" s="2104"/>
      <c r="D23" s="2104"/>
      <c r="E23" s="2104"/>
      <c r="F23" s="2104"/>
      <c r="G23" s="2104"/>
      <c r="H23" s="2105"/>
      <c r="T23" s="2086" t="s">
        <v>2055</v>
      </c>
      <c r="U23" s="2140"/>
      <c r="V23" s="2140"/>
      <c r="W23" s="2140"/>
      <c r="X23" s="2144">
        <v>44530</v>
      </c>
      <c r="Y23" s="2145"/>
      <c r="Z23" s="2145"/>
      <c r="AA23" s="2146"/>
    </row>
    <row r="24" spans="1:27" ht="14.1" customHeight="1" x14ac:dyDescent="0.2">
      <c r="A24" s="85" t="s">
        <v>672</v>
      </c>
      <c r="B24" s="46"/>
      <c r="C24" s="46"/>
      <c r="D24" s="46"/>
      <c r="E24" s="46"/>
      <c r="F24" s="46"/>
      <c r="G24" s="46"/>
      <c r="H24" s="58"/>
      <c r="J24" s="2073">
        <f>IF(B5="x",IF(AUDITCHECK!D29="AFR form Incomplete.","",IF(AUDITCHECK!D29="Deficit reduction plan is required.","School District must complete a deficit reduction plan in the 2019-2020 Budget",)),"")</f>
        <v>0</v>
      </c>
      <c r="K24" s="2073"/>
      <c r="L24" s="2073"/>
      <c r="M24" s="2073"/>
      <c r="N24" s="2073"/>
      <c r="O24" s="2073"/>
      <c r="P24" s="2073"/>
      <c r="Q24" s="2073"/>
      <c r="R24" s="2073"/>
      <c r="S24" s="2074"/>
      <c r="T24" s="102" t="s">
        <v>528</v>
      </c>
      <c r="U24" s="103"/>
      <c r="V24" s="103"/>
      <c r="W24" s="103"/>
      <c r="X24" s="104"/>
      <c r="Y24" s="104"/>
      <c r="Z24" s="104"/>
      <c r="AA24" s="105"/>
    </row>
    <row r="25" spans="1:27" ht="14.1" customHeight="1" x14ac:dyDescent="0.2">
      <c r="A25" s="2050">
        <v>61611</v>
      </c>
      <c r="B25" s="2051"/>
      <c r="C25" s="2051"/>
      <c r="D25" s="2051"/>
      <c r="E25" s="2051"/>
      <c r="F25" s="2051"/>
      <c r="G25" s="2051"/>
      <c r="H25" s="2052"/>
      <c r="I25" s="110"/>
      <c r="J25" s="2075"/>
      <c r="K25" s="2075"/>
      <c r="L25" s="2075"/>
      <c r="M25" s="2075"/>
      <c r="N25" s="2075"/>
      <c r="O25" s="2075"/>
      <c r="P25" s="2075"/>
      <c r="Q25" s="2075"/>
      <c r="R25" s="2075"/>
      <c r="S25" s="2076"/>
      <c r="T25" s="2137" t="s">
        <v>2056</v>
      </c>
      <c r="U25" s="2138"/>
      <c r="V25" s="2138"/>
      <c r="W25" s="2138"/>
      <c r="X25" s="2138"/>
      <c r="Y25" s="2138"/>
      <c r="Z25" s="2138"/>
      <c r="AA25" s="213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61" t="s">
        <v>1497</v>
      </c>
      <c r="J27" s="2062"/>
      <c r="K27" s="2062"/>
      <c r="L27" s="2062"/>
      <c r="M27" s="2062"/>
      <c r="N27" s="2062"/>
      <c r="O27" s="2062"/>
      <c r="P27" s="2062"/>
      <c r="Q27" s="2062"/>
      <c r="R27" s="2062"/>
      <c r="S27" s="2063"/>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2057</v>
      </c>
      <c r="F29" s="137" t="s">
        <v>1307</v>
      </c>
      <c r="G29" s="111"/>
      <c r="I29" s="51"/>
      <c r="J29" s="144" t="s">
        <v>2057</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2057</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c r="K31" s="40" t="s">
        <v>879</v>
      </c>
      <c r="L31" s="144" t="s">
        <v>2057</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2057</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2"/>
      <c r="Q35" s="2051"/>
      <c r="R35" s="205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6" t="s">
        <v>2062</v>
      </c>
      <c r="B38" s="2087"/>
      <c r="C38" s="2087"/>
      <c r="D38" s="2087"/>
      <c r="E38" s="2087"/>
      <c r="F38" s="2051"/>
      <c r="G38" s="2051"/>
      <c r="H38" s="2052"/>
      <c r="I38" s="2079"/>
      <c r="J38" s="2080"/>
      <c r="K38" s="2080"/>
      <c r="L38" s="2080"/>
      <c r="M38" s="2080"/>
      <c r="N38" s="2080"/>
      <c r="O38" s="2080"/>
      <c r="P38" s="2081"/>
      <c r="Q38" s="2081"/>
      <c r="R38" s="2081"/>
      <c r="S38" s="2082"/>
      <c r="T38" s="2123"/>
      <c r="U38" s="2080"/>
      <c r="V38" s="2080"/>
      <c r="W38" s="2080"/>
      <c r="X38" s="2081"/>
      <c r="Y38" s="2081"/>
      <c r="Z38" s="2081"/>
      <c r="AA38" s="2082"/>
    </row>
    <row r="39" spans="1:27" ht="12" customHeight="1" x14ac:dyDescent="0.2">
      <c r="A39" s="2056" t="s">
        <v>528</v>
      </c>
      <c r="B39" s="2057"/>
      <c r="C39" s="69"/>
      <c r="D39" s="66"/>
      <c r="E39" s="66"/>
      <c r="F39" s="76"/>
      <c r="G39" s="66"/>
      <c r="H39" s="53"/>
      <c r="I39" s="2056" t="s">
        <v>528</v>
      </c>
      <c r="J39" s="2057"/>
      <c r="K39" s="2057"/>
      <c r="L39" s="2057"/>
      <c r="M39" s="2057"/>
      <c r="N39" s="64"/>
      <c r="O39" s="69"/>
      <c r="P39" s="69"/>
      <c r="Q39" s="75"/>
      <c r="R39" s="69"/>
      <c r="S39" s="53"/>
      <c r="T39" s="69" t="s">
        <v>528</v>
      </c>
      <c r="U39" s="48"/>
      <c r="V39" s="69"/>
      <c r="W39" s="47"/>
      <c r="X39" s="75"/>
      <c r="Y39" s="43"/>
      <c r="Z39" s="43"/>
      <c r="AA39" s="44"/>
    </row>
    <row r="40" spans="1:27" ht="13.5" customHeight="1" x14ac:dyDescent="0.2">
      <c r="A40" s="2064" t="s">
        <v>2061</v>
      </c>
      <c r="B40" s="2065"/>
      <c r="C40" s="2066"/>
      <c r="D40" s="2066"/>
      <c r="E40" s="2066"/>
      <c r="F40" s="2067"/>
      <c r="G40" s="2067"/>
      <c r="H40" s="2068"/>
      <c r="I40" s="2089"/>
      <c r="J40" s="2090"/>
      <c r="K40" s="2090"/>
      <c r="L40" s="2090"/>
      <c r="M40" s="2090"/>
      <c r="N40" s="2090"/>
      <c r="O40" s="2090"/>
      <c r="P40" s="2090"/>
      <c r="Q40" s="2090"/>
      <c r="R40" s="2090"/>
      <c r="S40" s="2091"/>
      <c r="T40" s="2089"/>
      <c r="U40" s="2143"/>
      <c r="V40" s="2090"/>
      <c r="W40" s="2090"/>
      <c r="X40" s="2090"/>
      <c r="Y40" s="2090"/>
      <c r="Z40" s="2090"/>
      <c r="AA40" s="209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8" t="s">
        <v>2063</v>
      </c>
      <c r="B42" s="2070"/>
      <c r="C42" s="2071"/>
      <c r="D42" s="2069" t="s">
        <v>2064</v>
      </c>
      <c r="E42" s="2070"/>
      <c r="F42" s="2070"/>
      <c r="G42" s="2070"/>
      <c r="H42" s="2071"/>
      <c r="I42" s="2053"/>
      <c r="J42" s="2054"/>
      <c r="K42" s="2054"/>
      <c r="L42" s="2054"/>
      <c r="M42" s="2054"/>
      <c r="N42" s="2054"/>
      <c r="O42" s="2055"/>
      <c r="P42" s="2088"/>
      <c r="Q42" s="2054"/>
      <c r="R42" s="2054"/>
      <c r="S42" s="2055"/>
      <c r="T42" s="2053"/>
      <c r="U42" s="2054"/>
      <c r="V42" s="2054"/>
      <c r="W42" s="2055"/>
      <c r="X42" s="2088"/>
      <c r="Y42" s="2054"/>
      <c r="Z42" s="2054"/>
      <c r="AA42" s="205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3"/>
      <c r="B44" s="2084"/>
      <c r="C44" s="2084"/>
      <c r="D44" s="2084"/>
      <c r="E44" s="2084"/>
      <c r="F44" s="2084"/>
      <c r="G44" s="2084"/>
      <c r="H44" s="2085"/>
      <c r="I44" s="2058"/>
      <c r="J44" s="2059"/>
      <c r="K44" s="2059"/>
      <c r="L44" s="2059"/>
      <c r="M44" s="2059"/>
      <c r="N44" s="2059"/>
      <c r="O44" s="2059"/>
      <c r="P44" s="2059"/>
      <c r="Q44" s="2059"/>
      <c r="R44" s="2059"/>
      <c r="S44" s="2060"/>
      <c r="T44" s="2058"/>
      <c r="U44" s="2077"/>
      <c r="V44" s="2077"/>
      <c r="W44" s="2077"/>
      <c r="X44" s="2077"/>
      <c r="Y44" s="2077"/>
      <c r="Z44" s="2059"/>
      <c r="AA44" s="2060"/>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01"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02"/>
      <c r="B3" s="1294"/>
      <c r="C3" s="1295"/>
      <c r="D3" s="1296" t="s">
        <v>254</v>
      </c>
      <c r="E3" s="1295"/>
      <c r="F3" s="1296" t="s">
        <v>255</v>
      </c>
    </row>
    <row r="4" spans="1:8" ht="13.7" customHeight="1" x14ac:dyDescent="0.2">
      <c r="A4" s="579" t="s">
        <v>1147</v>
      </c>
      <c r="B4" s="1721">
        <f>'Revenues 9-14'!C5</f>
        <v>5760487</v>
      </c>
      <c r="C4" s="1722"/>
      <c r="D4" s="1723">
        <f>B4-C4</f>
        <v>5760487</v>
      </c>
      <c r="E4" s="1722">
        <v>6140114</v>
      </c>
      <c r="F4" s="1723">
        <f>E4-C4</f>
        <v>6140114</v>
      </c>
    </row>
    <row r="5" spans="1:8" ht="13.7" customHeight="1" x14ac:dyDescent="0.2">
      <c r="A5" s="579" t="s">
        <v>865</v>
      </c>
      <c r="B5" s="1724">
        <f>'Revenues 9-14'!D5</f>
        <v>1548760</v>
      </c>
      <c r="C5" s="1664"/>
      <c r="D5" s="1725">
        <f t="shared" ref="D5:D18" si="0">B5-C5</f>
        <v>1548760</v>
      </c>
      <c r="E5" s="1664">
        <v>1650910</v>
      </c>
      <c r="F5" s="1725">
        <f>E5-C5</f>
        <v>1650910</v>
      </c>
    </row>
    <row r="6" spans="1:8" ht="13.7" customHeight="1" x14ac:dyDescent="0.2">
      <c r="A6" s="579" t="s">
        <v>408</v>
      </c>
      <c r="B6" s="1724">
        <f>'Revenues 9-14'!E5</f>
        <v>486618</v>
      </c>
      <c r="C6" s="1664"/>
      <c r="D6" s="1725">
        <f t="shared" si="0"/>
        <v>486618</v>
      </c>
      <c r="E6" s="1664">
        <v>497463</v>
      </c>
      <c r="F6" s="1725">
        <f t="shared" ref="F6:F18" si="1">E6-C6</f>
        <v>497463</v>
      </c>
    </row>
    <row r="7" spans="1:8" ht="13.7" customHeight="1" x14ac:dyDescent="0.2">
      <c r="A7" s="579" t="s">
        <v>154</v>
      </c>
      <c r="B7" s="1724">
        <f>'Revenues 9-14'!F5</f>
        <v>746344</v>
      </c>
      <c r="C7" s="1664"/>
      <c r="D7" s="1725">
        <f t="shared" si="0"/>
        <v>746344</v>
      </c>
      <c r="E7" s="1664">
        <v>795600</v>
      </c>
      <c r="F7" s="1725">
        <f t="shared" si="1"/>
        <v>795600</v>
      </c>
    </row>
    <row r="8" spans="1:8" ht="13.7" customHeight="1" x14ac:dyDescent="0.2">
      <c r="A8" s="579" t="s">
        <v>1171</v>
      </c>
      <c r="B8" s="1724">
        <f>'Revenues 9-14'!G5</f>
        <v>176011</v>
      </c>
      <c r="C8" s="1664"/>
      <c r="D8" s="1725">
        <f t="shared" si="0"/>
        <v>176011</v>
      </c>
      <c r="E8" s="1664">
        <v>235798</v>
      </c>
      <c r="F8" s="1725">
        <f t="shared" si="1"/>
        <v>235798</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214154</v>
      </c>
      <c r="C10" s="1664"/>
      <c r="D10" s="1725">
        <f t="shared" si="0"/>
        <v>214154</v>
      </c>
      <c r="E10" s="1664">
        <v>217401</v>
      </c>
      <c r="F10" s="1725">
        <f t="shared" si="1"/>
        <v>217401</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281771</v>
      </c>
      <c r="C12" s="1664"/>
      <c r="D12" s="1725">
        <f t="shared" si="0"/>
        <v>281771</v>
      </c>
      <c r="E12" s="1664">
        <v>300396</v>
      </c>
      <c r="F12" s="1725">
        <f t="shared" si="1"/>
        <v>300396</v>
      </c>
    </row>
    <row r="13" spans="1:8" ht="13.7" customHeight="1" x14ac:dyDescent="0.2">
      <c r="A13" s="579" t="s">
        <v>930</v>
      </c>
      <c r="B13" s="1724">
        <f>SUM('Revenues 9-14'!C6:D6)</f>
        <v>280399</v>
      </c>
      <c r="C13" s="1664"/>
      <c r="D13" s="1725">
        <f t="shared" si="0"/>
        <v>280399</v>
      </c>
      <c r="E13" s="1664">
        <v>298921</v>
      </c>
      <c r="F13" s="1725">
        <f t="shared" si="1"/>
        <v>298921</v>
      </c>
    </row>
    <row r="14" spans="1:8" ht="13.7" customHeight="1" x14ac:dyDescent="0.2">
      <c r="A14" s="579" t="s">
        <v>407</v>
      </c>
      <c r="B14" s="1724">
        <f>SUM('Revenues 9-14'!C7:D7,'Revenues 9-14'!F7:H7)</f>
        <v>114063</v>
      </c>
      <c r="C14" s="1664"/>
      <c r="D14" s="1725">
        <f t="shared" si="0"/>
        <v>114063</v>
      </c>
      <c r="E14" s="1664">
        <v>121634</v>
      </c>
      <c r="F14" s="1725">
        <f t="shared" si="1"/>
        <v>121634</v>
      </c>
    </row>
    <row r="15" spans="1:8" ht="13.7" customHeight="1" x14ac:dyDescent="0.2">
      <c r="A15" s="579" t="s">
        <v>1150</v>
      </c>
      <c r="B15" s="1724">
        <f>SUM('Revenues 9-14'!D9:E9,'Revenues 9-14'!H9)</f>
        <v>0</v>
      </c>
      <c r="C15" s="1664"/>
      <c r="D15" s="1725">
        <f t="shared" si="0"/>
        <v>0</v>
      </c>
      <c r="E15" s="1664"/>
      <c r="F15" s="1725">
        <f t="shared" si="1"/>
        <v>0</v>
      </c>
    </row>
    <row r="16" spans="1:8" ht="13.7" customHeight="1" x14ac:dyDescent="0.2">
      <c r="A16" s="579" t="s">
        <v>1151</v>
      </c>
      <c r="B16" s="1724">
        <f>'Revenues 9-14'!G8</f>
        <v>334959</v>
      </c>
      <c r="C16" s="1664"/>
      <c r="D16" s="1725">
        <f t="shared" si="0"/>
        <v>334959</v>
      </c>
      <c r="E16" s="1664">
        <v>47169</v>
      </c>
      <c r="F16" s="1725">
        <f t="shared" si="1"/>
        <v>47169</v>
      </c>
    </row>
    <row r="17" spans="1:6" ht="13.7" customHeight="1" x14ac:dyDescent="0.2">
      <c r="A17" s="579" t="s">
        <v>1152</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1153</v>
      </c>
      <c r="B19" s="1726">
        <f>SUM(B4:B18)</f>
        <v>9943566</v>
      </c>
      <c r="C19" s="1726">
        <f>SUM(C4:C18)</f>
        <v>0</v>
      </c>
      <c r="D19" s="1726">
        <f>SUM(D4:D18)</f>
        <v>9943566</v>
      </c>
      <c r="E19" s="1726">
        <f>SUM(E4:E18)</f>
        <v>10305406</v>
      </c>
      <c r="F19" s="1726">
        <f>SUM(F4:F18)</f>
        <v>10305406</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3" t="s">
        <v>625</v>
      </c>
      <c r="B1" s="2321"/>
      <c r="C1" s="585"/>
    </row>
    <row r="2" spans="1:7" ht="33.75" x14ac:dyDescent="0.2">
      <c r="A2" s="2328" t="s">
        <v>1779</v>
      </c>
      <c r="B2" s="232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30" t="s">
        <v>1106</v>
      </c>
      <c r="B3" s="2331"/>
      <c r="C3" s="2324"/>
      <c r="D3" s="2325"/>
      <c r="E3" s="2325"/>
      <c r="F3" s="2326"/>
    </row>
    <row r="4" spans="1:7" ht="12.75" customHeight="1" thickBot="1" x14ac:dyDescent="0.25">
      <c r="A4" s="2318" t="s">
        <v>626</v>
      </c>
      <c r="B4" s="2319"/>
      <c r="C4" s="1656"/>
      <c r="D4" s="1656"/>
      <c r="E4" s="1656"/>
      <c r="F4" s="1732">
        <f>SUM(C4+D4)-E4</f>
        <v>0</v>
      </c>
    </row>
    <row r="5" spans="1:7" ht="15.75" customHeight="1" thickTop="1" x14ac:dyDescent="0.2">
      <c r="A5" s="2322" t="s">
        <v>1103</v>
      </c>
      <c r="B5" s="2317"/>
      <c r="C5" s="2311"/>
      <c r="D5" s="2312"/>
      <c r="E5" s="2312"/>
      <c r="F5" s="231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14" t="s">
        <v>627</v>
      </c>
      <c r="B15" s="2315"/>
      <c r="C15" s="1732">
        <f>SUM(C6:C14)</f>
        <v>0</v>
      </c>
      <c r="D15" s="1732">
        <f>SUM(D6:D14)</f>
        <v>0</v>
      </c>
      <c r="E15" s="1732">
        <f>SUM(E6:E14)</f>
        <v>0</v>
      </c>
      <c r="F15" s="1732">
        <f>SUM(F6:F14)</f>
        <v>0</v>
      </c>
      <c r="G15" s="473"/>
    </row>
    <row r="16" spans="1:7" s="197" customFormat="1" ht="15.75" customHeight="1" thickTop="1" x14ac:dyDescent="0.2">
      <c r="A16" s="2327" t="s">
        <v>1104</v>
      </c>
      <c r="B16" s="2317"/>
      <c r="C16" s="2311"/>
      <c r="D16" s="2312"/>
      <c r="E16" s="2312"/>
      <c r="F16" s="2313"/>
    </row>
    <row r="17" spans="1:11" ht="12.75" customHeight="1" thickBot="1" x14ac:dyDescent="0.25">
      <c r="A17" s="2309" t="s">
        <v>64</v>
      </c>
      <c r="B17" s="2310"/>
      <c r="C17" s="1733"/>
      <c r="D17" s="1664"/>
      <c r="E17" s="1733"/>
      <c r="F17" s="1732">
        <f>SUM(C17+D17)-E17</f>
        <v>0</v>
      </c>
    </row>
    <row r="18" spans="1:11" ht="12.75" customHeight="1" thickTop="1" thickBot="1" x14ac:dyDescent="0.25">
      <c r="A18" s="2309" t="s">
        <v>6</v>
      </c>
      <c r="B18" s="2310"/>
      <c r="C18" s="1733"/>
      <c r="D18" s="1664"/>
      <c r="E18" s="1733"/>
      <c r="F18" s="1732">
        <f>SUM(C18+D18)-E18</f>
        <v>0</v>
      </c>
    </row>
    <row r="19" spans="1:11" ht="12.75" customHeight="1" thickTop="1" thickBot="1" x14ac:dyDescent="0.25">
      <c r="A19" s="2309" t="s">
        <v>385</v>
      </c>
      <c r="B19" s="2310"/>
      <c r="C19" s="1733"/>
      <c r="D19" s="1664"/>
      <c r="E19" s="1733"/>
      <c r="F19" s="1732">
        <f>SUM(C19+D19)-E19</f>
        <v>0</v>
      </c>
    </row>
    <row r="20" spans="1:11" ht="12.75" customHeight="1" thickTop="1" thickBot="1" x14ac:dyDescent="0.25">
      <c r="A20" s="2309" t="s">
        <v>445</v>
      </c>
      <c r="B20" s="2310"/>
      <c r="C20" s="1733"/>
      <c r="D20" s="1664"/>
      <c r="E20" s="1733"/>
      <c r="F20" s="1732">
        <f>SUM(C20+D20)-E20</f>
        <v>0</v>
      </c>
    </row>
    <row r="21" spans="1:11" ht="14.25" thickTop="1" thickBot="1" x14ac:dyDescent="0.25">
      <c r="A21" s="2314" t="s">
        <v>628</v>
      </c>
      <c r="B21" s="2315"/>
      <c r="C21" s="1732">
        <f>SUM(C17:C20)</f>
        <v>0</v>
      </c>
      <c r="D21" s="1732">
        <f>SUM(D17:D20)</f>
        <v>0</v>
      </c>
      <c r="E21" s="1732">
        <f>SUM(E17:E20)</f>
        <v>0</v>
      </c>
      <c r="F21" s="1732">
        <f>SUM(F17:F20)</f>
        <v>0</v>
      </c>
      <c r="G21" s="473"/>
    </row>
    <row r="22" spans="1:11" ht="15.75" customHeight="1" thickTop="1" x14ac:dyDescent="0.2">
      <c r="A22" s="2316" t="s">
        <v>1105</v>
      </c>
      <c r="B22" s="2317"/>
      <c r="C22" s="2311"/>
      <c r="D22" s="2312"/>
      <c r="E22" s="2312"/>
      <c r="F22" s="2313"/>
    </row>
    <row r="23" spans="1:11" ht="13.5" thickBot="1" x14ac:dyDescent="0.25">
      <c r="A23" s="2318" t="s">
        <v>629</v>
      </c>
      <c r="B23" s="2319"/>
      <c r="C23" s="1656"/>
      <c r="D23" s="1656"/>
      <c r="E23" s="1656"/>
      <c r="F23" s="1732">
        <f>SUM(C23+D23)-E23</f>
        <v>0</v>
      </c>
      <c r="G23" s="473"/>
    </row>
    <row r="24" spans="1:11" ht="15.75" customHeight="1" thickTop="1" x14ac:dyDescent="0.2">
      <c r="A24" s="2316" t="s">
        <v>2006</v>
      </c>
      <c r="B24" s="2317"/>
      <c r="C24" s="2311"/>
      <c r="D24" s="2312"/>
      <c r="E24" s="2312"/>
      <c r="F24" s="2313"/>
    </row>
    <row r="25" spans="1:11" ht="13.5" thickBot="1" x14ac:dyDescent="0.25">
      <c r="A25" s="2318" t="s">
        <v>2007</v>
      </c>
      <c r="B25" s="2319"/>
      <c r="C25" s="1656"/>
      <c r="D25" s="1656"/>
      <c r="E25" s="1656"/>
      <c r="F25" s="1732">
        <f>SUM(C25+D25)-E25</f>
        <v>0</v>
      </c>
      <c r="G25" s="473"/>
    </row>
    <row r="26" spans="1:11" ht="15.75" customHeight="1" thickTop="1" x14ac:dyDescent="0.2">
      <c r="A26" s="2322" t="s">
        <v>652</v>
      </c>
      <c r="B26" s="2317"/>
      <c r="C26" s="589"/>
      <c r="D26" s="589"/>
      <c r="E26" s="589"/>
      <c r="F26" s="590"/>
    </row>
    <row r="27" spans="1:11" ht="13.5" thickBot="1" x14ac:dyDescent="0.25">
      <c r="A27" s="2314" t="s">
        <v>1063</v>
      </c>
      <c r="B27" s="2315"/>
      <c r="C27" s="1664"/>
      <c r="D27" s="1664"/>
      <c r="E27" s="1664"/>
      <c r="F27" s="1732">
        <f>SUM(C27+D27)-E27</f>
        <v>0</v>
      </c>
      <c r="G27" s="473"/>
    </row>
    <row r="28" spans="1:11" ht="7.5" customHeight="1" thickTop="1" x14ac:dyDescent="0.2">
      <c r="A28" s="489"/>
    </row>
    <row r="29" spans="1:11" ht="23.25" customHeight="1" x14ac:dyDescent="0.2">
      <c r="A29" s="2320" t="s">
        <v>578</v>
      </c>
      <c r="B29" s="2321"/>
      <c r="C29" s="591"/>
      <c r="D29" s="591"/>
      <c r="E29" s="591"/>
      <c r="F29" s="591"/>
      <c r="G29" s="591"/>
      <c r="H29" s="591"/>
      <c r="I29" s="591"/>
      <c r="J29" s="591"/>
    </row>
    <row r="30" spans="1:11" ht="33.75" x14ac:dyDescent="0.2">
      <c r="A30" s="1297" t="s">
        <v>1064</v>
      </c>
      <c r="B30" s="592" t="s">
        <v>1116</v>
      </c>
      <c r="C30" s="592" t="s">
        <v>579</v>
      </c>
      <c r="D30" s="592" t="s">
        <v>1657</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2065</v>
      </c>
      <c r="B31" s="595">
        <v>40787</v>
      </c>
      <c r="C31" s="1734">
        <v>1936000</v>
      </c>
      <c r="D31" s="1735">
        <v>6</v>
      </c>
      <c r="E31" s="1734">
        <v>1351000</v>
      </c>
      <c r="F31" s="1734"/>
      <c r="G31" s="1734"/>
      <c r="H31" s="1734">
        <v>89000</v>
      </c>
      <c r="I31" s="1736">
        <f>((E31+F31)-H31)+G31</f>
        <v>1262000</v>
      </c>
      <c r="J31" s="1734">
        <f>1262000-515495</f>
        <v>746505</v>
      </c>
      <c r="K31" s="596"/>
    </row>
    <row r="32" spans="1:11" ht="12" customHeight="1" x14ac:dyDescent="0.2">
      <c r="A32" s="594" t="s">
        <v>2066</v>
      </c>
      <c r="B32" s="595">
        <v>41403</v>
      </c>
      <c r="C32" s="1734">
        <v>3400000</v>
      </c>
      <c r="D32" s="1735">
        <v>3</v>
      </c>
      <c r="E32" s="1734">
        <v>2490000</v>
      </c>
      <c r="F32" s="1734"/>
      <c r="G32" s="1734"/>
      <c r="H32" s="1734">
        <v>195000</v>
      </c>
      <c r="I32" s="1736">
        <f>((E32+F32)-H32)+G32</f>
        <v>2295000</v>
      </c>
      <c r="J32" s="1734">
        <f>2295000-538375</f>
        <v>1756625</v>
      </c>
      <c r="K32" s="596"/>
    </row>
    <row r="33" spans="1:11" ht="12" customHeight="1" x14ac:dyDescent="0.2">
      <c r="A33" s="594" t="s">
        <v>2066</v>
      </c>
      <c r="B33" s="595">
        <v>41403</v>
      </c>
      <c r="C33" s="1734">
        <v>6410000</v>
      </c>
      <c r="D33" s="1735">
        <v>3</v>
      </c>
      <c r="E33" s="1734">
        <v>4305000</v>
      </c>
      <c r="F33" s="1734"/>
      <c r="G33" s="1734"/>
      <c r="H33" s="1734">
        <v>365000</v>
      </c>
      <c r="I33" s="1736">
        <f t="shared" ref="I33:I48" si="1">((E33+F33)-H33)+G33</f>
        <v>3940000</v>
      </c>
      <c r="J33" s="1734">
        <f>3940000-15015-226169</f>
        <v>3698816</v>
      </c>
      <c r="K33" s="596"/>
    </row>
    <row r="34" spans="1:11" ht="12" customHeight="1" x14ac:dyDescent="0.2">
      <c r="A34" s="594" t="s">
        <v>2067</v>
      </c>
      <c r="B34" s="595" t="s">
        <v>2070</v>
      </c>
      <c r="C34" s="1734"/>
      <c r="D34" s="1735">
        <v>7</v>
      </c>
      <c r="E34" s="1734">
        <v>1876471</v>
      </c>
      <c r="F34" s="1734"/>
      <c r="G34" s="1734">
        <v>-83724</v>
      </c>
      <c r="H34" s="1734">
        <v>221444</v>
      </c>
      <c r="I34" s="1736">
        <f t="shared" si="1"/>
        <v>1571303</v>
      </c>
      <c r="J34" s="1734">
        <v>1571303</v>
      </c>
      <c r="K34" s="597"/>
    </row>
    <row r="35" spans="1:11" ht="12" customHeight="1" x14ac:dyDescent="0.2">
      <c r="A35" s="594" t="s">
        <v>2068</v>
      </c>
      <c r="B35" s="595">
        <v>42039</v>
      </c>
      <c r="C35" s="1737">
        <v>2303639</v>
      </c>
      <c r="D35" s="1735">
        <v>7</v>
      </c>
      <c r="E35" s="1737">
        <v>1623752</v>
      </c>
      <c r="F35" s="1737"/>
      <c r="G35" s="1737"/>
      <c r="H35" s="1737">
        <v>183266</v>
      </c>
      <c r="I35" s="1736">
        <f t="shared" si="1"/>
        <v>1440486</v>
      </c>
      <c r="J35" s="1737">
        <v>1440486</v>
      </c>
      <c r="K35" s="597"/>
    </row>
    <row r="36" spans="1:11" ht="12" customHeight="1" x14ac:dyDescent="0.2">
      <c r="A36" s="594" t="s">
        <v>2069</v>
      </c>
      <c r="B36" s="595">
        <v>42816</v>
      </c>
      <c r="C36" s="1734">
        <v>87622</v>
      </c>
      <c r="D36" s="1735">
        <v>7</v>
      </c>
      <c r="E36" s="1734">
        <v>40342</v>
      </c>
      <c r="F36" s="1734"/>
      <c r="G36" s="1734"/>
      <c r="H36" s="1734">
        <v>22651</v>
      </c>
      <c r="I36" s="1736">
        <f t="shared" si="1"/>
        <v>17691</v>
      </c>
      <c r="J36" s="1734">
        <v>17691</v>
      </c>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14137261</v>
      </c>
      <c r="D49" s="1742"/>
      <c r="E49" s="1736">
        <f t="shared" ref="E49:J49" si="2">SUM(E31:E48)</f>
        <v>11686565</v>
      </c>
      <c r="F49" s="1736">
        <f t="shared" si="2"/>
        <v>0</v>
      </c>
      <c r="G49" s="1736">
        <f t="shared" si="2"/>
        <v>-83724</v>
      </c>
      <c r="H49" s="1736">
        <f t="shared" si="2"/>
        <v>1076361</v>
      </c>
      <c r="I49" s="1736">
        <f t="shared" si="2"/>
        <v>10526480</v>
      </c>
      <c r="J49" s="1736">
        <f t="shared" si="2"/>
        <v>9231426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3" t="s">
        <v>580</v>
      </c>
      <c r="C52" s="2304"/>
      <c r="D52" s="2304"/>
      <c r="E52" s="603" t="s">
        <v>840</v>
      </c>
      <c r="F52" s="2305" t="s">
        <v>2071</v>
      </c>
      <c r="G52" s="2306"/>
      <c r="H52" s="596"/>
      <c r="I52" s="596"/>
      <c r="J52" s="600"/>
    </row>
    <row r="53" spans="1:11" ht="11.25" customHeight="1" x14ac:dyDescent="0.2">
      <c r="A53" s="604" t="s">
        <v>907</v>
      </c>
      <c r="B53" s="605" t="s">
        <v>945</v>
      </c>
      <c r="C53" s="600"/>
      <c r="D53" s="597"/>
      <c r="E53" s="603" t="s">
        <v>494</v>
      </c>
      <c r="F53" s="2307"/>
      <c r="G53" s="2308"/>
      <c r="H53" s="596"/>
      <c r="I53" s="596"/>
      <c r="J53" s="600"/>
    </row>
    <row r="54" spans="1:11" ht="11.25" customHeight="1" x14ac:dyDescent="0.2">
      <c r="A54" s="606" t="s">
        <v>908</v>
      </c>
      <c r="B54" s="601" t="s">
        <v>946</v>
      </c>
      <c r="C54" s="600"/>
      <c r="D54" s="597"/>
      <c r="E54" s="603" t="s">
        <v>495</v>
      </c>
      <c r="F54" s="2307"/>
      <c r="G54" s="230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 bottom="0.25" header="0.4" footer="0.1"/>
  <pageSetup scale="74"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23" colorId="8" zoomScale="110" zoomScaleNormal="110" workbookViewId="0">
      <selection activeCell="E30" sqref="E3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2" t="s">
        <v>851</v>
      </c>
      <c r="B1" s="2333"/>
      <c r="C1" s="2333"/>
      <c r="D1" s="2333"/>
      <c r="E1" s="2333"/>
      <c r="F1" s="2333"/>
      <c r="G1" s="2334"/>
      <c r="H1" s="1298"/>
      <c r="I1" s="614"/>
      <c r="J1" s="400"/>
    </row>
    <row r="2" spans="1:11" ht="26.25" x14ac:dyDescent="0.2">
      <c r="A2" s="2351" t="s">
        <v>1661</v>
      </c>
      <c r="B2" s="2352"/>
      <c r="C2" s="2352"/>
      <c r="D2" s="2352"/>
      <c r="E2" s="2353"/>
      <c r="F2" s="615" t="s">
        <v>898</v>
      </c>
      <c r="G2" s="616" t="s">
        <v>1658</v>
      </c>
      <c r="H2" s="616" t="s">
        <v>407</v>
      </c>
      <c r="I2" s="616" t="s">
        <v>1150</v>
      </c>
      <c r="J2" s="616" t="s">
        <v>1789</v>
      </c>
      <c r="K2" s="616" t="s">
        <v>137</v>
      </c>
    </row>
    <row r="3" spans="1:11" x14ac:dyDescent="0.2">
      <c r="A3" s="2354" t="str">
        <f>"Cash Basis Fund Balance as of July 1, "&amp;'AFR20'!E2-1</f>
        <v>Cash Basis Fund Balance as of July 1, 2019</v>
      </c>
      <c r="B3" s="2355"/>
      <c r="C3" s="2355"/>
      <c r="D3" s="2355"/>
      <c r="E3" s="2356"/>
      <c r="F3" s="617"/>
      <c r="G3" s="1744"/>
      <c r="H3" s="1744"/>
      <c r="I3" s="1744"/>
      <c r="J3" s="1745"/>
      <c r="K3" s="1745"/>
    </row>
    <row r="4" spans="1:11" x14ac:dyDescent="0.2">
      <c r="A4" s="2357" t="s">
        <v>366</v>
      </c>
      <c r="B4" s="2358"/>
      <c r="C4" s="2358"/>
      <c r="D4" s="2358"/>
      <c r="E4" s="2304"/>
      <c r="F4" s="620"/>
      <c r="G4" s="1746"/>
      <c r="H4" s="1747"/>
      <c r="I4" s="1746"/>
      <c r="J4" s="1748"/>
      <c r="K4" s="1748"/>
    </row>
    <row r="5" spans="1:11" x14ac:dyDescent="0.2">
      <c r="A5" s="2335" t="s">
        <v>1062</v>
      </c>
      <c r="B5" s="2336"/>
      <c r="C5" s="2336"/>
      <c r="D5" s="2336"/>
      <c r="E5" s="2337"/>
      <c r="F5" s="622" t="s">
        <v>843</v>
      </c>
      <c r="G5" s="1749"/>
      <c r="H5" s="1744">
        <f>+'Revenues 9-14'!C7</f>
        <v>114063</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f>+'Revenues 9-14'!C101</f>
        <v>2850</v>
      </c>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f>+'Revenues 9-14'!C148</f>
        <v>27026</v>
      </c>
    </row>
    <row r="10" spans="1:11" x14ac:dyDescent="0.2">
      <c r="A10" s="2335" t="s">
        <v>1790</v>
      </c>
      <c r="B10" s="2336"/>
      <c r="C10" s="2336"/>
      <c r="D10" s="2336"/>
      <c r="E10" s="2338"/>
      <c r="F10" s="633" t="s">
        <v>857</v>
      </c>
      <c r="G10" s="1753"/>
      <c r="H10" s="1754"/>
      <c r="I10" s="1744"/>
      <c r="J10" s="1745"/>
      <c r="K10" s="1745"/>
    </row>
    <row r="11" spans="1:11" x14ac:dyDescent="0.2">
      <c r="A11" s="2335" t="s">
        <v>159</v>
      </c>
      <c r="B11" s="2336"/>
      <c r="C11" s="2336"/>
      <c r="D11" s="2336"/>
      <c r="E11" s="2337"/>
      <c r="F11" s="622" t="s">
        <v>847</v>
      </c>
      <c r="G11" s="1749"/>
      <c r="H11" s="1744"/>
      <c r="I11" s="1744"/>
      <c r="J11" s="1745"/>
      <c r="K11" s="1751"/>
    </row>
    <row r="12" spans="1:11" ht="13.5" thickBot="1" x14ac:dyDescent="0.25">
      <c r="A12" s="2362" t="s">
        <v>899</v>
      </c>
      <c r="B12" s="2363"/>
      <c r="C12" s="2363"/>
      <c r="D12" s="2363"/>
      <c r="E12" s="2364"/>
      <c r="F12" s="1433"/>
      <c r="G12" s="1755">
        <f>SUM(G5:G11)</f>
        <v>0</v>
      </c>
      <c r="H12" s="1755">
        <f>SUM(H5:H11)</f>
        <v>114063</v>
      </c>
      <c r="I12" s="1755">
        <f>SUM(I5:I11)</f>
        <v>0</v>
      </c>
      <c r="J12" s="1755">
        <f>SUM(J5:J11)</f>
        <v>0</v>
      </c>
      <c r="K12" s="1755">
        <f>SUM(K5:K11)</f>
        <v>29876</v>
      </c>
    </row>
    <row r="13" spans="1:11" ht="13.5" thickTop="1" x14ac:dyDescent="0.2">
      <c r="A13" s="2359" t="s">
        <v>367</v>
      </c>
      <c r="B13" s="2360"/>
      <c r="C13" s="2360"/>
      <c r="D13" s="2360"/>
      <c r="E13" s="2361"/>
      <c r="F13" s="634"/>
      <c r="G13" s="1756"/>
      <c r="H13" s="1757"/>
      <c r="I13" s="1758"/>
      <c r="J13" s="1758"/>
      <c r="K13" s="1758"/>
    </row>
    <row r="14" spans="1:11" x14ac:dyDescent="0.2">
      <c r="A14" s="2342" t="s">
        <v>453</v>
      </c>
      <c r="B14" s="2342"/>
      <c r="C14" s="2342"/>
      <c r="D14" s="2342"/>
      <c r="E14" s="2343"/>
      <c r="F14" s="635" t="s">
        <v>849</v>
      </c>
      <c r="G14" s="1753"/>
      <c r="H14" s="1744">
        <v>114063</v>
      </c>
      <c r="I14" s="1749"/>
      <c r="J14" s="1751"/>
      <c r="K14" s="1745">
        <v>29876</v>
      </c>
    </row>
    <row r="15" spans="1:11" x14ac:dyDescent="0.2">
      <c r="A15" s="2336" t="s">
        <v>4</v>
      </c>
      <c r="B15" s="2336"/>
      <c r="C15" s="2336"/>
      <c r="D15" s="2336"/>
      <c r="E15" s="2337"/>
      <c r="F15" s="635" t="s">
        <v>850</v>
      </c>
      <c r="G15" s="1749"/>
      <c r="H15" s="1744"/>
      <c r="I15" s="1744"/>
      <c r="J15" s="1745"/>
      <c r="K15" s="1745"/>
    </row>
    <row r="16" spans="1:11" x14ac:dyDescent="0.2">
      <c r="A16" s="2336" t="s">
        <v>295</v>
      </c>
      <c r="B16" s="2336"/>
      <c r="C16" s="2336"/>
      <c r="D16" s="2336"/>
      <c r="E16" s="2337"/>
      <c r="F16" s="635" t="s">
        <v>917</v>
      </c>
      <c r="G16" s="1750"/>
      <c r="H16" s="1746"/>
      <c r="I16" s="1746"/>
      <c r="J16" s="1748"/>
      <c r="K16" s="1748"/>
    </row>
    <row r="17" spans="1:15" x14ac:dyDescent="0.2">
      <c r="A17" s="2369" t="s">
        <v>929</v>
      </c>
      <c r="B17" s="2369"/>
      <c r="C17" s="2369"/>
      <c r="D17" s="2369"/>
      <c r="E17" s="2370"/>
      <c r="F17" s="636"/>
      <c r="G17" s="1759"/>
      <c r="H17" s="1760"/>
      <c r="I17" s="1760"/>
      <c r="J17" s="1761"/>
      <c r="K17" s="1762"/>
    </row>
    <row r="18" spans="1:15" x14ac:dyDescent="0.2">
      <c r="A18" s="2346" t="s">
        <v>365</v>
      </c>
      <c r="B18" s="2347"/>
      <c r="C18" s="2347"/>
      <c r="D18" s="2347"/>
      <c r="E18" s="2348"/>
      <c r="F18" s="635" t="s">
        <v>926</v>
      </c>
      <c r="G18" s="1753"/>
      <c r="H18" s="1753"/>
      <c r="I18" s="1753"/>
      <c r="J18" s="1745"/>
      <c r="K18" s="1763"/>
    </row>
    <row r="19" spans="1:15" ht="21.75" customHeight="1" x14ac:dyDescent="0.2">
      <c r="A19" s="2344" t="s">
        <v>1786</v>
      </c>
      <c r="B19" s="2344"/>
      <c r="C19" s="2344"/>
      <c r="D19" s="2344"/>
      <c r="E19" s="2345"/>
      <c r="F19" s="635" t="s">
        <v>927</v>
      </c>
      <c r="G19" s="1753"/>
      <c r="H19" s="1753"/>
      <c r="I19" s="1753"/>
      <c r="J19" s="1745"/>
      <c r="K19" s="1763"/>
    </row>
    <row r="20" spans="1:15" x14ac:dyDescent="0.2">
      <c r="A20" s="2346" t="s">
        <v>1791</v>
      </c>
      <c r="B20" s="2347"/>
      <c r="C20" s="2347"/>
      <c r="D20" s="2347"/>
      <c r="E20" s="2348"/>
      <c r="F20" s="635" t="s">
        <v>928</v>
      </c>
      <c r="G20" s="1753"/>
      <c r="H20" s="1753"/>
      <c r="I20" s="1753"/>
      <c r="J20" s="1745"/>
      <c r="K20" s="1763"/>
    </row>
    <row r="21" spans="1:15" ht="13.5" thickBot="1" x14ac:dyDescent="0.25">
      <c r="A21" s="2365" t="s">
        <v>633</v>
      </c>
      <c r="B21" s="2365"/>
      <c r="C21" s="2365"/>
      <c r="D21" s="2365"/>
      <c r="E21" s="2365"/>
      <c r="F21" s="1434"/>
      <c r="G21" s="1760"/>
      <c r="H21" s="1764"/>
      <c r="I21" s="1764"/>
      <c r="J21" s="1765">
        <f>SUM(J18:J20)</f>
        <v>0</v>
      </c>
      <c r="K21" s="1761"/>
    </row>
    <row r="22" spans="1:15" ht="13.5" thickTop="1" x14ac:dyDescent="0.2">
      <c r="A22" s="2336" t="s">
        <v>1792</v>
      </c>
      <c r="B22" s="2336"/>
      <c r="C22" s="2336"/>
      <c r="D22" s="2336"/>
      <c r="E22" s="2337"/>
      <c r="F22" s="635" t="s">
        <v>857</v>
      </c>
      <c r="G22" s="1753"/>
      <c r="H22" s="1744"/>
      <c r="I22" s="1744"/>
      <c r="J22" s="1766"/>
      <c r="K22" s="1745"/>
    </row>
    <row r="23" spans="1:15" ht="13.5" thickBot="1" x14ac:dyDescent="0.25">
      <c r="A23" s="2366" t="s">
        <v>900</v>
      </c>
      <c r="B23" s="2365"/>
      <c r="C23" s="2365"/>
      <c r="D23" s="2365"/>
      <c r="E23" s="2365"/>
      <c r="F23" s="1436"/>
      <c r="G23" s="1755">
        <f>SUM(G14:G16,G21,G22)</f>
        <v>0</v>
      </c>
      <c r="H23" s="1755">
        <f>SUM(H14:H16,H21,H22)</f>
        <v>114063</v>
      </c>
      <c r="I23" s="1755">
        <f>SUM(I14:I16,I21,I22)</f>
        <v>0</v>
      </c>
      <c r="J23" s="1755">
        <f>SUM(J14:J16,J21,J22)</f>
        <v>0</v>
      </c>
      <c r="K23" s="1755">
        <f>SUM(K14:K16,K21,K22)</f>
        <v>29876</v>
      </c>
      <c r="M23" s="1846"/>
      <c r="N23" s="1846"/>
      <c r="O23" s="1846"/>
    </row>
    <row r="24" spans="1:15" ht="14.25" thickTop="1" thickBot="1" x14ac:dyDescent="0.25">
      <c r="A24" s="2367" t="str">
        <f>"Ending Cash Basis Fund Balance as of June 30, "&amp;'AFR20'!E2</f>
        <v>Ending Cash Basis Fund Balance as of June 30, 2020</v>
      </c>
      <c r="B24" s="2368"/>
      <c r="C24" s="2368"/>
      <c r="D24" s="2368"/>
      <c r="E24" s="2368"/>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2057</v>
      </c>
      <c r="E30" s="648" t="s">
        <v>763</v>
      </c>
      <c r="F30" s="197"/>
      <c r="G30" s="645"/>
    </row>
    <row r="31" spans="1:15" x14ac:dyDescent="0.2">
      <c r="A31" s="649"/>
      <c r="D31" s="232"/>
      <c r="E31" s="650" t="s">
        <v>764</v>
      </c>
      <c r="F31" s="651" t="s">
        <v>536</v>
      </c>
      <c r="G31" s="618"/>
      <c r="H31" s="2339"/>
      <c r="I31" s="2340"/>
      <c r="J31" s="2340"/>
      <c r="K31" s="2340"/>
    </row>
    <row r="32" spans="1:15" x14ac:dyDescent="0.2">
      <c r="A32" s="649"/>
      <c r="B32" s="232"/>
      <c r="C32" s="232"/>
      <c r="D32" s="232"/>
      <c r="E32" s="645"/>
      <c r="F32" s="651" t="s">
        <v>537</v>
      </c>
      <c r="G32" s="618"/>
      <c r="H32" s="2341"/>
      <c r="I32" s="2340"/>
      <c r="J32" s="2340"/>
      <c r="K32" s="2340"/>
    </row>
    <row r="33" spans="1:11" ht="1.5" customHeight="1" x14ac:dyDescent="0.2">
      <c r="A33" s="652" t="s">
        <v>1161</v>
      </c>
      <c r="B33" s="341"/>
      <c r="C33" s="341"/>
      <c r="D33" s="341"/>
      <c r="E33" s="341"/>
      <c r="F33" s="341"/>
      <c r="G33" s="653"/>
      <c r="H33" s="2341"/>
      <c r="I33" s="2340"/>
      <c r="J33" s="2340"/>
      <c r="K33" s="2340"/>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6" t="s">
        <v>538</v>
      </c>
      <c r="B41" s="2349"/>
      <c r="C41" s="2349"/>
      <c r="D41" s="2349"/>
      <c r="E41" s="2349"/>
      <c r="F41" s="235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1659</v>
      </c>
    </row>
    <row r="47" spans="1:11" s="663" customFormat="1" ht="12.75" customHeight="1" x14ac:dyDescent="0.2">
      <c r="A47" s="661"/>
      <c r="B47" s="662" t="s">
        <v>1660</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68" bottom="0.4" header="0.4"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4" sqref="H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3" t="s">
        <v>1875</v>
      </c>
      <c r="B1" s="2374"/>
      <c r="C1" s="2375"/>
      <c r="D1" s="666"/>
      <c r="E1" s="667"/>
      <c r="F1" s="667"/>
      <c r="G1" s="668"/>
      <c r="H1" s="669"/>
      <c r="I1" s="670"/>
      <c r="J1" s="2371"/>
      <c r="K1" s="2372"/>
      <c r="L1" s="2372"/>
    </row>
    <row r="2" spans="1:14" ht="69.75" customHeight="1" x14ac:dyDescent="0.2">
      <c r="A2" s="671" t="s">
        <v>1662</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60099</v>
      </c>
      <c r="D5" s="1770"/>
      <c r="E5" s="1770"/>
      <c r="F5" s="1765">
        <f>(C5+D5)-E5</f>
        <v>60099</v>
      </c>
      <c r="G5" s="676"/>
      <c r="H5" s="680"/>
      <c r="I5" s="680"/>
      <c r="J5" s="680"/>
      <c r="K5" s="637"/>
      <c r="L5" s="1442">
        <f>F5-K5</f>
        <v>60099</v>
      </c>
    </row>
    <row r="6" spans="1:14" ht="14.25" thickTop="1" thickBot="1" x14ac:dyDescent="0.25">
      <c r="A6" s="629" t="s">
        <v>1109</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1110</v>
      </c>
      <c r="B8" s="679">
        <v>231</v>
      </c>
      <c r="C8" s="1771">
        <v>31902171</v>
      </c>
      <c r="D8" s="1771">
        <v>163485</v>
      </c>
      <c r="E8" s="1771"/>
      <c r="F8" s="1765">
        <f>(C8+D8)-E8</f>
        <v>32065656</v>
      </c>
      <c r="G8" s="681">
        <v>50</v>
      </c>
      <c r="H8" s="619">
        <v>13372405</v>
      </c>
      <c r="I8" s="619">
        <v>566005</v>
      </c>
      <c r="J8" s="619"/>
      <c r="K8" s="1442">
        <f>(H8+I8)-J8</f>
        <v>13938410</v>
      </c>
      <c r="L8" s="1442">
        <f>F8-K8</f>
        <v>18127246</v>
      </c>
    </row>
    <row r="9" spans="1:14" ht="14.25" thickTop="1" thickBot="1" x14ac:dyDescent="0.25">
      <c r="A9" s="629" t="s">
        <v>1111</v>
      </c>
      <c r="B9" s="679">
        <v>232</v>
      </c>
      <c r="C9" s="1745"/>
      <c r="D9" s="1745"/>
      <c r="E9" s="1745"/>
      <c r="F9" s="1765">
        <f>(C9+D9)-E9</f>
        <v>0</v>
      </c>
      <c r="G9" s="681">
        <v>20</v>
      </c>
      <c r="H9" s="619"/>
      <c r="I9" s="619"/>
      <c r="J9" s="619"/>
      <c r="K9" s="1442">
        <f>(H9+I9)-J9</f>
        <v>0</v>
      </c>
      <c r="L9" s="1442">
        <f>F9-K9</f>
        <v>0</v>
      </c>
    </row>
    <row r="10" spans="1:14" ht="24" thickTop="1" thickBot="1" x14ac:dyDescent="0.25">
      <c r="A10" s="682" t="s">
        <v>1112</v>
      </c>
      <c r="B10" s="679">
        <v>240</v>
      </c>
      <c r="C10" s="1772">
        <v>1678543</v>
      </c>
      <c r="D10" s="1772"/>
      <c r="E10" s="1772"/>
      <c r="F10" s="1773">
        <f>(C10+D10)-E10</f>
        <v>1678543</v>
      </c>
      <c r="G10" s="681">
        <v>20</v>
      </c>
      <c r="H10" s="683">
        <v>622091</v>
      </c>
      <c r="I10" s="683">
        <v>72293</v>
      </c>
      <c r="J10" s="683"/>
      <c r="K10" s="1442">
        <f>(H10+I10)-J10</f>
        <v>694384</v>
      </c>
      <c r="L10" s="1442">
        <f>F10-K10</f>
        <v>984159</v>
      </c>
    </row>
    <row r="11" spans="1:14" ht="13.5" thickTop="1" x14ac:dyDescent="0.2">
      <c r="A11" s="1367" t="s">
        <v>1128</v>
      </c>
      <c r="B11" s="1365">
        <v>250</v>
      </c>
      <c r="C11" s="1752"/>
      <c r="D11" s="1752"/>
      <c r="E11" s="1752"/>
      <c r="F11" s="1751"/>
      <c r="G11" s="681"/>
      <c r="H11" s="632"/>
      <c r="I11" s="632"/>
      <c r="J11" s="632"/>
      <c r="K11" s="624"/>
      <c r="L11" s="624"/>
    </row>
    <row r="12" spans="1:14" ht="13.5" thickBot="1" x14ac:dyDescent="0.25">
      <c r="A12" s="684" t="s">
        <v>1113</v>
      </c>
      <c r="B12" s="679">
        <v>251</v>
      </c>
      <c r="C12" s="1771">
        <v>2737098</v>
      </c>
      <c r="D12" s="1771">
        <v>65622</v>
      </c>
      <c r="E12" s="1771">
        <v>799243</v>
      </c>
      <c r="F12" s="1765">
        <f>(C12+D12)-E12</f>
        <v>2003477</v>
      </c>
      <c r="G12" s="681">
        <v>10</v>
      </c>
      <c r="H12" s="619">
        <v>1762383</v>
      </c>
      <c r="I12" s="619">
        <v>233921</v>
      </c>
      <c r="J12" s="619">
        <v>799243</v>
      </c>
      <c r="K12" s="1442">
        <f>(H12+I12)-J12</f>
        <v>1197061</v>
      </c>
      <c r="L12" s="1442">
        <f>F12-K12</f>
        <v>806416</v>
      </c>
    </row>
    <row r="13" spans="1:14" ht="14.25" thickTop="1" thickBot="1" x14ac:dyDescent="0.25">
      <c r="A13" s="684" t="s">
        <v>1114</v>
      </c>
      <c r="B13" s="679">
        <v>252</v>
      </c>
      <c r="C13" s="1771">
        <v>1597792</v>
      </c>
      <c r="D13" s="1771">
        <v>87550</v>
      </c>
      <c r="E13" s="1771">
        <v>195909</v>
      </c>
      <c r="F13" s="1765">
        <f>(C13+D13)-E13</f>
        <v>1489433</v>
      </c>
      <c r="G13" s="681">
        <v>5</v>
      </c>
      <c r="H13" s="619">
        <v>539645</v>
      </c>
      <c r="I13" s="619">
        <v>200588</v>
      </c>
      <c r="J13" s="619">
        <v>104975</v>
      </c>
      <c r="K13" s="1442">
        <f>(H13+I13)-J13</f>
        <v>635258</v>
      </c>
      <c r="L13" s="1442">
        <f>F13-K13</f>
        <v>854175</v>
      </c>
    </row>
    <row r="14" spans="1:14" ht="14.25" thickTop="1" thickBot="1" x14ac:dyDescent="0.25">
      <c r="A14" s="684" t="s">
        <v>1115</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896812</v>
      </c>
      <c r="D15" s="1771">
        <v>3801871</v>
      </c>
      <c r="E15" s="1771"/>
      <c r="F15" s="1765">
        <f>(C15+D15)-E15</f>
        <v>4698683</v>
      </c>
      <c r="G15" s="685" t="s">
        <v>857</v>
      </c>
      <c r="H15" s="632"/>
      <c r="I15" s="632"/>
      <c r="J15" s="632"/>
      <c r="K15" s="632"/>
      <c r="L15" s="1442">
        <f>F15-K15</f>
        <v>4698683</v>
      </c>
    </row>
    <row r="16" spans="1:14" ht="15" customHeight="1" thickTop="1" thickBot="1" x14ac:dyDescent="0.25">
      <c r="A16" s="1438" t="s">
        <v>638</v>
      </c>
      <c r="B16" s="1439">
        <v>200</v>
      </c>
      <c r="C16" s="1765">
        <f>SUM(C3,C5:C6,C8:C10,C12:C15)</f>
        <v>38872515</v>
      </c>
      <c r="D16" s="1765">
        <f>SUM(D3,D5:D6,D8:D10,D12:D15)</f>
        <v>4118528</v>
      </c>
      <c r="E16" s="1765">
        <f>SUM(E3,E5:E6,E8:E10,E12:E15)</f>
        <v>995152</v>
      </c>
      <c r="F16" s="1765">
        <f>SUM(F3,F5:F6,F8:F10,F12:F15)</f>
        <v>41995891</v>
      </c>
      <c r="G16" s="681"/>
      <c r="H16" s="1435">
        <f>SUM(H3,H6,H8:H10,H12:H14,)</f>
        <v>16296524</v>
      </c>
      <c r="I16" s="1435">
        <f>SUM(I3,I6,I8:I10,I12:I14,)</f>
        <v>1072807</v>
      </c>
      <c r="J16" s="1435">
        <f>SUM(J3,J6,J8:J10,J12:J14,)</f>
        <v>904218</v>
      </c>
      <c r="K16" s="1435">
        <f>(H16+I16)-J16</f>
        <v>16465113</v>
      </c>
      <c r="L16" s="1435">
        <f>F16-K16</f>
        <v>25530778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1072807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5"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00"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9" t="str">
        <f>"ESTIMATED OPERATING EXPENSE PER PUPIL (OEPP)/PER CAPITA TUITION CHARGE (PCTC) COMPUTATIONS ("&amp;'AFR20'!E2-1&amp;" - "&amp;'AFR20'!E2&amp;")"</f>
        <v>ESTIMATED OPERATING EXPENSE PER PUPIL (OEPP)/PER CAPITA TUITION CHARGE (PCTC) COMPUTATIONS (2019 - 2020)</v>
      </c>
      <c r="B1" s="2380"/>
      <c r="C1" s="2380"/>
      <c r="D1" s="2380"/>
      <c r="E1" s="2380"/>
      <c r="F1" s="2381"/>
      <c r="G1" s="691"/>
      <c r="I1" s="701"/>
    </row>
    <row r="2" spans="1:9" ht="15" customHeight="1" thickBot="1" x14ac:dyDescent="0.25">
      <c r="A2" s="2382" t="s">
        <v>474</v>
      </c>
      <c r="B2" s="2383"/>
      <c r="C2" s="2383"/>
      <c r="D2" s="2383"/>
      <c r="E2" s="2383"/>
      <c r="F2" s="238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85"/>
      <c r="B5" s="2386"/>
      <c r="C5" s="2386"/>
      <c r="D5" s="2386"/>
      <c r="E5" s="2386"/>
      <c r="F5" s="2386"/>
    </row>
    <row r="6" spans="1:9" ht="13.5" customHeight="1" thickBot="1" x14ac:dyDescent="0.25">
      <c r="A6" s="2376" t="s">
        <v>1097</v>
      </c>
      <c r="B6" s="2377"/>
      <c r="C6" s="2377"/>
      <c r="D6" s="2377"/>
      <c r="E6" s="2377"/>
      <c r="F6" s="237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4">
        <f>'Expenditures 15-22'!K114</f>
        <v>10568243</v>
      </c>
      <c r="G8" s="701"/>
    </row>
    <row r="9" spans="1:9" x14ac:dyDescent="0.2">
      <c r="A9" s="705" t="s">
        <v>457</v>
      </c>
      <c r="B9" s="706" t="s">
        <v>1848</v>
      </c>
      <c r="C9" s="707"/>
      <c r="D9" s="705" t="s">
        <v>498</v>
      </c>
      <c r="E9" s="704"/>
      <c r="F9" s="1775">
        <f>'Expenditures 15-22'!K151</f>
        <v>1488145</v>
      </c>
      <c r="G9" s="708"/>
    </row>
    <row r="10" spans="1:9" x14ac:dyDescent="0.2">
      <c r="A10" s="705" t="s">
        <v>496</v>
      </c>
      <c r="B10" s="706" t="s">
        <v>1849</v>
      </c>
      <c r="C10" s="707"/>
      <c r="D10" s="705" t="s">
        <v>498</v>
      </c>
      <c r="E10" s="704"/>
      <c r="F10" s="1775">
        <f>'Expenditures 15-22'!K174</f>
        <v>892433</v>
      </c>
      <c r="G10" s="708"/>
    </row>
    <row r="11" spans="1:9" x14ac:dyDescent="0.2">
      <c r="A11" s="705" t="s">
        <v>458</v>
      </c>
      <c r="B11" s="706" t="s">
        <v>1850</v>
      </c>
      <c r="C11" s="707"/>
      <c r="D11" s="705" t="s">
        <v>498</v>
      </c>
      <c r="E11" s="704"/>
      <c r="F11" s="1775">
        <f>'Expenditures 15-22'!K210</f>
        <v>1111547</v>
      </c>
      <c r="G11" s="708"/>
    </row>
    <row r="12" spans="1:9" x14ac:dyDescent="0.2">
      <c r="A12" s="705" t="s">
        <v>459</v>
      </c>
      <c r="B12" s="706" t="s">
        <v>1851</v>
      </c>
      <c r="C12" s="707"/>
      <c r="D12" s="705" t="s">
        <v>498</v>
      </c>
      <c r="E12" s="704"/>
      <c r="F12" s="1775">
        <f>'Expenditures 15-22'!K295</f>
        <v>498525</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14558893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1090</v>
      </c>
      <c r="B29" s="706" t="s">
        <v>805</v>
      </c>
      <c r="C29" s="716">
        <f>'Revenues 9-14'!B149</f>
        <v>3410</v>
      </c>
      <c r="D29" s="717" t="str">
        <f>'Revenues 9-14'!A149</f>
        <v>Adult Ed (from ICCB)</v>
      </c>
      <c r="E29" s="704"/>
      <c r="F29" s="1782">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783">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1455</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2">
        <f>'Expenditures 15-22'!K15-SUM('Expenditures 15-22'!G15,'Expenditures 15-22'!I15)</f>
        <v>1857</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414266</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1460</v>
      </c>
      <c r="C52" s="724" t="str">
        <f>'Expenditures 15-22'!B75</f>
        <v>3000</v>
      </c>
      <c r="D52" s="723" t="s">
        <v>446</v>
      </c>
      <c r="E52" s="704"/>
      <c r="F52" s="1782">
        <f>'Expenditures 15-22'!K75-SUM('Expenditures 15-22'!G75,'Expenditures 15-22'!I75)</f>
        <v>284</v>
      </c>
      <c r="G52" s="701"/>
    </row>
    <row r="53" spans="1:7" x14ac:dyDescent="0.2">
      <c r="A53" s="705" t="s">
        <v>456</v>
      </c>
      <c r="B53" s="705" t="s">
        <v>1461</v>
      </c>
      <c r="C53" s="724">
        <f>'Expenditures 15-22'!B102</f>
        <v>4000</v>
      </c>
      <c r="D53" s="723" t="str">
        <f>'Expenditures 15-22'!A102</f>
        <v>Total Payments to Other Govt Units</v>
      </c>
      <c r="E53" s="704"/>
      <c r="F53" s="1782">
        <f>'Expenditures 15-22'!K102</f>
        <v>291998</v>
      </c>
      <c r="G53" s="701"/>
    </row>
    <row r="54" spans="1:7" x14ac:dyDescent="0.2">
      <c r="A54" s="705" t="s">
        <v>456</v>
      </c>
      <c r="B54" s="705" t="s">
        <v>1462</v>
      </c>
      <c r="C54" s="724" t="s">
        <v>975</v>
      </c>
      <c r="D54" s="720" t="s">
        <v>1088</v>
      </c>
      <c r="E54" s="704"/>
      <c r="F54" s="1782">
        <f>'Expenditures 15-22'!G114</f>
        <v>13654</v>
      </c>
      <c r="G54" s="701"/>
    </row>
    <row r="55" spans="1:7" x14ac:dyDescent="0.2">
      <c r="A55" s="705" t="s">
        <v>456</v>
      </c>
      <c r="B55" s="705" t="s">
        <v>1463</v>
      </c>
      <c r="C55" s="724" t="s">
        <v>975</v>
      </c>
      <c r="D55" s="720" t="s">
        <v>288</v>
      </c>
      <c r="E55" s="704"/>
      <c r="F55" s="1782">
        <f>'Expenditures 15-22'!I114</f>
        <v>0</v>
      </c>
      <c r="G55" s="701"/>
    </row>
    <row r="56" spans="1:7" x14ac:dyDescent="0.2">
      <c r="A56" s="705" t="s">
        <v>457</v>
      </c>
      <c r="B56" s="705" t="s">
        <v>1464</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1088</v>
      </c>
      <c r="E58" s="704"/>
      <c r="F58" s="1784">
        <f>'Expenditures 15-22'!G151</f>
        <v>71109</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649000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133893</v>
      </c>
      <c r="G64" s="701"/>
    </row>
    <row r="65" spans="1:9" x14ac:dyDescent="0.2">
      <c r="A65" s="705" t="s">
        <v>458</v>
      </c>
      <c r="B65" s="705" t="s">
        <v>1861</v>
      </c>
      <c r="C65" s="721" t="s">
        <v>975</v>
      </c>
      <c r="D65" s="720" t="s">
        <v>1088</v>
      </c>
      <c r="E65" s="704"/>
      <c r="F65" s="1782">
        <f>'Expenditures 15-22'!G210</f>
        <v>87551</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1465</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251</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1473</v>
      </c>
      <c r="E74" s="704"/>
      <c r="F74" s="1786">
        <f>'Expenditures 15-22'!K334</f>
        <v>0</v>
      </c>
      <c r="G74" s="701"/>
    </row>
    <row r="75" spans="1:9" x14ac:dyDescent="0.2">
      <c r="A75" s="705" t="s">
        <v>2008</v>
      </c>
      <c r="B75" s="705" t="s">
        <v>2009</v>
      </c>
      <c r="C75" s="721" t="s">
        <v>975</v>
      </c>
      <c r="D75" s="722" t="s">
        <v>1088</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1663863</v>
      </c>
      <c r="G77" s="701"/>
    </row>
    <row r="78" spans="1:9" s="728" customFormat="1" ht="12" customHeight="1" thickTop="1" thickBot="1" x14ac:dyDescent="0.25">
      <c r="A78" s="1450"/>
      <c r="B78" s="1448"/>
      <c r="C78" s="1445"/>
      <c r="D78" s="1449" t="s">
        <v>2012</v>
      </c>
      <c r="E78" s="1447"/>
      <c r="F78" s="1788">
        <f>(F14-F77)</f>
        <v>12895030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944.4</v>
      </c>
      <c r="G79" s="733"/>
      <c r="H79" s="705"/>
      <c r="I79" s="705"/>
    </row>
    <row r="80" spans="1:9" s="728" customFormat="1" ht="12" customHeight="1" thickBot="1" x14ac:dyDescent="0.25">
      <c r="A80" s="1452"/>
      <c r="B80" s="1448"/>
      <c r="C80" s="1445"/>
      <c r="D80" s="1449" t="s">
        <v>2013</v>
      </c>
      <c r="E80" s="1447" t="s">
        <v>952</v>
      </c>
      <c r="F80" s="1790">
        <f>IF(F79&gt;0,F78/F79," Complete Line 79")</f>
        <v>13654.203727234222</v>
      </c>
      <c r="G80" s="705"/>
    </row>
    <row r="81" spans="1:7" s="728" customFormat="1" ht="8.25" customHeight="1" thickTop="1" x14ac:dyDescent="0.2">
      <c r="A81" s="734"/>
      <c r="B81" s="705"/>
      <c r="C81" s="707"/>
      <c r="D81" s="735"/>
      <c r="E81" s="704"/>
      <c r="F81" s="1791"/>
      <c r="G81" s="705"/>
    </row>
    <row r="82" spans="1:7" s="728" customFormat="1" ht="12" thickBot="1" x14ac:dyDescent="0.25">
      <c r="A82" s="2376" t="s">
        <v>1098</v>
      </c>
      <c r="B82" s="2377"/>
      <c r="C82" s="2377"/>
      <c r="D82" s="2377"/>
      <c r="E82" s="2377"/>
      <c r="F82" s="237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244917</v>
      </c>
      <c r="G95" s="745"/>
    </row>
    <row r="96" spans="1:7" x14ac:dyDescent="0.2">
      <c r="A96" s="741" t="s">
        <v>139</v>
      </c>
      <c r="B96" s="741" t="s">
        <v>174</v>
      </c>
      <c r="C96" s="743">
        <v>1700</v>
      </c>
      <c r="D96" s="751" t="str">
        <f>'Revenues 9-14'!A82</f>
        <v>Total District/School Activity Income</v>
      </c>
      <c r="E96" s="739"/>
      <c r="F96" s="1793">
        <f>SUM('Revenues 9-14'!C82,'Revenues 9-14'!D82)</f>
        <v>75148</v>
      </c>
      <c r="G96" s="745"/>
    </row>
    <row r="97" spans="1:7" x14ac:dyDescent="0.2">
      <c r="A97" s="741" t="s">
        <v>456</v>
      </c>
      <c r="B97" s="741" t="s">
        <v>175</v>
      </c>
      <c r="C97" s="743">
        <f>'Revenues 9-14'!B84</f>
        <v>1811</v>
      </c>
      <c r="D97" s="744" t="str">
        <f>'Revenues 9-14'!A84</f>
        <v>Rentals - Regular Textbooks</v>
      </c>
      <c r="E97" s="739"/>
      <c r="F97" s="1793">
        <f>'Revenues 9-14'!C84</f>
        <v>98342</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140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6290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87255</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20940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111858</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64979</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2701</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27026</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546347</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279584</v>
      </c>
      <c r="G126" s="763"/>
    </row>
    <row r="127" spans="1:7" x14ac:dyDescent="0.2">
      <c r="A127" s="760" t="s">
        <v>663</v>
      </c>
      <c r="B127" s="760" t="s">
        <v>1931</v>
      </c>
      <c r="C127" s="765">
        <v>4300</v>
      </c>
      <c r="D127" s="766" t="str">
        <f>'Revenues 9-14'!A204</f>
        <v>Total Title I</v>
      </c>
      <c r="E127" s="739"/>
      <c r="F127" s="1793">
        <f>SUM('Revenues 9-14'!C204,'Revenues 9-14'!D204,'Revenues 9-14'!F204,'Revenues 9-14'!G204)</f>
        <v>308103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109435</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144489</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1403</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1413</v>
      </c>
      <c r="D159" s="774" t="s">
        <v>1414</v>
      </c>
      <c r="E159" s="775"/>
      <c r="F159" s="1793">
        <f>SUM('Revenues 9-14'!C253)</f>
        <v>0</v>
      </c>
      <c r="G159" s="738"/>
    </row>
    <row r="160" spans="1:7" s="703" customFormat="1" x14ac:dyDescent="0.2">
      <c r="A160" s="771" t="s">
        <v>497</v>
      </c>
      <c r="B160" s="772" t="s">
        <v>1953</v>
      </c>
      <c r="C160" s="773" t="s">
        <v>1452</v>
      </c>
      <c r="D160" s="774" t="s">
        <v>1453</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6523</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13999</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32506</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338367</v>
      </c>
      <c r="G172" s="760"/>
    </row>
    <row r="173" spans="1:7" x14ac:dyDescent="0.2">
      <c r="A173" s="1529" t="s">
        <v>659</v>
      </c>
      <c r="B173" s="1530" t="s">
        <v>1885</v>
      </c>
      <c r="C173" s="1531">
        <v>3300</v>
      </c>
      <c r="D173" s="1532" t="s">
        <v>1888</v>
      </c>
      <c r="E173" s="739"/>
      <c r="F173" s="1794">
        <v>36</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2568985</v>
      </c>
    </row>
    <row r="176" spans="1:7" ht="12" customHeight="1" x14ac:dyDescent="0.2">
      <c r="A176" s="1443"/>
      <c r="B176" s="1453"/>
      <c r="C176" s="1454"/>
      <c r="D176" s="1455" t="s">
        <v>2014</v>
      </c>
      <c r="E176" s="1456"/>
      <c r="F176" s="1793">
        <f>'PCTC-OEPP 27-28'!F78-F175</f>
        <v>10326045</v>
      </c>
    </row>
    <row r="177" spans="1:9" ht="12" customHeight="1" x14ac:dyDescent="0.2">
      <c r="A177" s="1443"/>
      <c r="B177" s="1453"/>
      <c r="C177" s="1454"/>
      <c r="D177" s="1455" t="s">
        <v>1794</v>
      </c>
      <c r="E177" s="1456"/>
      <c r="F177" s="1793">
        <f>'Cap Outlay Deprec 26'!I18</f>
        <v>1072807</v>
      </c>
    </row>
    <row r="178" spans="1:9" ht="12" customHeight="1" x14ac:dyDescent="0.2">
      <c r="A178" s="1443"/>
      <c r="B178" s="1453"/>
      <c r="C178" s="1454"/>
      <c r="D178" s="1455" t="s">
        <v>2015</v>
      </c>
      <c r="E178" s="1456"/>
      <c r="F178" s="1793">
        <f>F176+F177</f>
        <v>11398852</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944.4</v>
      </c>
      <c r="G179" s="763"/>
      <c r="I179" s="701"/>
    </row>
    <row r="180" spans="1:9" ht="12" customHeight="1" thickBot="1" x14ac:dyDescent="0.25">
      <c r="A180" s="1443"/>
      <c r="B180" s="1457"/>
      <c r="C180" s="1454"/>
      <c r="D180" s="1455" t="s">
        <v>2017</v>
      </c>
      <c r="E180" s="1456" t="s">
        <v>1531</v>
      </c>
      <c r="F180" s="1798">
        <f>F178/F179</f>
        <v>12069.94070309191</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8" zoomScaleNormal="100" workbookViewId="0">
      <selection activeCell="D22" sqref="D22"/>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2" t="s">
        <v>2003</v>
      </c>
      <c r="D2" s="1863"/>
      <c r="E2" s="1863"/>
      <c r="F2" s="1863"/>
    </row>
    <row r="3" spans="1:6" ht="5.25" customHeight="1" x14ac:dyDescent="0.25">
      <c r="A3" s="1865"/>
      <c r="B3" s="1866"/>
      <c r="C3" s="1865"/>
      <c r="D3" s="1865"/>
      <c r="E3" s="1865"/>
      <c r="F3" s="1865"/>
    </row>
    <row r="4" spans="1:6" ht="18.75" customHeight="1" x14ac:dyDescent="0.25">
      <c r="A4" s="2390" t="s">
        <v>1795</v>
      </c>
      <c r="B4" s="2391"/>
      <c r="C4" s="2391"/>
      <c r="D4" s="2391"/>
      <c r="E4" s="2391"/>
      <c r="F4" s="2392"/>
    </row>
    <row r="5" spans="1:6" x14ac:dyDescent="0.25">
      <c r="A5" s="2393"/>
      <c r="B5" s="2394"/>
      <c r="C5" s="2394"/>
      <c r="D5" s="2394"/>
      <c r="E5" s="2394"/>
      <c r="F5" s="2395"/>
    </row>
    <row r="6" spans="1:6" ht="18.75" x14ac:dyDescent="0.25">
      <c r="A6" s="1867" t="s">
        <v>1796</v>
      </c>
      <c r="B6" s="1868"/>
      <c r="C6" s="1869"/>
      <c r="D6" s="1869"/>
      <c r="E6" s="1869"/>
      <c r="F6" s="1870"/>
    </row>
    <row r="7" spans="1:6" ht="47.25" customHeight="1" x14ac:dyDescent="0.25">
      <c r="A7" s="2396" t="s">
        <v>1985</v>
      </c>
      <c r="B7" s="2397"/>
      <c r="C7" s="2397"/>
      <c r="D7" s="2397"/>
      <c r="E7" s="2397"/>
      <c r="F7" s="2398"/>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399" t="s">
        <v>1981</v>
      </c>
      <c r="B10" s="2400"/>
      <c r="C10" s="2400"/>
      <c r="D10" s="2400"/>
      <c r="E10" s="2400"/>
      <c r="F10" s="2401"/>
    </row>
    <row r="11" spans="1:6" ht="33" customHeight="1" x14ac:dyDescent="0.25">
      <c r="A11" s="2396" t="s">
        <v>1986</v>
      </c>
      <c r="B11" s="2397"/>
      <c r="C11" s="2397"/>
      <c r="D11" s="2397"/>
      <c r="E11" s="2397"/>
      <c r="F11" s="2398"/>
    </row>
    <row r="12" spans="1:6" ht="15" customHeight="1" x14ac:dyDescent="0.25">
      <c r="A12" s="1873" t="s">
        <v>1982</v>
      </c>
      <c r="B12" s="1874"/>
      <c r="C12" s="1875"/>
      <c r="D12" s="1875"/>
      <c r="E12" s="1875"/>
      <c r="F12" s="1876"/>
    </row>
    <row r="13" spans="1:6" ht="17.25" customHeight="1" x14ac:dyDescent="0.25">
      <c r="A13" s="2396" t="s">
        <v>1983</v>
      </c>
      <c r="B13" s="2397"/>
      <c r="C13" s="2397"/>
      <c r="D13" s="2397"/>
      <c r="E13" s="2397"/>
      <c r="F13" s="2398"/>
    </row>
    <row r="14" spans="1:6" ht="15" customHeight="1" x14ac:dyDescent="0.25">
      <c r="A14" s="1873" t="s">
        <v>1800</v>
      </c>
      <c r="B14" s="1874"/>
      <c r="C14" s="1875"/>
      <c r="D14" s="1875"/>
      <c r="E14" s="1875"/>
      <c r="F14" s="1876"/>
    </row>
    <row r="15" spans="1:6" ht="32.25" customHeight="1" x14ac:dyDescent="0.25">
      <c r="A15" s="238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8"/>
      <c r="C15" s="2388"/>
      <c r="D15" s="2388"/>
      <c r="E15" s="2388"/>
      <c r="F15" s="2389"/>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034" t="s">
        <v>2072</v>
      </c>
      <c r="B18" s="1907">
        <v>101000600</v>
      </c>
      <c r="C18" s="2035" t="s">
        <v>2074</v>
      </c>
      <c r="D18" s="1885">
        <v>258077</v>
      </c>
      <c r="E18" s="1905" t="str">
        <f t="shared" ref="E18:E23" si="0">IF(D18&lt;25000,D18,"25,000")</f>
        <v>25,000</v>
      </c>
      <c r="F18" s="1905">
        <f t="shared" ref="F18:F23" si="1">IF(D18&gt;=25000,(D18-E18),"0")</f>
        <v>233077</v>
      </c>
      <c r="G18" s="1886"/>
    </row>
    <row r="19" spans="1:7" x14ac:dyDescent="0.25">
      <c r="A19" s="2034" t="s">
        <v>2072</v>
      </c>
      <c r="B19" s="1907">
        <v>101000600</v>
      </c>
      <c r="C19" s="2035" t="s">
        <v>2075</v>
      </c>
      <c r="D19" s="1885">
        <v>77720</v>
      </c>
      <c r="E19" s="1905" t="str">
        <f t="shared" si="0"/>
        <v>25,000</v>
      </c>
      <c r="F19" s="1905">
        <f t="shared" si="1"/>
        <v>52720</v>
      </c>
    </row>
    <row r="20" spans="1:7" x14ac:dyDescent="0.25">
      <c r="A20" s="2034" t="s">
        <v>2072</v>
      </c>
      <c r="B20" s="1907">
        <v>101000600</v>
      </c>
      <c r="C20" s="2035" t="s">
        <v>2076</v>
      </c>
      <c r="D20" s="1885">
        <v>75137</v>
      </c>
      <c r="E20" s="1905" t="str">
        <f t="shared" si="0"/>
        <v>25,000</v>
      </c>
      <c r="F20" s="1905">
        <f t="shared" si="1"/>
        <v>50137</v>
      </c>
    </row>
    <row r="21" spans="1:7" x14ac:dyDescent="0.25">
      <c r="A21" s="2034" t="s">
        <v>2073</v>
      </c>
      <c r="B21" s="1907">
        <v>102100300</v>
      </c>
      <c r="C21" s="2035" t="s">
        <v>2077</v>
      </c>
      <c r="D21" s="1885">
        <v>59956</v>
      </c>
      <c r="E21" s="1905" t="str">
        <f t="shared" si="0"/>
        <v>25,000</v>
      </c>
      <c r="F21" s="1905">
        <f t="shared" si="1"/>
        <v>34956</v>
      </c>
    </row>
    <row r="22" spans="1:7" x14ac:dyDescent="0.25">
      <c r="A22" s="2034" t="s">
        <v>2073</v>
      </c>
      <c r="B22" s="1907">
        <v>102100300</v>
      </c>
      <c r="C22" s="2035" t="s">
        <v>2078</v>
      </c>
      <c r="D22" s="1885">
        <v>26108</v>
      </c>
      <c r="E22" s="1905" t="str">
        <f t="shared" si="0"/>
        <v>25,000</v>
      </c>
      <c r="F22" s="1905">
        <f t="shared" si="1"/>
        <v>1108</v>
      </c>
    </row>
    <row r="23" spans="1:7" x14ac:dyDescent="0.25">
      <c r="A23" s="1887"/>
      <c r="B23" s="1907"/>
      <c r="C23" s="1884"/>
      <c r="D23" s="1885"/>
      <c r="E23" s="1905">
        <f t="shared" si="0"/>
        <v>0</v>
      </c>
      <c r="F23" s="1905" t="str">
        <f t="shared" si="1"/>
        <v>0</v>
      </c>
    </row>
    <row r="24" spans="1:7" x14ac:dyDescent="0.25">
      <c r="A24" s="1887"/>
      <c r="B24" s="1908"/>
      <c r="C24" s="1888"/>
      <c r="D24" s="1885"/>
      <c r="E24" s="1905">
        <f t="shared" ref="E24:E35" si="2">IF(D24&lt;25000,D24,"25,000")</f>
        <v>0</v>
      </c>
      <c r="F24" s="1905" t="str">
        <f t="shared" ref="F24:F35" si="3">IF(D24&gt;=25000,(D24-E24),"0")</f>
        <v>0</v>
      </c>
    </row>
    <row r="25" spans="1:7" x14ac:dyDescent="0.25">
      <c r="A25" s="1887"/>
      <c r="B25" s="1908"/>
      <c r="C25" s="1888"/>
      <c r="D25" s="1885"/>
      <c r="E25" s="1905">
        <f t="shared" si="2"/>
        <v>0</v>
      </c>
      <c r="F25" s="1905" t="str">
        <f t="shared" si="3"/>
        <v>0</v>
      </c>
    </row>
    <row r="26" spans="1:7" x14ac:dyDescent="0.25">
      <c r="A26" s="1887"/>
      <c r="B26" s="1908"/>
      <c r="C26" s="1888"/>
      <c r="D26" s="1885"/>
      <c r="E26" s="1905">
        <f t="shared" si="2"/>
        <v>0</v>
      </c>
      <c r="F26" s="1905" t="str">
        <f t="shared" si="3"/>
        <v>0</v>
      </c>
    </row>
    <row r="27" spans="1:7" x14ac:dyDescent="0.25">
      <c r="A27" s="1887"/>
      <c r="B27" s="1908"/>
      <c r="C27" s="1888"/>
      <c r="D27" s="1885"/>
      <c r="E27" s="1905">
        <f t="shared" si="2"/>
        <v>0</v>
      </c>
      <c r="F27" s="1905" t="str">
        <f t="shared" si="3"/>
        <v>0</v>
      </c>
    </row>
    <row r="28" spans="1:7" x14ac:dyDescent="0.25">
      <c r="A28" s="1887"/>
      <c r="B28" s="1908"/>
      <c r="C28" s="1888"/>
      <c r="D28" s="1885"/>
      <c r="E28" s="1905">
        <f t="shared" si="2"/>
        <v>0</v>
      </c>
      <c r="F28" s="1905" t="str">
        <f t="shared" si="3"/>
        <v>0</v>
      </c>
    </row>
    <row r="29" spans="1:7" x14ac:dyDescent="0.25">
      <c r="A29" s="1887"/>
      <c r="B29" s="1908"/>
      <c r="C29" s="1888"/>
      <c r="D29" s="1885"/>
      <c r="E29" s="1905">
        <f t="shared" si="2"/>
        <v>0</v>
      </c>
      <c r="F29" s="1905" t="str">
        <f t="shared" si="3"/>
        <v>0</v>
      </c>
    </row>
    <row r="30" spans="1:7" x14ac:dyDescent="0.25">
      <c r="A30" s="1887"/>
      <c r="B30" s="1908"/>
      <c r="C30" s="1888"/>
      <c r="D30" s="1885"/>
      <c r="E30" s="1905">
        <f t="shared" si="2"/>
        <v>0</v>
      </c>
      <c r="F30" s="1905" t="str">
        <f t="shared" si="3"/>
        <v>0</v>
      </c>
    </row>
    <row r="31" spans="1:7" x14ac:dyDescent="0.25">
      <c r="A31" s="1887"/>
      <c r="B31" s="1908"/>
      <c r="C31" s="1888"/>
      <c r="D31" s="1885"/>
      <c r="E31" s="1905">
        <f t="shared" si="2"/>
        <v>0</v>
      </c>
      <c r="F31" s="1905" t="str">
        <f t="shared" si="3"/>
        <v>0</v>
      </c>
    </row>
    <row r="32" spans="1:7" x14ac:dyDescent="0.25">
      <c r="A32" s="1887"/>
      <c r="B32" s="1908"/>
      <c r="C32" s="1888"/>
      <c r="D32" s="1885"/>
      <c r="E32" s="1905">
        <f t="shared" si="2"/>
        <v>0</v>
      </c>
      <c r="F32" s="1905" t="str">
        <f t="shared" si="3"/>
        <v>0</v>
      </c>
    </row>
    <row r="33" spans="1:6" x14ac:dyDescent="0.25">
      <c r="A33" s="1887"/>
      <c r="B33" s="1908"/>
      <c r="C33" s="1888"/>
      <c r="D33" s="1885"/>
      <c r="E33" s="1905">
        <f t="shared" si="2"/>
        <v>0</v>
      </c>
      <c r="F33" s="1905" t="str">
        <f t="shared" si="3"/>
        <v>0</v>
      </c>
    </row>
    <row r="34" spans="1:6" x14ac:dyDescent="0.25">
      <c r="A34" s="1887"/>
      <c r="B34" s="1908"/>
      <c r="C34" s="1888"/>
      <c r="D34" s="1885"/>
      <c r="E34" s="1905">
        <f t="shared" si="2"/>
        <v>0</v>
      </c>
      <c r="F34" s="1905" t="str">
        <f t="shared" si="3"/>
        <v>0</v>
      </c>
    </row>
    <row r="35" spans="1:6" x14ac:dyDescent="0.25">
      <c r="A35" s="1887"/>
      <c r="B35" s="1909"/>
      <c r="C35" s="1888"/>
      <c r="D35" s="1885"/>
      <c r="E35" s="1905">
        <f t="shared" si="2"/>
        <v>0</v>
      </c>
      <c r="F35" s="1905" t="str">
        <f t="shared" si="3"/>
        <v>0</v>
      </c>
    </row>
    <row r="36" spans="1:6" x14ac:dyDescent="0.25">
      <c r="A36" s="1889" t="s">
        <v>155</v>
      </c>
      <c r="B36" s="1910"/>
      <c r="C36" s="1890"/>
      <c r="D36" s="1891">
        <f>SUM(D18:D35)</f>
        <v>496998</v>
      </c>
      <c r="E36" s="1892">
        <f>SUM(E18:E35)</f>
        <v>0</v>
      </c>
      <c r="F36" s="1893">
        <f>SUM(F18:F35)</f>
        <v>371998</v>
      </c>
    </row>
  </sheetData>
  <sheetProtection selectLockedCells="1"/>
  <mergeCells count="6">
    <mergeCell ref="A15:F15"/>
    <mergeCell ref="A4:F5"/>
    <mergeCell ref="A7:F7"/>
    <mergeCell ref="A10:F10"/>
    <mergeCell ref="A11:F11"/>
    <mergeCell ref="A13:F13"/>
  </mergeCells>
  <pageMargins left="0.2" right="0.2" top="0.5"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election activeCell="F16" sqref="F1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2" t="s">
        <v>1663</v>
      </c>
      <c r="B5" s="2403"/>
      <c r="C5" s="2403"/>
      <c r="D5" s="2403"/>
      <c r="E5" s="2403"/>
      <c r="F5" s="2403"/>
      <c r="G5" s="240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212460</v>
      </c>
      <c r="F10" s="805"/>
      <c r="G10" s="806"/>
      <c r="H10" s="157"/>
      <c r="I10" s="157"/>
    </row>
    <row r="11" spans="1:13" s="542" customFormat="1" ht="22.5" customHeight="1" x14ac:dyDescent="0.2">
      <c r="A11" s="240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8"/>
      <c r="C11" s="2408"/>
      <c r="D11" s="2409"/>
      <c r="E11" s="1801">
        <v>44976</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7151944</v>
      </c>
      <c r="F19" s="1802"/>
      <c r="G19" s="1804">
        <f>'Expenditures 15-22'!K33-SUM('Expenditures 15-22'!G33,'Expenditures 15-22'!I33)+'Expenditures 15-22'!D229</f>
        <v>7151944</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1271506</v>
      </c>
      <c r="F21" s="1805"/>
      <c r="G21" s="1808">
        <f>'Expenditures 15-22'!K42-SUM('Expenditures 15-22'!G42,'Expenditures 15-22'!I42)+'Expenditures 15-22'!K120-SUM('Expenditures 15-22'!G120,'Expenditures 15-22'!I120)+'Expenditures 15-22'!K180-SUM('Expenditures 15-22'!G180,'Expenditures 15-22'!I180)+'Expenditures 15-22'!D238</f>
        <v>1271506</v>
      </c>
      <c r="H21" s="817"/>
      <c r="I21" s="157"/>
    </row>
    <row r="22" spans="1:9" s="542" customFormat="1" ht="12" customHeight="1" x14ac:dyDescent="0.2">
      <c r="A22" s="824" t="s">
        <v>560</v>
      </c>
      <c r="B22" s="825"/>
      <c r="C22" s="823">
        <v>2200</v>
      </c>
      <c r="D22" s="1805"/>
      <c r="E22" s="1807">
        <f>'Expenditures 15-22'!K47-SUM('Expenditures 15-22'!G47,'Expenditures 15-22'!I47)+'Expenditures 15-22'!D243</f>
        <v>287886</v>
      </c>
      <c r="F22" s="1805"/>
      <c r="G22" s="1808">
        <f>'Expenditures 15-22'!K47-SUM('Expenditures 15-22'!G47,'Expenditures 15-22'!I47)+'Expenditures 15-22'!D243</f>
        <v>287886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442405</v>
      </c>
      <c r="F23" s="1805"/>
      <c r="G23" s="1807">
        <f>'Expenditures 15-22'!K53-SUM('Expenditures 15-22'!G53,'Expenditures 15-22'!I53)+'Expenditures 15-22'!D257+'Expenditures 15-22'!K330-SUM('Expenditures 15-22'!G330,'Expenditures 15-22'!I330)</f>
        <v>442405</v>
      </c>
      <c r="H23" s="817"/>
      <c r="I23" s="157"/>
    </row>
    <row r="24" spans="1:9" s="542" customFormat="1" ht="12" customHeight="1" x14ac:dyDescent="0.2">
      <c r="A24" s="824" t="s">
        <v>562</v>
      </c>
      <c r="B24" s="825"/>
      <c r="C24" s="823">
        <v>2400</v>
      </c>
      <c r="D24" s="1805"/>
      <c r="E24" s="1807">
        <f>'Expenditures 15-22'!K57-SUM('Expenditures 15-22'!G57,'Expenditures 15-22'!I57)+'Expenditures 15-22'!D261</f>
        <v>442977</v>
      </c>
      <c r="F24" s="1805"/>
      <c r="G24" s="1808">
        <f>'Expenditures 15-22'!K57-SUM('Expenditures 15-22'!G57,'Expenditures 15-22'!I57)+'Expenditures 15-22'!D261</f>
        <v>442977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85185</v>
      </c>
      <c r="E26" s="1807">
        <f>'Expenditures 15-22'!K122-SUM('Expenditures 15-22'!G122,'Expenditures 15-22'!I122)+E7</f>
        <v>0</v>
      </c>
      <c r="F26" s="1807">
        <f>'Expenditures 15-22'!K59-SUM('Expenditures 15-22'!G59,'Expenditures 15-22'!I59)+'Expenditures 15-22'!D263-E7</f>
        <v>85185</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150</v>
      </c>
      <c r="E27" s="1807">
        <f>E8</f>
        <v>0</v>
      </c>
      <c r="F27" s="1807">
        <f>'Expenditures 15-22'!K60-SUM('Expenditures 15-22'!G60,'Expenditures 15-22'!I60)+'Expenditures 15-22'!D264-E8</f>
        <v>150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1482407</v>
      </c>
      <c r="F28" s="1809">
        <f>'Expenditures 15-22'!K61-SUM('Expenditures 15-22'!G61,'Expenditures 15-22'!I61)+'Expenditures 15-22'!K124-SUM('Expenditures 15-22'!G124,'Expenditures 15-22'!I124)+'Expenditures 15-22'!D266-E9</f>
        <v>1482407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914785</v>
      </c>
      <c r="F29" s="1805"/>
      <c r="G29" s="1808">
        <f>'Expenditures 15-22'!K62-SUM('Expenditures 15-22'!G62,'Expenditures 15-22'!I62)+'Expenditures 15-22'!K125-SUM('Expenditures 15-22'!G125,'Expenditures 15-22'!I125)+'Expenditures 15-22'!K182-SUM('Expenditures 15-22'!G182,'Expenditures 15-22'!I182)+'Expenditures 15-22'!D267</f>
        <v>914785</v>
      </c>
      <c r="H29" s="815"/>
    </row>
    <row r="30" spans="1:9" ht="12" customHeight="1" x14ac:dyDescent="0.2">
      <c r="A30" s="824" t="s">
        <v>100</v>
      </c>
      <c r="B30" s="827"/>
      <c r="C30" s="823">
        <v>2560</v>
      </c>
      <c r="D30" s="1805"/>
      <c r="E30" s="1807">
        <f>'Expenditures 15-22'!K63-SUM('Expenditures 15-22'!G63,'Expenditures 15-22'!I63)+'Expenditures 15-22'!D268-E10</f>
        <v>358365</v>
      </c>
      <c r="F30" s="1805"/>
      <c r="G30" s="1807">
        <f>'Expenditures 15-22'!K63-SUM('Expenditures 15-22'!G63,'Expenditures 15-22'!I63)+'Expenditures 15-22'!D268-E10</f>
        <v>358365</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1054</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329061</v>
      </c>
      <c r="E37" s="1807">
        <f>E14</f>
        <v>0</v>
      </c>
      <c r="F37" s="1807">
        <f>'Expenditures 15-22'!K71-SUM('Expenditures 15-22'!G71,'Expenditures 15-22'!I71)+'Expenditures 15-22'!D276-E14</f>
        <v>329061</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284</v>
      </c>
      <c r="F39" s="1805"/>
      <c r="G39" s="1807">
        <f>'Expenditures 15-22'!K75-SUM('Expenditures 15-22'!G75,'Expenditures 15-22'!I75)+'Expenditures 15-22'!K130-SUM('Expenditures 15-22'!G130,'Expenditures 15-22'!I130)+'Expenditures 15-22'!K185-SUM('Expenditures 15-22'!G185,'Expenditures 15-22'!I185)+'Expenditures 15-22'!D280</f>
        <v>284</v>
      </c>
    </row>
    <row r="40" spans="1:7" ht="12" customHeight="1" x14ac:dyDescent="0.2">
      <c r="A40" s="820" t="s">
        <v>1798</v>
      </c>
      <c r="B40" s="821"/>
      <c r="C40" s="823"/>
      <c r="D40" s="1805"/>
      <c r="E40" s="1809">
        <f>-'Contracts Paid in CY 29'!F36</f>
        <v>-371998</v>
      </c>
      <c r="F40" s="1805"/>
      <c r="G40" s="1809">
        <f>-'Contracts Paid in CY 29'!F36</f>
        <v>-371998</v>
      </c>
    </row>
    <row r="41" spans="1:7" ht="12" customHeight="1" x14ac:dyDescent="0.2">
      <c r="A41" s="828" t="s">
        <v>155</v>
      </c>
      <c r="B41" s="829"/>
      <c r="C41" s="830"/>
      <c r="D41" s="1809">
        <f>SUM(D19:D39)</f>
        <v>414396</v>
      </c>
      <c r="E41" s="1809">
        <f>SUM(E19:E40)</f>
        <v>11980561</v>
      </c>
      <c r="F41" s="1809">
        <f>SUM(F19:F39)</f>
        <v>1896803</v>
      </c>
      <c r="G41" s="1809">
        <f>SUM(G19:G40)</f>
        <v>10498154</v>
      </c>
    </row>
    <row r="42" spans="1:7" x14ac:dyDescent="0.2">
      <c r="A42" s="817"/>
      <c r="B42" s="157"/>
      <c r="C42" s="831"/>
      <c r="D42" s="2405" t="s">
        <v>519</v>
      </c>
      <c r="E42" s="2406"/>
      <c r="F42" s="832" t="s">
        <v>520</v>
      </c>
      <c r="G42" s="833"/>
    </row>
    <row r="43" spans="1:7" ht="12" customHeight="1" x14ac:dyDescent="0.2">
      <c r="A43" s="817"/>
      <c r="B43" s="157"/>
      <c r="C43" s="831"/>
      <c r="D43" s="1458" t="s">
        <v>470</v>
      </c>
      <c r="E43" s="1810">
        <f>D41</f>
        <v>414396</v>
      </c>
      <c r="F43" s="1458" t="s">
        <v>470</v>
      </c>
      <c r="G43" s="1810">
        <f>F41</f>
        <v>1896803</v>
      </c>
    </row>
    <row r="44" spans="1:7" ht="12" customHeight="1" x14ac:dyDescent="0.2">
      <c r="A44" s="817"/>
      <c r="B44" s="157"/>
      <c r="C44" s="831"/>
      <c r="D44" s="1458" t="s">
        <v>471</v>
      </c>
      <c r="E44" s="1810">
        <f>E41</f>
        <v>11980561</v>
      </c>
      <c r="F44" s="1458" t="s">
        <v>471</v>
      </c>
      <c r="G44" s="1810">
        <f>G41</f>
        <v>10498154</v>
      </c>
    </row>
    <row r="45" spans="1:7" ht="12" customHeight="1" x14ac:dyDescent="0.2">
      <c r="A45" s="817"/>
      <c r="B45" s="157"/>
      <c r="C45" s="157"/>
      <c r="D45" s="1459" t="s">
        <v>999</v>
      </c>
      <c r="E45" s="1811">
        <f>(E43/E44)</f>
        <v>3.4589031348365072E-2</v>
      </c>
      <c r="F45" s="1459" t="s">
        <v>999</v>
      </c>
      <c r="G45" s="1811">
        <f>(G43/G44)</f>
        <v>0.18067966996864401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68" bottom="0.34" header="0.4" footer="0.17"/>
  <pageSetup scale="86"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10" zoomScale="110" zoomScaleNormal="110" workbookViewId="0">
      <selection activeCell="F27" sqref="F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24" t="s">
        <v>1365</v>
      </c>
      <c r="B1" s="2424"/>
      <c r="C1" s="2424"/>
      <c r="D1" s="2424"/>
      <c r="E1" s="2424"/>
      <c r="F1" s="2424"/>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5" t="s">
        <v>1532</v>
      </c>
      <c r="B5" s="2426"/>
      <c r="C5" s="2427"/>
      <c r="D5" s="2427"/>
      <c r="E5" s="2427"/>
      <c r="F5" s="2427"/>
      <c r="G5" s="1507"/>
      <c r="L5" s="1507"/>
      <c r="M5" s="1855"/>
      <c r="N5" s="1855"/>
      <c r="O5" s="1855"/>
    </row>
    <row r="6" spans="1:15" ht="12" customHeight="1" x14ac:dyDescent="0.25">
      <c r="A6" s="1480"/>
      <c r="B6" s="1481"/>
      <c r="C6" s="2428" t="str">
        <f>COVER!A17</f>
        <v>East Peoria CHSD 309</v>
      </c>
      <c r="D6" s="2428"/>
      <c r="E6" s="2428"/>
      <c r="F6" s="1482"/>
      <c r="G6" s="1507"/>
      <c r="L6" s="1507"/>
      <c r="M6" s="1855"/>
      <c r="N6" s="1855"/>
      <c r="O6" s="1855"/>
    </row>
    <row r="7" spans="1:15" ht="11.25" customHeight="1" thickBot="1" x14ac:dyDescent="0.3">
      <c r="A7" s="1480"/>
      <c r="B7" s="1481"/>
      <c r="C7" s="2429">
        <f>COVER!A13</f>
        <v>53090309016</v>
      </c>
      <c r="D7" s="2429"/>
      <c r="E7" s="2429"/>
      <c r="F7" s="1482"/>
      <c r="G7" s="1507"/>
      <c r="L7" s="1507"/>
      <c r="M7" s="1855"/>
      <c r="N7" s="1855"/>
      <c r="O7" s="1855"/>
    </row>
    <row r="8" spans="1:15" ht="25.5" customHeight="1" thickBot="1" x14ac:dyDescent="0.25">
      <c r="A8" s="1519" t="s">
        <v>1874</v>
      </c>
      <c r="B8" s="1483"/>
      <c r="C8" s="1515" t="s">
        <v>1665</v>
      </c>
      <c r="D8" s="1514" t="s">
        <v>1666</v>
      </c>
      <c r="E8" s="1516" t="s">
        <v>1366</v>
      </c>
      <c r="F8" s="1514" t="s">
        <v>1667</v>
      </c>
      <c r="G8" s="1507"/>
      <c r="H8" s="1484" t="b">
        <v>0</v>
      </c>
      <c r="L8" s="1507"/>
      <c r="M8" s="1855"/>
      <c r="N8" s="1855"/>
      <c r="O8" s="1855"/>
    </row>
    <row r="9" spans="1:15" ht="15.75" customHeight="1" x14ac:dyDescent="0.2">
      <c r="A9" s="1485" t="s">
        <v>1528</v>
      </c>
      <c r="B9" s="1486"/>
      <c r="C9" s="1487"/>
      <c r="D9" s="1487"/>
      <c r="E9" s="1488"/>
      <c r="F9" s="1489"/>
      <c r="G9" s="1507"/>
      <c r="L9" s="1507"/>
      <c r="M9" s="1855"/>
      <c r="N9" s="1855"/>
      <c r="O9" s="1855"/>
    </row>
    <row r="10" spans="1:15" ht="27.75" customHeight="1" x14ac:dyDescent="0.2">
      <c r="A10" s="1490" t="s">
        <v>1664</v>
      </c>
      <c r="B10" s="1491"/>
      <c r="C10" s="1492"/>
      <c r="D10" s="1492"/>
      <c r="E10" s="1517" t="s">
        <v>1367</v>
      </c>
      <c r="F10" s="1518" t="s">
        <v>1368</v>
      </c>
      <c r="G10" s="1507"/>
      <c r="L10" s="1507"/>
      <c r="M10" s="1855"/>
      <c r="N10" s="1855"/>
      <c r="O10" s="1855"/>
    </row>
    <row r="11" spans="1:15" ht="12" customHeight="1" x14ac:dyDescent="0.2">
      <c r="A11" s="1493" t="s">
        <v>1369</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1371</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1372</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1373</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1374</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1513</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1514</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1515</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1517</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1518</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1519</v>
      </c>
      <c r="B25" s="1494"/>
      <c r="C25" s="1495" t="s">
        <v>2057</v>
      </c>
      <c r="D25" s="1495" t="s">
        <v>2057</v>
      </c>
      <c r="E25" s="1498"/>
      <c r="F25" s="1497" t="s">
        <v>2079</v>
      </c>
      <c r="G25" s="1507"/>
      <c r="H25" s="1507">
        <f t="shared" si="0"/>
        <v>5</v>
      </c>
      <c r="I25" s="1507">
        <f t="shared" si="1"/>
        <v>5</v>
      </c>
      <c r="J25" s="1507">
        <f t="shared" si="2"/>
        <v>0</v>
      </c>
      <c r="L25" s="1507"/>
      <c r="M25" s="1855"/>
      <c r="N25" s="1855"/>
      <c r="O25" s="1855"/>
    </row>
    <row r="26" spans="1:15" ht="12" customHeight="1" x14ac:dyDescent="0.2">
      <c r="A26" s="1493" t="s">
        <v>1520</v>
      </c>
      <c r="B26" s="1494"/>
      <c r="C26" s="1495" t="s">
        <v>2057</v>
      </c>
      <c r="D26" s="1495" t="s">
        <v>2057</v>
      </c>
      <c r="E26" s="1498"/>
      <c r="F26" s="1497" t="s">
        <v>2080</v>
      </c>
      <c r="G26" s="1507"/>
      <c r="H26" s="1507">
        <f t="shared" si="0"/>
        <v>5</v>
      </c>
      <c r="I26" s="1507">
        <f t="shared" si="1"/>
        <v>5</v>
      </c>
      <c r="J26" s="1507">
        <f t="shared" si="2"/>
        <v>0</v>
      </c>
      <c r="L26" s="1507"/>
      <c r="M26" s="1855"/>
      <c r="N26" s="1855"/>
      <c r="O26" s="1855"/>
    </row>
    <row r="27" spans="1:15" ht="18.75" x14ac:dyDescent="0.2">
      <c r="A27" s="1493" t="s">
        <v>1521</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1522</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1524</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1525</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1526</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55"/>
      <c r="N34" s="1855"/>
      <c r="O34" s="1855"/>
    </row>
    <row r="35" spans="1:15" ht="12" customHeight="1" x14ac:dyDescent="0.2">
      <c r="A35" s="1500" t="s">
        <v>1378</v>
      </c>
      <c r="B35" s="1501"/>
      <c r="C35" s="2430"/>
      <c r="D35" s="2430"/>
      <c r="E35" s="2430"/>
      <c r="F35" s="2431"/>
    </row>
    <row r="36" spans="1:15" ht="12" customHeight="1" x14ac:dyDescent="0.2">
      <c r="A36" s="2413"/>
      <c r="B36" s="2414"/>
      <c r="C36" s="2414"/>
      <c r="D36" s="2414"/>
      <c r="E36" s="2414"/>
      <c r="F36" s="2415"/>
    </row>
    <row r="37" spans="1:15" ht="12" customHeight="1" x14ac:dyDescent="0.2">
      <c r="A37" s="2413"/>
      <c r="B37" s="2414"/>
      <c r="C37" s="2414"/>
      <c r="D37" s="2414"/>
      <c r="E37" s="2414"/>
      <c r="F37" s="2415"/>
    </row>
    <row r="38" spans="1:15" ht="12" customHeight="1" x14ac:dyDescent="0.2">
      <c r="A38" s="2416"/>
      <c r="B38" s="2417"/>
      <c r="C38" s="2417"/>
      <c r="D38" s="2417"/>
      <c r="E38" s="2417"/>
      <c r="F38" s="2418"/>
    </row>
    <row r="39" spans="1:15" ht="4.5" hidden="1" customHeight="1" x14ac:dyDescent="0.2">
      <c r="A39" s="1502"/>
      <c r="B39" s="1502"/>
      <c r="C39" s="1502"/>
      <c r="D39" s="1502"/>
      <c r="E39" s="1502"/>
      <c r="F39" s="1502"/>
    </row>
    <row r="40" spans="1:15" s="1499" customFormat="1" ht="12" customHeight="1" x14ac:dyDescent="0.25">
      <c r="A40" s="1503" t="s">
        <v>1377</v>
      </c>
      <c r="B40" s="1504"/>
      <c r="C40" s="2419"/>
      <c r="D40" s="2419"/>
      <c r="E40" s="2419"/>
      <c r="F40" s="2420"/>
      <c r="H40" s="1508"/>
      <c r="I40" s="1508"/>
      <c r="J40" s="1508"/>
      <c r="K40" s="1508"/>
    </row>
    <row r="41" spans="1:15" s="1499" customFormat="1" ht="12" customHeight="1" x14ac:dyDescent="0.25">
      <c r="A41" s="2421"/>
      <c r="B41" s="2422"/>
      <c r="C41" s="2422"/>
      <c r="D41" s="2422"/>
      <c r="E41" s="2422"/>
      <c r="F41" s="2423"/>
      <c r="H41" s="1508"/>
      <c r="I41" s="1508"/>
      <c r="J41" s="1508"/>
      <c r="K41" s="1508"/>
    </row>
    <row r="42" spans="1:15" s="1499" customFormat="1" ht="12" customHeight="1" x14ac:dyDescent="0.25">
      <c r="A42" s="2421"/>
      <c r="B42" s="2422"/>
      <c r="C42" s="2422"/>
      <c r="D42" s="2422"/>
      <c r="E42" s="2422"/>
      <c r="F42" s="2423"/>
      <c r="H42" s="1508"/>
      <c r="I42" s="1508"/>
      <c r="J42" s="1508"/>
      <c r="K42" s="1508"/>
    </row>
    <row r="43" spans="1:15" s="1499" customFormat="1" ht="15" x14ac:dyDescent="0.25">
      <c r="A43" s="2410"/>
      <c r="B43" s="2411"/>
      <c r="C43" s="2411"/>
      <c r="D43" s="2411"/>
      <c r="E43" s="2411"/>
      <c r="F43" s="2412"/>
      <c r="H43" s="1508"/>
      <c r="I43" s="1508"/>
      <c r="J43" s="1508"/>
      <c r="K43" s="1508"/>
    </row>
    <row r="44" spans="1:15" s="1499" customFormat="1" ht="12" hidden="1" customHeight="1" x14ac:dyDescent="0.25">
      <c r="A44" s="2410"/>
      <c r="B44" s="2411"/>
      <c r="C44" s="2411"/>
      <c r="D44" s="2411"/>
      <c r="E44" s="2411"/>
      <c r="F44" s="241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5"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 zoomScaleNormal="100" workbookViewId="0">
      <selection activeCell="I16" sqref="I16"/>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2002</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50" t="str">
        <f>COVER!A17</f>
        <v>East Peoria CHSD 309</v>
      </c>
      <c r="K6" s="2450"/>
      <c r="L6" s="2464"/>
      <c r="M6" s="838"/>
      <c r="N6" s="1997"/>
    </row>
    <row r="7" spans="1:14" x14ac:dyDescent="0.2">
      <c r="A7" s="2465" t="s">
        <v>864</v>
      </c>
      <c r="B7" s="2466"/>
      <c r="C7" s="2466"/>
      <c r="D7" s="2466"/>
      <c r="E7" s="2467"/>
      <c r="F7" s="839"/>
      <c r="G7" s="838"/>
      <c r="H7" s="838"/>
      <c r="I7" s="1923" t="s">
        <v>369</v>
      </c>
      <c r="J7" s="2452">
        <f>COVER!A13</f>
        <v>53090309016</v>
      </c>
      <c r="K7" s="2452"/>
      <c r="L7" s="2452"/>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2018</v>
      </c>
      <c r="F9" s="1857"/>
      <c r="G9" s="1857"/>
      <c r="H9" s="1857"/>
      <c r="I9" s="1928" t="s">
        <v>2019</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68" t="s">
        <v>478</v>
      </c>
      <c r="B11" s="2469"/>
      <c r="C11" s="2470"/>
      <c r="D11" s="1936" t="s">
        <v>866</v>
      </c>
      <c r="E11" s="1936" t="s">
        <v>64</v>
      </c>
      <c r="F11" s="1936" t="s">
        <v>6</v>
      </c>
      <c r="G11" s="1937" t="s">
        <v>2020</v>
      </c>
      <c r="H11" s="1938" t="s">
        <v>155</v>
      </c>
      <c r="I11" s="1936" t="s">
        <v>64</v>
      </c>
      <c r="J11" s="1936" t="s">
        <v>6</v>
      </c>
      <c r="K11" s="1937" t="s">
        <v>2001</v>
      </c>
      <c r="L11" s="1938" t="s">
        <v>155</v>
      </c>
      <c r="M11" s="838"/>
      <c r="N11" s="1997"/>
    </row>
    <row r="12" spans="1:14" x14ac:dyDescent="0.2">
      <c r="A12" s="2002">
        <v>1</v>
      </c>
      <c r="B12" s="1939" t="s">
        <v>813</v>
      </c>
      <c r="C12" s="842"/>
      <c r="D12" s="1940">
        <v>2320</v>
      </c>
      <c r="E12" s="1943">
        <f>'Expenditures 15-22'!K50</f>
        <v>267550</v>
      </c>
      <c r="F12" s="1941"/>
      <c r="G12" s="1967">
        <f>G68</f>
        <v>0</v>
      </c>
      <c r="H12" s="1943">
        <f t="shared" ref="H12:H18" si="0">SUM(E12:G12)</f>
        <v>267550</v>
      </c>
      <c r="I12" s="1942">
        <v>277611</v>
      </c>
      <c r="J12" s="1941"/>
      <c r="K12" s="1942"/>
      <c r="L12" s="1943">
        <f t="shared" ref="L12:L18" si="1">SUM(I12:K12)</f>
        <v>277611</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1061</v>
      </c>
      <c r="C15" s="842"/>
      <c r="D15" s="1940">
        <v>2510</v>
      </c>
      <c r="E15" s="1943">
        <f>'Expenditures 15-22'!K59</f>
        <v>76940</v>
      </c>
      <c r="F15" s="1943">
        <f>'Expenditures 15-22'!K122</f>
        <v>0</v>
      </c>
      <c r="G15" s="1967">
        <f>J68</f>
        <v>0</v>
      </c>
      <c r="H15" s="1943">
        <f t="shared" si="0"/>
        <v>76940</v>
      </c>
      <c r="I15" s="1942">
        <v>81395</v>
      </c>
      <c r="J15" s="1942"/>
      <c r="K15" s="1942"/>
      <c r="L15" s="1943">
        <f t="shared" si="1"/>
        <v>81395</v>
      </c>
      <c r="M15" s="838"/>
      <c r="N15" s="1997"/>
    </row>
    <row r="16" spans="1:14" x14ac:dyDescent="0.2">
      <c r="A16" s="2002">
        <v>5</v>
      </c>
      <c r="B16" s="1939" t="s">
        <v>101</v>
      </c>
      <c r="C16" s="842"/>
      <c r="D16" s="1940">
        <v>2570</v>
      </c>
      <c r="E16" s="1943">
        <f>'Expenditures 15-22'!K64</f>
        <v>0</v>
      </c>
      <c r="F16" s="1941"/>
      <c r="G16" s="1967">
        <f>K68</f>
        <v>0</v>
      </c>
      <c r="H16" s="1943">
        <f t="shared" si="0"/>
        <v>0</v>
      </c>
      <c r="I16" s="1942"/>
      <c r="J16" s="1941"/>
      <c r="K16" s="1942"/>
      <c r="L16" s="1943">
        <f t="shared" si="1"/>
        <v>0</v>
      </c>
      <c r="M16" s="838"/>
      <c r="N16" s="1997"/>
    </row>
    <row r="17" spans="1:14" x14ac:dyDescent="0.2">
      <c r="A17" s="2002">
        <v>6</v>
      </c>
      <c r="B17" s="1939" t="s">
        <v>1053</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71" t="s">
        <v>7</v>
      </c>
      <c r="C18" s="2472"/>
      <c r="D18" s="2473"/>
      <c r="E18" s="1945"/>
      <c r="F18" s="1945"/>
      <c r="G18" s="1942"/>
      <c r="H18" s="1946">
        <f t="shared" si="0"/>
        <v>0</v>
      </c>
      <c r="I18" s="1942"/>
      <c r="J18" s="1942"/>
      <c r="K18" s="1942"/>
      <c r="L18" s="1943">
        <f t="shared" si="1"/>
        <v>0</v>
      </c>
      <c r="M18" s="838"/>
      <c r="N18" s="1997"/>
    </row>
    <row r="19" spans="1:14" ht="13.5" thickBot="1" x14ac:dyDescent="0.25">
      <c r="A19" s="2002">
        <v>8</v>
      </c>
      <c r="B19" s="1947" t="s">
        <v>1153</v>
      </c>
      <c r="C19" s="838"/>
      <c r="D19" s="1948"/>
      <c r="E19" s="1949">
        <f t="shared" ref="E19:L19" si="2">SUM(E12:E17)-E18</f>
        <v>344490</v>
      </c>
      <c r="F19" s="1949">
        <f t="shared" si="2"/>
        <v>0</v>
      </c>
      <c r="G19" s="1949">
        <f t="shared" ref="G19" si="3">SUM(G12:G17)-G18</f>
        <v>0</v>
      </c>
      <c r="H19" s="1949">
        <f t="shared" si="2"/>
        <v>344490</v>
      </c>
      <c r="I19" s="1949">
        <f t="shared" si="2"/>
        <v>359006</v>
      </c>
      <c r="J19" s="1949">
        <f t="shared" si="2"/>
        <v>0</v>
      </c>
      <c r="K19" s="1949">
        <f t="shared" si="2"/>
        <v>0</v>
      </c>
      <c r="L19" s="1949">
        <f t="shared" si="2"/>
        <v>359006</v>
      </c>
      <c r="M19" s="838"/>
      <c r="N19" s="1997"/>
    </row>
    <row r="20" spans="1:14" ht="13.5" thickTop="1" x14ac:dyDescent="0.2">
      <c r="A20" s="2002">
        <v>9</v>
      </c>
      <c r="B20" s="2474" t="s">
        <v>2021</v>
      </c>
      <c r="C20" s="2474"/>
      <c r="D20" s="2475"/>
      <c r="E20" s="1950"/>
      <c r="F20" s="1950"/>
      <c r="G20" s="1950"/>
      <c r="H20" s="1950"/>
      <c r="I20" s="1950"/>
      <c r="J20" s="1950"/>
      <c r="K20" s="1950"/>
      <c r="L20" s="1951">
        <f>IF(AND(H19&gt;0,L19&gt;0),(((L19-H19)/H19)),"Enter Budget Data")</f>
        <v>4.2137652762054049E-2</v>
      </c>
      <c r="M20" s="838"/>
      <c r="N20" s="1997"/>
    </row>
    <row r="21" spans="1:14" x14ac:dyDescent="0.2">
      <c r="A21" s="2004" t="s">
        <v>194</v>
      </c>
      <c r="B21" s="2005" t="s">
        <v>2046</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2022</v>
      </c>
      <c r="B24" s="2009"/>
      <c r="C24" s="2010"/>
      <c r="D24" s="2010"/>
      <c r="E24" s="2010"/>
      <c r="F24" s="2010"/>
      <c r="G24" s="2010"/>
      <c r="H24" s="2010"/>
      <c r="I24" s="2010"/>
      <c r="J24" s="2010"/>
      <c r="K24" s="2010"/>
      <c r="L24" s="838"/>
      <c r="M24" s="838"/>
      <c r="N24" s="1997"/>
    </row>
    <row r="25" spans="1:14" x14ac:dyDescent="0.2">
      <c r="A25" s="2008" t="s">
        <v>2023</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76"/>
      <c r="D27" s="2476"/>
      <c r="E27" s="843"/>
      <c r="F27" s="2477"/>
      <c r="G27" s="2477"/>
      <c r="H27" s="2477"/>
      <c r="I27" s="838"/>
      <c r="J27" s="838"/>
      <c r="K27" s="838"/>
      <c r="L27" s="838"/>
      <c r="M27" s="838"/>
      <c r="N27" s="1997"/>
    </row>
    <row r="28" spans="1:14" x14ac:dyDescent="0.2">
      <c r="A28" s="1996"/>
      <c r="B28" s="2006"/>
      <c r="C28" s="1956" t="s">
        <v>1026</v>
      </c>
      <c r="D28" s="844"/>
      <c r="E28" s="1957"/>
      <c r="F28" s="2478" t="s">
        <v>1495</v>
      </c>
      <c r="G28" s="2478"/>
      <c r="H28" s="2478"/>
      <c r="I28" s="838"/>
      <c r="J28" s="838"/>
      <c r="K28" s="838"/>
      <c r="L28" s="838"/>
      <c r="M28" s="838"/>
      <c r="N28" s="1997"/>
    </row>
    <row r="29" spans="1:14" x14ac:dyDescent="0.2">
      <c r="A29" s="1996"/>
      <c r="B29" s="2006"/>
      <c r="C29" s="2479"/>
      <c r="D29" s="2479"/>
      <c r="E29" s="845"/>
      <c r="F29" s="2479"/>
      <c r="G29" s="2479"/>
      <c r="H29" s="2479"/>
      <c r="I29" s="838"/>
      <c r="J29" s="838"/>
      <c r="K29" s="838"/>
      <c r="L29" s="838"/>
      <c r="M29" s="838"/>
      <c r="N29" s="1997"/>
    </row>
    <row r="30" spans="1:14" x14ac:dyDescent="0.2">
      <c r="A30" s="1996"/>
      <c r="B30" s="2006"/>
      <c r="C30" s="1959" t="s">
        <v>1547</v>
      </c>
      <c r="D30" s="838"/>
      <c r="E30" s="1958"/>
      <c r="F30" s="2463" t="s">
        <v>1496</v>
      </c>
      <c r="G30" s="2463"/>
      <c r="H30" s="2463"/>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40" t="s">
        <v>2024</v>
      </c>
      <c r="D34" s="2441"/>
      <c r="E34" s="2441"/>
      <c r="F34" s="2441"/>
      <c r="G34" s="2441"/>
      <c r="H34" s="2441"/>
      <c r="I34" s="2441"/>
      <c r="J34" s="2441"/>
      <c r="K34" s="2015"/>
      <c r="L34" s="838"/>
      <c r="M34" s="838"/>
      <c r="N34" s="1997"/>
    </row>
    <row r="35" spans="1:14" x14ac:dyDescent="0.2">
      <c r="A35" s="1996"/>
      <c r="B35" s="838"/>
      <c r="C35" s="2441"/>
      <c r="D35" s="2441"/>
      <c r="E35" s="2441"/>
      <c r="F35" s="2441"/>
      <c r="G35" s="2441"/>
      <c r="H35" s="2441"/>
      <c r="I35" s="2441"/>
      <c r="J35" s="2441"/>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40" t="s">
        <v>2025</v>
      </c>
      <c r="D37" s="2441"/>
      <c r="E37" s="2441"/>
      <c r="F37" s="2441"/>
      <c r="G37" s="2441"/>
      <c r="H37" s="2441"/>
      <c r="I37" s="2441"/>
      <c r="J37" s="2441"/>
      <c r="K37" s="2015"/>
      <c r="L37" s="2017"/>
      <c r="M37" s="838"/>
      <c r="N37" s="1997"/>
    </row>
    <row r="38" spans="1:14" x14ac:dyDescent="0.2">
      <c r="A38" s="1996"/>
      <c r="B38" s="838"/>
      <c r="C38" s="2441"/>
      <c r="D38" s="2441"/>
      <c r="E38" s="2441"/>
      <c r="F38" s="2441"/>
      <c r="G38" s="2441"/>
      <c r="H38" s="2441"/>
      <c r="I38" s="2441"/>
      <c r="J38" s="2441"/>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42" t="s">
        <v>2026</v>
      </c>
      <c r="D40" s="2443"/>
      <c r="E40" s="2443"/>
      <c r="F40" s="2443"/>
      <c r="G40" s="2443"/>
      <c r="H40" s="2443"/>
      <c r="I40" s="2443"/>
      <c r="J40" s="2443"/>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50" t="str">
        <f>J6</f>
        <v>East Peoria CHSD 309</v>
      </c>
      <c r="M52" s="2450"/>
      <c r="N52" s="2451"/>
    </row>
    <row r="53" spans="1:14" x14ac:dyDescent="0.2">
      <c r="A53" s="1981"/>
      <c r="B53" s="1982"/>
      <c r="C53" s="1982"/>
      <c r="D53" s="1982"/>
      <c r="E53" s="1982"/>
      <c r="F53" s="1982"/>
      <c r="G53" s="1982"/>
      <c r="H53" s="1982"/>
      <c r="I53" s="1982"/>
      <c r="J53" s="1982"/>
      <c r="K53" s="1923" t="s">
        <v>369</v>
      </c>
      <c r="L53" s="2452">
        <f>J7</f>
        <v>53090309016</v>
      </c>
      <c r="M53" s="2452"/>
      <c r="N53" s="2453"/>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54"/>
      <c r="B55" s="2455"/>
      <c r="C55" s="2455"/>
      <c r="D55" s="1969"/>
      <c r="E55" s="1969"/>
      <c r="F55" s="1969"/>
      <c r="G55" s="2456" t="s">
        <v>2030</v>
      </c>
      <c r="H55" s="2456"/>
      <c r="I55" s="2456"/>
      <c r="J55" s="2456"/>
      <c r="K55" s="2456"/>
      <c r="L55" s="2456"/>
      <c r="M55" s="2456"/>
      <c r="N55" s="2457"/>
    </row>
    <row r="56" spans="1:14" ht="63.75" x14ac:dyDescent="0.2">
      <c r="A56" s="2458" t="s">
        <v>2031</v>
      </c>
      <c r="B56" s="2459"/>
      <c r="C56" s="2460"/>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61" t="s">
        <v>296</v>
      </c>
      <c r="B57" s="2462"/>
      <c r="C57" s="2462"/>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38" t="s">
        <v>2041</v>
      </c>
      <c r="B58" s="2439"/>
      <c r="C58" s="2439"/>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x14ac:dyDescent="0.2">
      <c r="A59" s="2432" t="s">
        <v>297</v>
      </c>
      <c r="B59" s="2433"/>
      <c r="C59" s="2433"/>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32" t="s">
        <v>236</v>
      </c>
      <c r="B60" s="2433"/>
      <c r="C60" s="2433"/>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432" t="s">
        <v>697</v>
      </c>
      <c r="B61" s="2433"/>
      <c r="C61" s="2433"/>
      <c r="D61" s="1966">
        <v>2365</v>
      </c>
      <c r="E61" s="1976">
        <f>'Expenditures 15-22'!K323</f>
        <v>0</v>
      </c>
      <c r="F61" s="1971"/>
      <c r="G61" s="2030"/>
      <c r="H61" s="2031"/>
      <c r="I61" s="2031"/>
      <c r="J61" s="2031"/>
      <c r="K61" s="2031"/>
      <c r="L61" s="2031"/>
      <c r="M61" s="2031"/>
      <c r="N61" s="1974">
        <f t="shared" si="4"/>
        <v>0</v>
      </c>
    </row>
    <row r="62" spans="1:14" ht="24" customHeight="1" x14ac:dyDescent="0.2">
      <c r="A62" s="2432" t="s">
        <v>237</v>
      </c>
      <c r="B62" s="2433"/>
      <c r="C62" s="2433"/>
      <c r="D62" s="1966">
        <v>2366</v>
      </c>
      <c r="E62" s="1976">
        <f>'Expenditures 15-22'!K324</f>
        <v>0</v>
      </c>
      <c r="F62" s="1971"/>
      <c r="G62" s="2030"/>
      <c r="H62" s="2031"/>
      <c r="I62" s="2031"/>
      <c r="J62" s="2031"/>
      <c r="K62" s="2031"/>
      <c r="L62" s="2031"/>
      <c r="M62" s="2031"/>
      <c r="N62" s="1974">
        <f t="shared" si="4"/>
        <v>0</v>
      </c>
    </row>
    <row r="63" spans="1:14" ht="24" customHeight="1" x14ac:dyDescent="0.2">
      <c r="A63" s="2438" t="s">
        <v>1022</v>
      </c>
      <c r="B63" s="2439"/>
      <c r="C63" s="2439"/>
      <c r="D63" s="1966">
        <v>2367</v>
      </c>
      <c r="E63" s="1976">
        <f>'Expenditures 15-22'!K325</f>
        <v>0</v>
      </c>
      <c r="F63" s="1971"/>
      <c r="G63" s="2030"/>
      <c r="H63" s="2031"/>
      <c r="I63" s="2031"/>
      <c r="J63" s="2031"/>
      <c r="K63" s="2031"/>
      <c r="L63" s="2031"/>
      <c r="M63" s="2031"/>
      <c r="N63" s="1974">
        <f t="shared" si="4"/>
        <v>0</v>
      </c>
    </row>
    <row r="64" spans="1:14" ht="24" customHeight="1" x14ac:dyDescent="0.2">
      <c r="A64" s="2432" t="s">
        <v>1023</v>
      </c>
      <c r="B64" s="2433"/>
      <c r="C64" s="2433"/>
      <c r="D64" s="1966">
        <v>2368</v>
      </c>
      <c r="E64" s="1976">
        <f>'Expenditures 15-22'!K326</f>
        <v>0</v>
      </c>
      <c r="F64" s="1971"/>
      <c r="G64" s="2030"/>
      <c r="H64" s="2031"/>
      <c r="I64" s="2031"/>
      <c r="J64" s="2031"/>
      <c r="K64" s="2031"/>
      <c r="L64" s="2031"/>
      <c r="M64" s="2031"/>
      <c r="N64" s="1974">
        <f t="shared" si="4"/>
        <v>0</v>
      </c>
    </row>
    <row r="65" spans="1:14" ht="24" customHeight="1" x14ac:dyDescent="0.2">
      <c r="A65" s="2432" t="s">
        <v>965</v>
      </c>
      <c r="B65" s="2433"/>
      <c r="C65" s="2433"/>
      <c r="D65" s="1966">
        <v>2369</v>
      </c>
      <c r="E65" s="1976">
        <f>'Expenditures 15-22'!K327</f>
        <v>0</v>
      </c>
      <c r="F65" s="1971"/>
      <c r="G65" s="2030"/>
      <c r="H65" s="2031"/>
      <c r="I65" s="2031"/>
      <c r="J65" s="2031"/>
      <c r="K65" s="2031"/>
      <c r="L65" s="2031"/>
      <c r="M65" s="2031"/>
      <c r="N65" s="1974">
        <f t="shared" si="4"/>
        <v>0</v>
      </c>
    </row>
    <row r="66" spans="1:14" ht="24" customHeight="1" x14ac:dyDescent="0.2">
      <c r="A66" s="2432" t="s">
        <v>469</v>
      </c>
      <c r="B66" s="2433"/>
      <c r="C66" s="2433"/>
      <c r="D66" s="1966">
        <v>2371</v>
      </c>
      <c r="E66" s="1976">
        <f>'Expenditures 15-22'!K328</f>
        <v>0</v>
      </c>
      <c r="F66" s="1971"/>
      <c r="G66" s="2030"/>
      <c r="H66" s="2031"/>
      <c r="I66" s="2031"/>
      <c r="J66" s="2031"/>
      <c r="K66" s="2031"/>
      <c r="L66" s="2031"/>
      <c r="M66" s="2031"/>
      <c r="N66" s="1974">
        <f t="shared" si="4"/>
        <v>0</v>
      </c>
    </row>
    <row r="67" spans="1:14" ht="24.75" customHeight="1" x14ac:dyDescent="0.2">
      <c r="A67" s="2434" t="s">
        <v>2042</v>
      </c>
      <c r="B67" s="2435"/>
      <c r="C67" s="2435"/>
      <c r="D67" s="1968">
        <v>2372</v>
      </c>
      <c r="E67" s="1977">
        <f>'Expenditures 15-22'!K329</f>
        <v>0</v>
      </c>
      <c r="F67" s="1971"/>
      <c r="G67" s="2032"/>
      <c r="H67" s="2033"/>
      <c r="I67" s="2033"/>
      <c r="J67" s="2033"/>
      <c r="K67" s="2033"/>
      <c r="L67" s="2033"/>
      <c r="M67" s="2033"/>
      <c r="N67" s="1974">
        <f t="shared" si="4"/>
        <v>0</v>
      </c>
    </row>
    <row r="68" spans="1:14" x14ac:dyDescent="0.2">
      <c r="A68" s="2436" t="s">
        <v>1153</v>
      </c>
      <c r="B68" s="2437"/>
      <c r="C68" s="2437"/>
      <c r="D68" s="1969"/>
      <c r="E68" s="1973">
        <f>SUM(E57:E67)</f>
        <v>0</v>
      </c>
      <c r="F68" s="1972"/>
      <c r="G68" s="1973">
        <f t="shared" ref="G68:N68" si="5">SUM(G57:G67)</f>
        <v>0</v>
      </c>
      <c r="H68" s="1973">
        <f t="shared" si="5"/>
        <v>0</v>
      </c>
      <c r="I68" s="1973">
        <f t="shared" si="5"/>
        <v>0</v>
      </c>
      <c r="J68" s="1973">
        <f t="shared" si="5"/>
        <v>0</v>
      </c>
      <c r="K68" s="1973">
        <f t="shared" si="5"/>
        <v>0</v>
      </c>
      <c r="L68" s="1973">
        <f t="shared" si="5"/>
        <v>0</v>
      </c>
      <c r="M68" s="1973">
        <f t="shared" si="5"/>
        <v>0</v>
      </c>
      <c r="N68" s="1987">
        <f t="shared" si="5"/>
        <v>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7" bottom="0.5" header="0.4"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5"/>
  <sheetViews>
    <sheetView showGridLines="0" topLeftCell="A19" zoomScale="110" zoomScaleNormal="110" workbookViewId="0">
      <selection activeCell="D34" sqref="D34"/>
    </sheetView>
  </sheetViews>
  <sheetFormatPr defaultRowHeight="12.75" x14ac:dyDescent="0.2"/>
  <cols>
    <col min="1" max="1" width="6.85546875" style="307" customWidth="1"/>
    <col min="2" max="2" width="109.140625" style="307" customWidth="1"/>
    <col min="3" max="3" width="3.140625" style="307" customWidth="1"/>
    <col min="4" max="4" width="10" style="2036" bestFit="1" customWidth="1"/>
    <col min="5" max="16384" width="9.140625" style="307"/>
  </cols>
  <sheetData>
    <row r="2" spans="1:4" x14ac:dyDescent="0.2">
      <c r="A2" s="366" t="s">
        <v>256</v>
      </c>
    </row>
    <row r="3" spans="1:4" x14ac:dyDescent="0.2">
      <c r="A3" s="307" t="s">
        <v>257</v>
      </c>
    </row>
    <row r="5" spans="1:4" x14ac:dyDescent="0.2">
      <c r="A5" s="848" t="s">
        <v>2081</v>
      </c>
      <c r="B5" s="307" t="s">
        <v>2082</v>
      </c>
    </row>
    <row r="6" spans="1:4" x14ac:dyDescent="0.2">
      <c r="A6" s="847"/>
      <c r="B6" s="307" t="s">
        <v>2083</v>
      </c>
      <c r="C6" s="307" t="s">
        <v>952</v>
      </c>
      <c r="D6" s="2036">
        <v>15521</v>
      </c>
    </row>
    <row r="7" spans="1:4" x14ac:dyDescent="0.2">
      <c r="A7" s="847"/>
    </row>
    <row r="8" spans="1:4" x14ac:dyDescent="0.2">
      <c r="A8" s="847"/>
      <c r="B8" s="307" t="s">
        <v>2084</v>
      </c>
    </row>
    <row r="9" spans="1:4" x14ac:dyDescent="0.2">
      <c r="A9" s="848"/>
      <c r="B9" s="307" t="s">
        <v>2085</v>
      </c>
      <c r="C9" s="307" t="s">
        <v>952</v>
      </c>
      <c r="D9" s="2036">
        <v>2870</v>
      </c>
    </row>
    <row r="10" spans="1:4" x14ac:dyDescent="0.2">
      <c r="A10" s="848"/>
    </row>
    <row r="11" spans="1:4" x14ac:dyDescent="0.2">
      <c r="A11" s="848"/>
      <c r="B11" s="307" t="s">
        <v>2086</v>
      </c>
    </row>
    <row r="12" spans="1:4" x14ac:dyDescent="0.2">
      <c r="A12" s="848"/>
      <c r="B12" s="307" t="s">
        <v>2087</v>
      </c>
      <c r="C12" s="307" t="s">
        <v>952</v>
      </c>
      <c r="D12" s="2036">
        <v>4825</v>
      </c>
    </row>
    <row r="13" spans="1:4" x14ac:dyDescent="0.2">
      <c r="A13" s="848"/>
      <c r="B13" s="307" t="s">
        <v>2088</v>
      </c>
      <c r="D13" s="2036">
        <v>25492</v>
      </c>
    </row>
    <row r="14" spans="1:4" x14ac:dyDescent="0.2">
      <c r="A14" s="848"/>
      <c r="B14" s="307" t="s">
        <v>2089</v>
      </c>
      <c r="D14" s="2036">
        <v>4860</v>
      </c>
    </row>
    <row r="15" spans="1:4" ht="13.5" thickBot="1" x14ac:dyDescent="0.25">
      <c r="A15" s="848"/>
      <c r="C15" s="307" t="s">
        <v>952</v>
      </c>
      <c r="D15" s="2037">
        <f>SUM(D12:D14)</f>
        <v>35177</v>
      </c>
    </row>
    <row r="16" spans="1:4" ht="13.5" thickTop="1" x14ac:dyDescent="0.2">
      <c r="A16" s="848"/>
    </row>
    <row r="17" spans="1:4" x14ac:dyDescent="0.2">
      <c r="A17" s="848"/>
      <c r="B17" s="307" t="s">
        <v>2090</v>
      </c>
    </row>
    <row r="18" spans="1:4" x14ac:dyDescent="0.2">
      <c r="A18" s="848"/>
      <c r="B18" s="307" t="s">
        <v>2091</v>
      </c>
      <c r="C18" s="307" t="s">
        <v>952</v>
      </c>
      <c r="D18" s="2036">
        <v>140</v>
      </c>
    </row>
    <row r="19" spans="1:4" x14ac:dyDescent="0.2">
      <c r="A19" s="848"/>
    </row>
    <row r="20" spans="1:4" x14ac:dyDescent="0.2">
      <c r="A20" s="848" t="s">
        <v>2092</v>
      </c>
      <c r="B20" s="307" t="s">
        <v>2093</v>
      </c>
    </row>
    <row r="21" spans="1:4" x14ac:dyDescent="0.2">
      <c r="A21" s="848"/>
      <c r="B21" s="307" t="s">
        <v>2094</v>
      </c>
      <c r="C21" s="307" t="s">
        <v>952</v>
      </c>
      <c r="D21" s="2036">
        <v>5499</v>
      </c>
    </row>
    <row r="22" spans="1:4" x14ac:dyDescent="0.2">
      <c r="A22" s="848"/>
    </row>
    <row r="23" spans="1:4" x14ac:dyDescent="0.2">
      <c r="A23" s="848"/>
      <c r="B23" s="307" t="s">
        <v>2095</v>
      </c>
    </row>
    <row r="24" spans="1:4" x14ac:dyDescent="0.2">
      <c r="A24" s="848"/>
      <c r="B24" s="307" t="s">
        <v>2096</v>
      </c>
      <c r="C24" s="307" t="s">
        <v>952</v>
      </c>
      <c r="D24" s="2036">
        <v>6018</v>
      </c>
    </row>
    <row r="25" spans="1:4" x14ac:dyDescent="0.2">
      <c r="A25" s="848"/>
      <c r="B25" s="307" t="s">
        <v>2097</v>
      </c>
      <c r="D25" s="2036">
        <v>2977</v>
      </c>
    </row>
    <row r="26" spans="1:4" x14ac:dyDescent="0.2">
      <c r="A26" s="848"/>
      <c r="B26" s="307" t="s">
        <v>2098</v>
      </c>
      <c r="D26" s="2036">
        <v>10210</v>
      </c>
    </row>
    <row r="27" spans="1:4" x14ac:dyDescent="0.2">
      <c r="A27" s="848"/>
      <c r="B27" s="307" t="s">
        <v>2099</v>
      </c>
      <c r="D27" s="2036">
        <v>7417</v>
      </c>
    </row>
    <row r="28" spans="1:4" ht="13.5" thickBot="1" x14ac:dyDescent="0.25">
      <c r="A28" s="848"/>
      <c r="C28" s="307" t="s">
        <v>952</v>
      </c>
      <c r="D28" s="2037">
        <f>SUM(D24:D27)</f>
        <v>26622</v>
      </c>
    </row>
    <row r="29" spans="1:4" ht="13.5" thickTop="1" x14ac:dyDescent="0.2">
      <c r="A29" s="848"/>
    </row>
    <row r="30" spans="1:4" x14ac:dyDescent="0.2">
      <c r="A30" s="848"/>
      <c r="B30" s="307" t="s">
        <v>2100</v>
      </c>
    </row>
    <row r="31" spans="1:4" x14ac:dyDescent="0.2">
      <c r="A31" s="848"/>
      <c r="B31" s="307" t="s">
        <v>2101</v>
      </c>
      <c r="C31" s="307" t="s">
        <v>952</v>
      </c>
      <c r="D31" s="2036">
        <v>3397</v>
      </c>
    </row>
    <row r="32" spans="1:4" x14ac:dyDescent="0.2">
      <c r="A32" s="848"/>
      <c r="B32" s="307" t="s">
        <v>2102</v>
      </c>
      <c r="D32" s="2036">
        <v>31738</v>
      </c>
    </row>
    <row r="33" spans="1:4" x14ac:dyDescent="0.2">
      <c r="A33" s="848"/>
      <c r="B33" s="307" t="s">
        <v>2099</v>
      </c>
      <c r="D33" s="2036">
        <v>17195</v>
      </c>
    </row>
    <row r="34" spans="1:4" ht="13.5" thickBot="1" x14ac:dyDescent="0.25">
      <c r="A34" s="848"/>
      <c r="C34" s="307" t="s">
        <v>952</v>
      </c>
      <c r="D34" s="2037">
        <f>SUM(D31:D33)</f>
        <v>52330</v>
      </c>
    </row>
    <row r="35" spans="1:4" ht="13.5" thickTop="1" x14ac:dyDescent="0.2">
      <c r="A35" s="848"/>
    </row>
    <row r="36" spans="1:4" x14ac:dyDescent="0.2">
      <c r="A36" s="848"/>
      <c r="B36" s="307" t="s">
        <v>2103</v>
      </c>
    </row>
    <row r="37" spans="1:4" x14ac:dyDescent="0.2">
      <c r="A37" s="848"/>
      <c r="B37" s="307" t="s">
        <v>2104</v>
      </c>
      <c r="C37" s="307" t="s">
        <v>952</v>
      </c>
      <c r="D37" s="2036">
        <v>420252</v>
      </c>
    </row>
    <row r="38" spans="1:4" x14ac:dyDescent="0.2">
      <c r="A38" s="848"/>
    </row>
    <row r="39" spans="1:4" x14ac:dyDescent="0.2">
      <c r="A39" s="848"/>
      <c r="B39" s="307" t="s">
        <v>2105</v>
      </c>
    </row>
    <row r="40" spans="1:4" x14ac:dyDescent="0.2">
      <c r="A40" s="848"/>
      <c r="B40" s="307" t="s">
        <v>2106</v>
      </c>
      <c r="C40" s="307" t="s">
        <v>952</v>
      </c>
      <c r="D40" s="2036">
        <v>18593</v>
      </c>
    </row>
    <row r="41" spans="1:4" x14ac:dyDescent="0.2">
      <c r="A41" s="848"/>
    </row>
    <row r="42" spans="1:4" x14ac:dyDescent="0.2">
      <c r="A42" s="848"/>
      <c r="B42" s="307" t="s">
        <v>2107</v>
      </c>
    </row>
    <row r="43" spans="1:4" x14ac:dyDescent="0.2">
      <c r="A43" s="848"/>
      <c r="B43" s="307" t="s">
        <v>2104</v>
      </c>
      <c r="C43" s="307" t="s">
        <v>952</v>
      </c>
      <c r="D43" s="2036">
        <v>30000</v>
      </c>
    </row>
    <row r="44" spans="1:4" x14ac:dyDescent="0.2">
      <c r="A44" s="848"/>
    </row>
    <row r="45" spans="1:4" x14ac:dyDescent="0.2">
      <c r="A45" s="848" t="s">
        <v>2108</v>
      </c>
      <c r="B45" s="307" t="s">
        <v>2109</v>
      </c>
    </row>
    <row r="46" spans="1:4" x14ac:dyDescent="0.2">
      <c r="A46" s="848"/>
      <c r="B46" s="307" t="s">
        <v>2110</v>
      </c>
      <c r="C46" s="307" t="s">
        <v>952</v>
      </c>
      <c r="D46" s="2036">
        <v>1400</v>
      </c>
    </row>
    <row r="47" spans="1:4" x14ac:dyDescent="0.2">
      <c r="A47" s="848"/>
    </row>
    <row r="48" spans="1:4" x14ac:dyDescent="0.2">
      <c r="A48" s="848" t="s">
        <v>2111</v>
      </c>
      <c r="B48" s="307" t="s">
        <v>2112</v>
      </c>
      <c r="C48" s="307" t="s">
        <v>952</v>
      </c>
      <c r="D48" s="2036">
        <v>-83724</v>
      </c>
    </row>
    <row r="49" spans="1:4" x14ac:dyDescent="0.2">
      <c r="A49" s="848"/>
    </row>
    <row r="50" spans="1:4" x14ac:dyDescent="0.2">
      <c r="A50" s="848" t="s">
        <v>2111</v>
      </c>
      <c r="B50" s="307" t="s">
        <v>2113</v>
      </c>
      <c r="C50" s="307" t="s">
        <v>952</v>
      </c>
      <c r="D50" s="2036">
        <v>1076361</v>
      </c>
    </row>
    <row r="51" spans="1:4" x14ac:dyDescent="0.2">
      <c r="A51" s="848"/>
      <c r="B51" s="307" t="s">
        <v>2114</v>
      </c>
      <c r="D51" s="2036">
        <v>-183266</v>
      </c>
    </row>
    <row r="52" spans="1:4" x14ac:dyDescent="0.2">
      <c r="A52" s="848"/>
      <c r="B52" s="307" t="s">
        <v>2115</v>
      </c>
      <c r="D52" s="2036">
        <v>-22651</v>
      </c>
    </row>
    <row r="53" spans="1:4" x14ac:dyDescent="0.2">
      <c r="A53" s="848"/>
      <c r="B53" s="307" t="s">
        <v>2116</v>
      </c>
      <c r="D53" s="2036">
        <v>-87550</v>
      </c>
    </row>
    <row r="54" spans="1:4" x14ac:dyDescent="0.2">
      <c r="A54" s="848"/>
      <c r="B54" s="307" t="s">
        <v>2117</v>
      </c>
      <c r="D54" s="2036">
        <v>-133893</v>
      </c>
    </row>
    <row r="55" spans="1:4" ht="13.5" thickBot="1" x14ac:dyDescent="0.25">
      <c r="A55" s="848"/>
      <c r="B55" s="307" t="s">
        <v>2118</v>
      </c>
      <c r="C55" s="307" t="s">
        <v>952</v>
      </c>
      <c r="D55" s="2037">
        <f>SUM(D50:D54)</f>
        <v>649001</v>
      </c>
    </row>
    <row r="56" spans="1:4" ht="13.5" thickTop="1" x14ac:dyDescent="0.2">
      <c r="A56" s="848"/>
    </row>
    <row r="57" spans="1:4" x14ac:dyDescent="0.2">
      <c r="A57" s="848"/>
    </row>
    <row r="58" spans="1:4" x14ac:dyDescent="0.2">
      <c r="A58" s="848"/>
    </row>
    <row r="59" spans="1:4" x14ac:dyDescent="0.2">
      <c r="A59" s="848"/>
    </row>
    <row r="60" spans="1:4" x14ac:dyDescent="0.2">
      <c r="A60" s="848"/>
    </row>
    <row r="61" spans="1:4" x14ac:dyDescent="0.2">
      <c r="A61" s="848"/>
    </row>
    <row r="62" spans="1:4" x14ac:dyDescent="0.2">
      <c r="A62" s="848"/>
    </row>
    <row r="63" spans="1:4" x14ac:dyDescent="0.2">
      <c r="A63" s="848"/>
    </row>
    <row r="64" spans="1:4" x14ac:dyDescent="0.2">
      <c r="A64" s="848"/>
      <c r="B64" s="253" t="str">
        <f>COVER!A17</f>
        <v>East Peoria CHSD 309</v>
      </c>
    </row>
    <row r="65" spans="2:2" x14ac:dyDescent="0.2">
      <c r="B65" s="849">
        <f>COVER!A13</f>
        <v>53090309016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5" sqref="B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470" t="s">
        <v>1597</v>
      </c>
    </row>
    <row r="23" spans="1:5" x14ac:dyDescent="0.2">
      <c r="A23" s="163"/>
      <c r="B23" s="157" t="s">
        <v>1828</v>
      </c>
      <c r="D23" s="162" t="s">
        <v>632</v>
      </c>
      <c r="E23" s="1470"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66" t="s">
        <v>1058</v>
      </c>
      <c r="B35" s="2166"/>
      <c r="C35" s="2166"/>
      <c r="D35" s="2166"/>
      <c r="E35" s="216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3" t="s">
        <v>686</v>
      </c>
      <c r="B40" s="2163"/>
      <c r="C40" s="2163"/>
      <c r="D40" s="2163"/>
      <c r="E40" s="2163"/>
    </row>
    <row r="41" spans="1:5" x14ac:dyDescent="0.2">
      <c r="A41" s="2164" t="s">
        <v>1594</v>
      </c>
      <c r="B41" s="2164"/>
      <c r="C41" s="2164"/>
      <c r="D41" s="2164"/>
      <c r="E41" s="2164"/>
    </row>
    <row r="42" spans="1:5" ht="12.75" customHeight="1" x14ac:dyDescent="0.2">
      <c r="A42" s="2165" t="s">
        <v>1015</v>
      </c>
      <c r="B42" s="2165"/>
      <c r="C42" s="2165"/>
      <c r="D42" s="2165"/>
      <c r="E42" s="2165"/>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80" t="s">
        <v>1668</v>
      </c>
      <c r="B18" s="2480"/>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47625</xdr:colOff>
                <xdr:row>0</xdr:row>
                <xdr:rowOff>47625</xdr:rowOff>
              </from>
              <to>
                <xdr:col>1</xdr:col>
                <xdr:colOff>1000125</xdr:colOff>
                <xdr:row>5</xdr:row>
                <xdr:rowOff>47625</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38100</xdr:colOff>
                <xdr:row>5</xdr:row>
                <xdr:rowOff>76200</xdr:rowOff>
              </from>
              <to>
                <xdr:col>1</xdr:col>
                <xdr:colOff>990600</xdr:colOff>
                <xdr:row>10</xdr:row>
                <xdr:rowOff>76200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1" t="s">
        <v>1672</v>
      </c>
      <c r="B1" s="2482"/>
      <c r="C1" s="2482"/>
      <c r="D1" s="2482"/>
      <c r="E1" s="2482"/>
      <c r="F1" s="2483"/>
    </row>
    <row r="2" spans="1:8" ht="45" customHeight="1" x14ac:dyDescent="0.2">
      <c r="A2" s="249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2"/>
      <c r="C2" s="2492"/>
      <c r="D2" s="2492"/>
      <c r="E2" s="2492"/>
      <c r="F2" s="2493"/>
      <c r="G2" s="853"/>
      <c r="H2" s="853"/>
    </row>
    <row r="3" spans="1:8" ht="57" customHeight="1" x14ac:dyDescent="0.2">
      <c r="A3" s="2494" t="s">
        <v>1972</v>
      </c>
      <c r="B3" s="2495"/>
      <c r="C3" s="2495"/>
      <c r="D3" s="2495"/>
      <c r="E3" s="2495"/>
      <c r="F3" s="2496"/>
      <c r="G3" s="853"/>
      <c r="H3" s="853"/>
    </row>
    <row r="4" spans="1:8" ht="14.25" customHeight="1" x14ac:dyDescent="0.2">
      <c r="A4" s="250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1"/>
      <c r="C4" s="2501"/>
      <c r="D4" s="2501"/>
      <c r="E4" s="2501"/>
      <c r="F4" s="2502"/>
      <c r="G4" s="853"/>
      <c r="H4" s="853"/>
    </row>
    <row r="5" spans="1:8" ht="14.25" customHeight="1" x14ac:dyDescent="0.2">
      <c r="A5" s="250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4"/>
      <c r="C5" s="2504"/>
      <c r="D5" s="2504"/>
      <c r="E5" s="2504"/>
      <c r="F5" s="2505"/>
      <c r="G5" s="853"/>
      <c r="H5" s="853"/>
    </row>
    <row r="6" spans="1:8" s="854" customFormat="1" ht="41.25" customHeight="1" x14ac:dyDescent="0.2">
      <c r="A6" s="2497" t="s">
        <v>1673</v>
      </c>
      <c r="B6" s="2498"/>
      <c r="C6" s="2498"/>
      <c r="D6" s="2498"/>
      <c r="E6" s="2498"/>
      <c r="F6" s="2499"/>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3">
        <f>'Acct Summary 7-8'!C8</f>
        <v>10628607</v>
      </c>
      <c r="C8" s="1813">
        <f>'Acct Summary 7-8'!D8</f>
        <v>1994875</v>
      </c>
      <c r="D8" s="1813">
        <f>'Acct Summary 7-8'!F8</f>
        <v>1329380</v>
      </c>
      <c r="E8" s="1813">
        <f>'Acct Summary 7-8'!I8</f>
        <v>233173</v>
      </c>
      <c r="F8" s="1813">
        <f>SUM(B8:E8)</f>
        <v>14186035</v>
      </c>
    </row>
    <row r="9" spans="1:8" s="858" customFormat="1" ht="14.25" customHeight="1" thickBot="1" x14ac:dyDescent="0.25">
      <c r="A9" s="857" t="s">
        <v>1355</v>
      </c>
      <c r="B9" s="1814">
        <f>'Acct Summary 7-8'!C17</f>
        <v>10568243</v>
      </c>
      <c r="C9" s="1814">
        <f>'Acct Summary 7-8'!D17</f>
        <v>1488145</v>
      </c>
      <c r="D9" s="1814">
        <f>'Acct Summary 7-8'!F17</f>
        <v>1111547</v>
      </c>
      <c r="E9" s="1813"/>
      <c r="F9" s="1813">
        <f>SUM(B9:E9)</f>
        <v>13167935</v>
      </c>
    </row>
    <row r="10" spans="1:8" s="858" customFormat="1" ht="14.25" thickTop="1" thickBot="1" x14ac:dyDescent="0.25">
      <c r="A10" s="859" t="s">
        <v>1356</v>
      </c>
      <c r="B10" s="1815">
        <f>(B8-B9)</f>
        <v>60364</v>
      </c>
      <c r="C10" s="1815">
        <f>(C8-C9)</f>
        <v>506730</v>
      </c>
      <c r="D10" s="1815">
        <f>(D8-D9)</f>
        <v>217833</v>
      </c>
      <c r="E10" s="1814">
        <f>(E8-E9)</f>
        <v>233173</v>
      </c>
      <c r="F10" s="1816">
        <f>SUM(F8-F9)</f>
        <v>1018100</v>
      </c>
    </row>
    <row r="11" spans="1:8" s="858" customFormat="1" ht="14.25" thickTop="1" thickBot="1" x14ac:dyDescent="0.25">
      <c r="A11" s="860" t="s">
        <v>1903</v>
      </c>
      <c r="B11" s="1817">
        <f>'Acct Summary 7-8'!C81</f>
        <v>2651144</v>
      </c>
      <c r="C11" s="1817">
        <f>'Acct Summary 7-8'!D81</f>
        <v>1314327</v>
      </c>
      <c r="D11" s="1817">
        <f>'Acct Summary 7-8'!F81</f>
        <v>2046225</v>
      </c>
      <c r="E11" s="1817">
        <f>'Acct Summary 7-8'!I81</f>
        <v>968352</v>
      </c>
      <c r="F11" s="1818">
        <f>SUM(B11:E11)</f>
        <v>6980048</v>
      </c>
    </row>
    <row r="12" spans="1:8" ht="16.5" customHeight="1" thickTop="1" x14ac:dyDescent="0.2">
      <c r="A12" s="861"/>
      <c r="B12" s="862"/>
      <c r="C12" s="2485" t="str">
        <f>IF(AND(F10&lt;0,F11&gt;=0,ABS(F10*3)&gt;ABS(F11)),A16,IF(AND(F10&lt;0,F11&gt;0,ABS(F10*3)&lt;=ABS(F11)),A17,IF(AND(F10&lt;0,F11&lt;0),A16,IF(F11=0,A19,A18))))</f>
        <v>Balanced - no deficit reduction plan is required.</v>
      </c>
      <c r="D12" s="2486"/>
      <c r="E12" s="2486"/>
      <c r="F12" s="2487"/>
    </row>
    <row r="13" spans="1:8" ht="19.5" customHeight="1" x14ac:dyDescent="0.2">
      <c r="A13" s="863"/>
      <c r="B13" s="864"/>
      <c r="C13" s="2485"/>
      <c r="D13" s="2486"/>
      <c r="E13" s="2486"/>
      <c r="F13" s="2487"/>
      <c r="H13" s="853"/>
    </row>
    <row r="14" spans="1:8" ht="19.5" customHeight="1" x14ac:dyDescent="0.2">
      <c r="A14" s="863"/>
      <c r="B14" s="864"/>
      <c r="C14" s="2485"/>
      <c r="D14" s="2486"/>
      <c r="E14" s="2486"/>
      <c r="F14" s="2487"/>
      <c r="H14" s="853"/>
    </row>
    <row r="15" spans="1:8" ht="17.25" customHeight="1" x14ac:dyDescent="0.2">
      <c r="A15" s="863"/>
      <c r="B15" s="864"/>
      <c r="C15" s="2488"/>
      <c r="D15" s="2489"/>
      <c r="E15" s="2489"/>
      <c r="F15" s="2490"/>
      <c r="H15" s="853"/>
    </row>
    <row r="16" spans="1:8" s="288" customFormat="1" ht="51.75" hidden="1" customHeight="1" x14ac:dyDescent="0.2">
      <c r="A16" s="2484" t="s">
        <v>1669</v>
      </c>
      <c r="B16" s="2484"/>
      <c r="C16" s="2484"/>
      <c r="D16" s="2484"/>
      <c r="E16" s="2484"/>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1" colorId="8" zoomScale="110" zoomScaleNormal="110" workbookViewId="0">
      <selection activeCell="D69" sqref="D6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6" t="s">
        <v>660</v>
      </c>
      <c r="B3" s="2507"/>
      <c r="C3" s="2507"/>
      <c r="D3" s="2508"/>
    </row>
    <row r="4" spans="1:4" x14ac:dyDescent="0.2">
      <c r="A4" s="931" t="s">
        <v>1674</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7" t="s">
        <v>1490</v>
      </c>
      <c r="D7" s="2518"/>
    </row>
    <row r="8" spans="1:4" s="542" customFormat="1" ht="12.75" x14ac:dyDescent="0.2">
      <c r="A8" s="917"/>
      <c r="B8" s="872"/>
      <c r="C8" s="875" t="s">
        <v>1489</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09" t="s">
        <v>1001</v>
      </c>
      <c r="B15" s="2510"/>
      <c r="C15" s="2510"/>
      <c r="D15" s="2511"/>
    </row>
    <row r="16" spans="1:4" s="542" customFormat="1" ht="24" customHeight="1" x14ac:dyDescent="0.2">
      <c r="A16" s="2512" t="s">
        <v>658</v>
      </c>
      <c r="B16" s="2513"/>
      <c r="C16" s="2513"/>
      <c r="D16" s="2514"/>
    </row>
    <row r="17" spans="1:10" s="542" customFormat="1" ht="12.75" customHeight="1" x14ac:dyDescent="0.2">
      <c r="A17" s="935" t="s">
        <v>1675</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21" t="s">
        <v>311</v>
      </c>
      <c r="D21" s="2522"/>
    </row>
    <row r="22" spans="1:10" ht="12.75" x14ac:dyDescent="0.2">
      <c r="A22" s="918"/>
      <c r="B22" s="919">
        <v>2</v>
      </c>
      <c r="C22" s="2519" t="s">
        <v>1510</v>
      </c>
      <c r="D22" s="252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23" t="s">
        <v>533</v>
      </c>
      <c r="D43" s="2524"/>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15" t="s">
        <v>779</v>
      </c>
      <c r="D56" s="2516"/>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ERROR!</v>
      </c>
    </row>
    <row r="70" spans="1:4" x14ac:dyDescent="0.2">
      <c r="A70" s="877"/>
      <c r="B70" s="899">
        <f>B66+1</f>
        <v>9</v>
      </c>
      <c r="C70" s="2515" t="s">
        <v>1677</v>
      </c>
      <c r="D70" s="2516"/>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0" t="str">
        <f>IF('Contracts Paid in CY 29'!$D$36&gt;0,"OK","PLEASE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53090309016</v>
      </c>
      <c r="E2" s="1542">
        <v>2020</v>
      </c>
      <c r="F2" s="1542">
        <v>1</v>
      </c>
      <c r="G2" s="1898">
        <v>101000300</v>
      </c>
    </row>
    <row r="3" spans="1:7" ht="15" x14ac:dyDescent="0.25">
      <c r="A3" t="s">
        <v>950</v>
      </c>
      <c r="B3" s="135" t="str">
        <f>COVER!A15</f>
        <v>Tazewell</v>
      </c>
      <c r="E3" s="1830" t="s">
        <v>1971</v>
      </c>
      <c r="F3" s="1830" t="s">
        <v>1970</v>
      </c>
      <c r="G3" s="1898">
        <v>101000400</v>
      </c>
    </row>
    <row r="4" spans="1:7" ht="15" x14ac:dyDescent="0.25">
      <c r="A4" t="s">
        <v>1000</v>
      </c>
      <c r="B4" s="135" t="str">
        <f>COVER!A17</f>
        <v>East Peoria CHSD 309</v>
      </c>
      <c r="E4" s="1828">
        <v>44119</v>
      </c>
      <c r="F4" s="1829">
        <v>44151</v>
      </c>
      <c r="G4" s="1898">
        <v>101000600</v>
      </c>
    </row>
    <row r="5" spans="1:7" ht="15" x14ac:dyDescent="0.25">
      <c r="A5" t="s">
        <v>699</v>
      </c>
      <c r="B5" s="135" t="str">
        <f>COVER!A38</f>
        <v>Marjorie Greuter</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1529</v>
      </c>
      <c r="B12" s="135" t="str">
        <f>IF(COVER!J29="x","Yes",IF(COVER!L29="X","No",0))</f>
        <v>Yes</v>
      </c>
      <c r="G12" s="1898">
        <v>202100600</v>
      </c>
    </row>
    <row r="13" spans="1:7" ht="15" x14ac:dyDescent="0.25">
      <c r="A13" s="1" t="s">
        <v>1530</v>
      </c>
      <c r="B13" s="135" t="str">
        <f>IF(COVER!J30="x","Yes",IF(COVER!L30="x","No",0))</f>
        <v>Yes</v>
      </c>
      <c r="G13" s="1898">
        <v>202100800</v>
      </c>
    </row>
    <row r="14" spans="1:7" ht="15" x14ac:dyDescent="0.25">
      <c r="A14" t="s">
        <v>473</v>
      </c>
      <c r="B14" s="135" t="str">
        <f>IF(COVER!J31="x","Yes",IF(COVER!L31="x","No",0))</f>
        <v>No</v>
      </c>
      <c r="G14" s="1898">
        <v>402100300</v>
      </c>
    </row>
    <row r="15" spans="1:7" ht="15" x14ac:dyDescent="0.25">
      <c r="A15" t="s">
        <v>573</v>
      </c>
      <c r="B15" s="135" t="str">
        <f>COVER!T23</f>
        <v>066-004355</v>
      </c>
      <c r="G15" s="1898">
        <v>402100400</v>
      </c>
    </row>
    <row r="16" spans="1:7" ht="15" x14ac:dyDescent="0.25">
      <c r="A16" t="s">
        <v>419</v>
      </c>
      <c r="B16" s="135" t="str">
        <f>COVER!T13</f>
        <v>Phillips, Salmi &amp; Associates, LLC</v>
      </c>
      <c r="G16" s="1898">
        <v>402100600</v>
      </c>
    </row>
    <row r="17" spans="1:7" ht="15" x14ac:dyDescent="0.25">
      <c r="A17" t="s">
        <v>878</v>
      </c>
      <c r="B17" s="135" t="str">
        <f>COVER!T15</f>
        <v>Lori Salmi</v>
      </c>
      <c r="G17" s="1898">
        <v>402100800</v>
      </c>
    </row>
    <row r="18" spans="1:7" ht="15" x14ac:dyDescent="0.25">
      <c r="A18" t="s">
        <v>1142</v>
      </c>
      <c r="B18" s="135" t="str">
        <f>COVER!T17</f>
        <v>112 S Main Street</v>
      </c>
      <c r="G18" s="1898">
        <v>102200300</v>
      </c>
    </row>
    <row r="19" spans="1:7" ht="15" x14ac:dyDescent="0.25">
      <c r="A19" t="s">
        <v>880</v>
      </c>
      <c r="B19" s="135" t="str">
        <f>COVER!T25</f>
        <v>lsalmi@psa-cpa.com</v>
      </c>
      <c r="G19" s="1898">
        <v>102200400</v>
      </c>
    </row>
    <row r="20" spans="1:7" ht="15" x14ac:dyDescent="0.25">
      <c r="A20" t="s">
        <v>881</v>
      </c>
      <c r="B20" s="135" t="str">
        <f>COVER!T19</f>
        <v>Washington</v>
      </c>
      <c r="G20" s="1898">
        <v>102200600</v>
      </c>
    </row>
    <row r="21" spans="1:7" ht="15" x14ac:dyDescent="0.25">
      <c r="A21" t="s">
        <v>476</v>
      </c>
      <c r="B21" s="135" t="str">
        <f>COVER!X19</f>
        <v>IL</v>
      </c>
      <c r="G21" s="1898">
        <v>102200800</v>
      </c>
    </row>
    <row r="22" spans="1:7" ht="15" x14ac:dyDescent="0.25">
      <c r="A22" t="s">
        <v>882</v>
      </c>
      <c r="B22" s="135">
        <f>COVER!Z19</f>
        <v>61571</v>
      </c>
      <c r="G22" s="1898">
        <v>102300300</v>
      </c>
    </row>
    <row r="23" spans="1:7" ht="15" x14ac:dyDescent="0.25">
      <c r="A23" t="s">
        <v>1144</v>
      </c>
      <c r="B23" s="135" t="str">
        <f>COVER!T21</f>
        <v>309 444-4909</v>
      </c>
      <c r="G23" s="1898">
        <v>102300400</v>
      </c>
    </row>
    <row r="24" spans="1:7" ht="15" x14ac:dyDescent="0.25">
      <c r="A24" t="s">
        <v>1143</v>
      </c>
      <c r="B24" s="135">
        <f>COVER!Y21</f>
        <v>0</v>
      </c>
      <c r="G24" s="1898">
        <v>102300600</v>
      </c>
    </row>
    <row r="25" spans="1:7" ht="15" x14ac:dyDescent="0.25">
      <c r="A25" t="s">
        <v>756</v>
      </c>
      <c r="B25" s="135" t="str">
        <f>COVER!B34</f>
        <v>X</v>
      </c>
      <c r="G25" s="1898">
        <v>102300800</v>
      </c>
    </row>
    <row r="26" spans="1:7" ht="15" x14ac:dyDescent="0.25">
      <c r="A26" t="s">
        <v>1145</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0</v>
      </c>
      <c r="G47" s="1898">
        <v>102540400</v>
      </c>
    </row>
    <row r="48" spans="1:7" ht="15" x14ac:dyDescent="0.25">
      <c r="A48" t="s">
        <v>480</v>
      </c>
      <c r="B48" s="135" t="str">
        <f>IF('Aud Quest 2'!B51="x","Yes",IF('Aud Quest 2'!B51&lt;&gt;"x","0"))</f>
        <v>0</v>
      </c>
      <c r="G48" s="1898">
        <v>102540600</v>
      </c>
    </row>
    <row r="49" spans="1:7" ht="15" x14ac:dyDescent="0.25">
      <c r="A49" s="1" t="s">
        <v>1467</v>
      </c>
      <c r="B49" s="135" t="str">
        <f>IF('Aud Quest 2'!B53="x","Yes",IF('Aud Quest 2'!B53&lt;&gt;"x","0"))</f>
        <v>Yes</v>
      </c>
      <c r="G49" s="1898">
        <v>102540800</v>
      </c>
    </row>
    <row r="50" spans="1:7" ht="15" x14ac:dyDescent="0.25">
      <c r="A50" s="1" t="s">
        <v>1466</v>
      </c>
      <c r="B50" s="146">
        <f>'Aud Quest 2'!H53</f>
        <v>36161</v>
      </c>
      <c r="G50" s="1898">
        <v>202540300</v>
      </c>
    </row>
    <row r="51" spans="1:7" ht="15" x14ac:dyDescent="0.25">
      <c r="A51" s="1" t="s">
        <v>1468</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222935</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2929060</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36304</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277916</v>
      </c>
      <c r="C91" s="2" t="s">
        <v>569</v>
      </c>
      <c r="D91" s="2" t="str">
        <f t="shared" si="0"/>
        <v>Error?</v>
      </c>
      <c r="G91" s="1898">
        <v>102640400</v>
      </c>
    </row>
    <row r="92" spans="1:7" ht="15" x14ac:dyDescent="0.25">
      <c r="A92" s="5">
        <v>31</v>
      </c>
      <c r="B92" s="1832">
        <f>'Assets-Liab 5-6'!C39</f>
        <v>1974549</v>
      </c>
      <c r="D92" s="2" t="str">
        <f t="shared" si="0"/>
        <v>Error?</v>
      </c>
      <c r="G92" s="1898">
        <v>102640600</v>
      </c>
    </row>
    <row r="93" spans="1:7" ht="15" x14ac:dyDescent="0.25">
      <c r="A93" s="5">
        <v>32</v>
      </c>
      <c r="B93" s="1832">
        <f>'Assets-Liab 5-6'!C41</f>
        <v>2929060</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124204</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1314327</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467952</v>
      </c>
      <c r="D123" s="2" t="str">
        <f t="shared" si="0"/>
        <v>Error?</v>
      </c>
      <c r="G123" s="1898">
        <v>203000400</v>
      </c>
    </row>
    <row r="124" spans="1:7" ht="15" x14ac:dyDescent="0.25">
      <c r="A124" s="5">
        <v>63</v>
      </c>
      <c r="B124" s="1832">
        <f>'Assets-Liab 5-6'!D41</f>
        <v>1314327</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31231</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1295054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1295054</v>
      </c>
      <c r="D140" s="2" t="str">
        <f t="shared" si="1"/>
        <v>Error?</v>
      </c>
    </row>
    <row r="141" spans="1:7" x14ac:dyDescent="0.2">
      <c r="A141" s="5">
        <v>80</v>
      </c>
      <c r="B141" s="1832">
        <f>'Assets-Liab 5-6'!E41</f>
        <v>1295054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221127</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2071275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25050</v>
      </c>
      <c r="C169" s="2" t="s">
        <v>569</v>
      </c>
      <c r="D169" s="2" t="str">
        <f t="shared" si="1"/>
        <v>Error?</v>
      </c>
    </row>
    <row r="170" spans="1:4" x14ac:dyDescent="0.2">
      <c r="A170" s="5">
        <v>109</v>
      </c>
      <c r="B170" s="1832">
        <f>'Assets-Liab 5-6'!F39</f>
        <v>2046225</v>
      </c>
      <c r="D170" s="2" t="str">
        <f t="shared" si="1"/>
        <v>Error?</v>
      </c>
    </row>
    <row r="171" spans="1:4" x14ac:dyDescent="0.2">
      <c r="A171" s="5">
        <v>110</v>
      </c>
      <c r="B171" s="1832">
        <f>'Assets-Liab 5-6'!F41</f>
        <v>2071275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124446</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723515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370725</v>
      </c>
      <c r="D189" s="2" t="str">
        <f t="shared" si="1"/>
        <v>Error?</v>
      </c>
    </row>
    <row r="190" spans="1:4" x14ac:dyDescent="0.2">
      <c r="A190" s="5">
        <v>129</v>
      </c>
      <c r="B190" s="1832">
        <f>'Assets-Liab 5-6'!G41</f>
        <v>723515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297778</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300000</v>
      </c>
      <c r="C211" s="2" t="s">
        <v>569</v>
      </c>
      <c r="D211" s="2" t="str">
        <f t="shared" si="2"/>
        <v>Error?</v>
      </c>
    </row>
    <row r="212" spans="1:4" x14ac:dyDescent="0.2">
      <c r="A212" s="5">
        <v>151</v>
      </c>
      <c r="B212" s="1832">
        <f>'Assets-Liab 5-6'!H39</f>
        <v>-2222</v>
      </c>
      <c r="D212" s="2" t="str">
        <f t="shared" si="2"/>
        <v>Error?</v>
      </c>
    </row>
    <row r="213" spans="1:4" x14ac:dyDescent="0.2">
      <c r="A213" s="12">
        <v>152</v>
      </c>
      <c r="B213" s="1832">
        <f>'Assets-Liab 5-6'!H41</f>
        <v>297778</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60099</v>
      </c>
      <c r="D273" s="2" t="str">
        <f t="shared" si="3"/>
        <v>Error?</v>
      </c>
    </row>
    <row r="274" spans="1:4" x14ac:dyDescent="0.2">
      <c r="A274" s="5">
        <v>213</v>
      </c>
      <c r="B274" s="1832">
        <f>'Assets-Liab 5-6'!M17</f>
        <v>32065656</v>
      </c>
      <c r="D274" s="2" t="str">
        <f t="shared" si="3"/>
        <v>Error?</v>
      </c>
    </row>
    <row r="275" spans="1:4" x14ac:dyDescent="0.2">
      <c r="A275" s="5">
        <v>214</v>
      </c>
      <c r="B275" s="1832">
        <f>'Assets-Liab 5-6'!M18</f>
        <v>1678543</v>
      </c>
      <c r="D275" s="2" t="str">
        <f t="shared" si="3"/>
        <v>Error?</v>
      </c>
    </row>
    <row r="276" spans="1:4" x14ac:dyDescent="0.2">
      <c r="A276" s="5">
        <v>215</v>
      </c>
      <c r="B276" s="1832">
        <f>'Assets-Liab 5-6'!M19</f>
        <v>3492910</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41995891</v>
      </c>
      <c r="C279" s="2" t="s">
        <v>569</v>
      </c>
      <c r="D279" s="2" t="str">
        <f t="shared" si="3"/>
        <v>Error?</v>
      </c>
    </row>
    <row r="280" spans="1:4" x14ac:dyDescent="0.2">
      <c r="A280" s="5">
        <v>219</v>
      </c>
      <c r="B280" s="1832">
        <f>'Assets-Liab 5-6'!M40</f>
        <v>41995891</v>
      </c>
      <c r="D280" s="2" t="str">
        <f t="shared" si="3"/>
        <v>Error?</v>
      </c>
    </row>
    <row r="281" spans="1:4" x14ac:dyDescent="0.2">
      <c r="A281" s="5">
        <v>220</v>
      </c>
      <c r="B281" s="1832">
        <f>'Assets-Liab 5-6'!M41</f>
        <v>41995891</v>
      </c>
      <c r="C281" s="2" t="s">
        <v>569</v>
      </c>
      <c r="D281" s="2" t="str">
        <f t="shared" si="3"/>
        <v>Error?</v>
      </c>
    </row>
    <row r="282" spans="1:4" x14ac:dyDescent="0.2">
      <c r="A282" s="5">
        <v>221</v>
      </c>
      <c r="B282" s="1832">
        <f>'Assets-Liab 5-6'!N21</f>
        <v>1295054</v>
      </c>
      <c r="D282" s="2" t="str">
        <f t="shared" si="3"/>
        <v>Error?</v>
      </c>
    </row>
    <row r="283" spans="1:4" x14ac:dyDescent="0.2">
      <c r="A283" s="5">
        <v>222</v>
      </c>
      <c r="B283" s="1832">
        <f>'Assets-Liab 5-6'!N22</f>
        <v>9231426</v>
      </c>
      <c r="D283" s="2" t="str">
        <f t="shared" si="3"/>
        <v>Error?</v>
      </c>
    </row>
    <row r="284" spans="1:4" x14ac:dyDescent="0.2">
      <c r="A284" s="5">
        <v>223</v>
      </c>
      <c r="B284" s="1832">
        <f>'Assets-Liab 5-6'!N23</f>
        <v>10526480</v>
      </c>
      <c r="C284" s="2" t="s">
        <v>569</v>
      </c>
      <c r="D284" s="2" t="str">
        <f t="shared" si="3"/>
        <v>Error?</v>
      </c>
    </row>
    <row r="285" spans="1:4" x14ac:dyDescent="0.2">
      <c r="A285" s="5">
        <v>224</v>
      </c>
      <c r="B285" s="1832">
        <f>'Assets-Liab 5-6'!N36</f>
        <v>10526480</v>
      </c>
      <c r="D285" s="2" t="str">
        <f t="shared" si="3"/>
        <v>Error?</v>
      </c>
    </row>
    <row r="286" spans="1:4" x14ac:dyDescent="0.2">
      <c r="A286" s="10">
        <v>225</v>
      </c>
      <c r="B286" s="1832"/>
      <c r="D286" s="2" t="str">
        <f t="shared" si="3"/>
        <v>OK</v>
      </c>
    </row>
    <row r="287" spans="1:4" x14ac:dyDescent="0.2">
      <c r="A287" s="5">
        <v>226</v>
      </c>
      <c r="B287" s="1832">
        <f>'Assets-Liab 5-6'!N37</f>
        <v>10526480</v>
      </c>
      <c r="C287" s="2" t="s">
        <v>569</v>
      </c>
      <c r="D287" s="2" t="str">
        <f t="shared" si="3"/>
        <v>Error?</v>
      </c>
    </row>
    <row r="288" spans="1:4" x14ac:dyDescent="0.2">
      <c r="A288" s="5">
        <v>227</v>
      </c>
      <c r="B288" s="1832">
        <f>'Assets-Liab 5-6'!N41</f>
        <v>10526480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2695160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424476</v>
      </c>
      <c r="D717" s="2" t="str">
        <f t="shared" si="10"/>
        <v>Error?</v>
      </c>
    </row>
    <row r="718" spans="1:4" x14ac:dyDescent="0.2">
      <c r="A718" s="5">
        <v>657</v>
      </c>
      <c r="B718" s="1832">
        <f>'Expenditures 15-22'!C14</f>
        <v>472471</v>
      </c>
      <c r="D718" s="2" t="str">
        <f t="shared" si="10"/>
        <v>Error?</v>
      </c>
    </row>
    <row r="719" spans="1:4" x14ac:dyDescent="0.2">
      <c r="A719" s="5">
        <v>658</v>
      </c>
      <c r="B719" s="1832">
        <f>'Expenditures 15-22'!C15</f>
        <v>1857</v>
      </c>
      <c r="D719" s="2" t="str">
        <f t="shared" si="10"/>
        <v>Error?</v>
      </c>
    </row>
    <row r="720" spans="1:4" x14ac:dyDescent="0.2">
      <c r="A720" s="5">
        <v>659</v>
      </c>
      <c r="B720" s="1832">
        <f>'Expenditures 15-22'!C33</f>
        <v>5021115</v>
      </c>
      <c r="C720" s="2" t="s">
        <v>569</v>
      </c>
      <c r="D720" s="2" t="str">
        <f t="shared" si="10"/>
        <v>Error?</v>
      </c>
    </row>
    <row r="721" spans="1:4" x14ac:dyDescent="0.2">
      <c r="A721" s="5">
        <v>660</v>
      </c>
      <c r="B721" s="1832">
        <f>'Expenditures 15-22'!C36</f>
        <v>399426</v>
      </c>
      <c r="D721" s="2" t="str">
        <f t="shared" si="10"/>
        <v>Error?</v>
      </c>
    </row>
    <row r="722" spans="1:4" x14ac:dyDescent="0.2">
      <c r="A722" s="5">
        <v>661</v>
      </c>
      <c r="B722" s="1832">
        <f>'Expenditures 15-22'!C37</f>
        <v>382028</v>
      </c>
      <c r="D722" s="2" t="str">
        <f t="shared" si="10"/>
        <v>Error?</v>
      </c>
    </row>
    <row r="723" spans="1:4" x14ac:dyDescent="0.2">
      <c r="A723" s="5">
        <v>662</v>
      </c>
      <c r="B723" s="1832">
        <f>'Expenditures 15-22'!C38</f>
        <v>123277</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904731</v>
      </c>
      <c r="C727" s="2" t="s">
        <v>569</v>
      </c>
      <c r="D727" s="2" t="str">
        <f t="shared" si="10"/>
        <v>Error?</v>
      </c>
    </row>
    <row r="728" spans="1:4" x14ac:dyDescent="0.2">
      <c r="A728" s="5">
        <v>667</v>
      </c>
      <c r="B728" s="1832">
        <f>'Expenditures 15-22'!C44</f>
        <v>125216</v>
      </c>
      <c r="D728" s="2" t="str">
        <f t="shared" si="10"/>
        <v>Error?</v>
      </c>
    </row>
    <row r="729" spans="1:4" x14ac:dyDescent="0.2">
      <c r="A729" s="5">
        <v>668</v>
      </c>
      <c r="B729" s="1832">
        <f>'Expenditures 15-22'!C45</f>
        <v>97640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222856</v>
      </c>
      <c r="C731" s="2" t="s">
        <v>569</v>
      </c>
      <c r="D731" s="2" t="str">
        <f t="shared" si="10"/>
        <v>Error?</v>
      </c>
    </row>
    <row r="732" spans="1:4" x14ac:dyDescent="0.2">
      <c r="A732" s="5">
        <v>671</v>
      </c>
      <c r="B732" s="1832">
        <f>'Expenditures 15-22'!C49</f>
        <v>6120</v>
      </c>
      <c r="D732" s="2" t="str">
        <f t="shared" si="10"/>
        <v>Error?</v>
      </c>
    </row>
    <row r="733" spans="1:4" x14ac:dyDescent="0.2">
      <c r="A733" s="5">
        <v>672</v>
      </c>
      <c r="B733" s="1832">
        <f>'Expenditures 15-22'!C50</f>
        <v>242890</v>
      </c>
      <c r="D733" s="2" t="str">
        <f t="shared" si="10"/>
        <v>Error?</v>
      </c>
    </row>
    <row r="734" spans="1:4" x14ac:dyDescent="0.2">
      <c r="A734" s="5">
        <v>673</v>
      </c>
      <c r="B734" s="1832">
        <f>'Expenditures 15-22'!C53</f>
        <v>249010</v>
      </c>
      <c r="C734" s="2" t="s">
        <v>569</v>
      </c>
      <c r="D734" s="2" t="str">
        <f t="shared" si="10"/>
        <v>Error?</v>
      </c>
    </row>
    <row r="735" spans="1:4" x14ac:dyDescent="0.2">
      <c r="A735" s="5">
        <v>674</v>
      </c>
      <c r="B735" s="1832">
        <f>'Expenditures 15-22'!C55</f>
        <v>372275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372275</v>
      </c>
      <c r="C737" s="2" t="s">
        <v>569</v>
      </c>
      <c r="D737" s="2" t="str">
        <f t="shared" si="10"/>
        <v>Error?</v>
      </c>
    </row>
    <row r="738" spans="1:4" x14ac:dyDescent="0.2">
      <c r="A738" s="5">
        <v>677</v>
      </c>
      <c r="B738" s="1832">
        <f>'Expenditures 15-22'!C59</f>
        <v>50276</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250975</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301251</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237102</v>
      </c>
      <c r="D751" s="2" t="str">
        <f t="shared" si="10"/>
        <v>Error?</v>
      </c>
    </row>
    <row r="752" spans="1:4" x14ac:dyDescent="0.2">
      <c r="A752" s="10">
        <v>691</v>
      </c>
      <c r="B752" s="1832"/>
      <c r="D752" s="2" t="str">
        <f t="shared" si="10"/>
        <v>OK</v>
      </c>
    </row>
    <row r="753" spans="1:4" x14ac:dyDescent="0.2">
      <c r="A753" s="5">
        <v>692</v>
      </c>
      <c r="B753" s="1832">
        <f>'Expenditures 15-22'!C72</f>
        <v>237102</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2287225</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7308340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721579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90611</v>
      </c>
      <c r="D775" s="2" t="str">
        <f t="shared" si="11"/>
        <v>Error?</v>
      </c>
    </row>
    <row r="776" spans="1:4" x14ac:dyDescent="0.2">
      <c r="A776" s="5">
        <v>715</v>
      </c>
      <c r="B776" s="1832">
        <f>'Expenditures 15-22'!D14</f>
        <v>162</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1053147</v>
      </c>
      <c r="C778" s="2" t="s">
        <v>569</v>
      </c>
      <c r="D778" s="2" t="str">
        <f t="shared" si="11"/>
        <v>Error?</v>
      </c>
    </row>
    <row r="779" spans="1:4" x14ac:dyDescent="0.2">
      <c r="A779" s="5">
        <v>718</v>
      </c>
      <c r="B779" s="1832">
        <f>'Expenditures 15-22'!D36</f>
        <v>65592</v>
      </c>
      <c r="D779" s="2" t="str">
        <f t="shared" si="11"/>
        <v>Error?</v>
      </c>
    </row>
    <row r="780" spans="1:4" x14ac:dyDescent="0.2">
      <c r="A780" s="5">
        <v>719</v>
      </c>
      <c r="B780" s="1832">
        <f>'Expenditures 15-22'!D37</f>
        <v>69615</v>
      </c>
      <c r="D780" s="2" t="str">
        <f t="shared" si="11"/>
        <v>Error?</v>
      </c>
    </row>
    <row r="781" spans="1:4" x14ac:dyDescent="0.2">
      <c r="A781" s="5">
        <v>720</v>
      </c>
      <c r="B781" s="1832">
        <f>'Expenditures 15-22'!D38</f>
        <v>15858</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151065</v>
      </c>
      <c r="C785" s="2" t="s">
        <v>569</v>
      </c>
      <c r="D785" s="2" t="str">
        <f t="shared" si="11"/>
        <v>Error?</v>
      </c>
    </row>
    <row r="786" spans="1:4" x14ac:dyDescent="0.2">
      <c r="A786" s="5">
        <v>725</v>
      </c>
      <c r="B786" s="1832">
        <f>'Expenditures 15-22'!D44</f>
        <v>616</v>
      </c>
      <c r="D786" s="2" t="str">
        <f t="shared" si="11"/>
        <v>Error?</v>
      </c>
    </row>
    <row r="787" spans="1:4" x14ac:dyDescent="0.2">
      <c r="A787" s="5">
        <v>726</v>
      </c>
      <c r="B787" s="1832">
        <f>'Expenditures 15-22'!D45</f>
        <v>8316</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8932</v>
      </c>
      <c r="C789" s="2" t="s">
        <v>569</v>
      </c>
      <c r="D789" s="2" t="str">
        <f t="shared" si="11"/>
        <v>Error?</v>
      </c>
    </row>
    <row r="790" spans="1:4" x14ac:dyDescent="0.2">
      <c r="A790" s="5">
        <v>729</v>
      </c>
      <c r="B790" s="1832">
        <f>'Expenditures 15-22'!D49</f>
        <v>663</v>
      </c>
      <c r="D790" s="2" t="str">
        <f t="shared" si="11"/>
        <v>Error?</v>
      </c>
    </row>
    <row r="791" spans="1:4" x14ac:dyDescent="0.2">
      <c r="A791" s="5">
        <v>730</v>
      </c>
      <c r="B791" s="1832">
        <f>'Expenditures 15-22'!D50</f>
        <v>16020</v>
      </c>
      <c r="D791" s="2" t="str">
        <f t="shared" si="11"/>
        <v>Error?</v>
      </c>
    </row>
    <row r="792" spans="1:4" x14ac:dyDescent="0.2">
      <c r="A792" s="5">
        <v>731</v>
      </c>
      <c r="B792" s="1832">
        <f>'Expenditures 15-22'!D53</f>
        <v>16683</v>
      </c>
      <c r="C792" s="2" t="s">
        <v>569</v>
      </c>
      <c r="D792" s="2" t="str">
        <f t="shared" si="11"/>
        <v>Error?</v>
      </c>
    </row>
    <row r="793" spans="1:4" x14ac:dyDescent="0.2">
      <c r="A793" s="5">
        <v>732</v>
      </c>
      <c r="B793" s="1832">
        <f>'Expenditures 15-22'!D55</f>
        <v>34514</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34514</v>
      </c>
      <c r="C795" s="2" t="s">
        <v>569</v>
      </c>
      <c r="D795" s="2" t="str">
        <f t="shared" si="11"/>
        <v>Error?</v>
      </c>
    </row>
    <row r="796" spans="1:4" x14ac:dyDescent="0.2">
      <c r="A796" s="5">
        <v>735</v>
      </c>
      <c r="B796" s="1832">
        <f>'Expenditures 15-22'!D59</f>
        <v>17434</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69768</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87202</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40235</v>
      </c>
      <c r="D809" s="2" t="str">
        <f t="shared" si="11"/>
        <v>Error?</v>
      </c>
    </row>
    <row r="810" spans="1:4" x14ac:dyDescent="0.2">
      <c r="A810" s="10">
        <v>749</v>
      </c>
      <c r="B810" s="1832"/>
      <c r="D810" s="2" t="str">
        <f t="shared" si="11"/>
        <v>OK</v>
      </c>
    </row>
    <row r="811" spans="1:4" x14ac:dyDescent="0.2">
      <c r="A811" s="5">
        <v>750</v>
      </c>
      <c r="B811" s="1832">
        <f>'Expenditures 15-22'!D72</f>
        <v>40235</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338631</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1391778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152009</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87</v>
      </c>
      <c r="D833" s="2" t="str">
        <f t="shared" si="12"/>
        <v>Error?</v>
      </c>
    </row>
    <row r="834" spans="1:4" x14ac:dyDescent="0.2">
      <c r="A834" s="5">
        <v>773</v>
      </c>
      <c r="B834" s="1832">
        <f>'Expenditures 15-22'!E14</f>
        <v>33417</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207162</v>
      </c>
      <c r="C836" s="2" t="s">
        <v>569</v>
      </c>
      <c r="D836" s="2" t="str">
        <f t="shared" si="12"/>
        <v>Error?</v>
      </c>
    </row>
    <row r="837" spans="1:4" x14ac:dyDescent="0.2">
      <c r="A837" s="5">
        <v>776</v>
      </c>
      <c r="B837" s="1832">
        <f>'Expenditures 15-22'!E36</f>
        <v>140988</v>
      </c>
      <c r="D837" s="2" t="str">
        <f t="shared" si="12"/>
        <v>Error?</v>
      </c>
    </row>
    <row r="838" spans="1:4" x14ac:dyDescent="0.2">
      <c r="A838" s="5">
        <v>777</v>
      </c>
      <c r="B838" s="1832">
        <f>'Expenditures 15-22'!E37</f>
        <v>2321</v>
      </c>
      <c r="D838" s="2" t="str">
        <f t="shared" si="12"/>
        <v>Error?</v>
      </c>
    </row>
    <row r="839" spans="1:4" x14ac:dyDescent="0.2">
      <c r="A839" s="5">
        <v>778</v>
      </c>
      <c r="B839" s="1832">
        <f>'Expenditures 15-22'!E38</f>
        <v>735</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144044</v>
      </c>
      <c r="C843" s="2" t="s">
        <v>569</v>
      </c>
      <c r="D843" s="2" t="str">
        <f t="shared" si="12"/>
        <v>Error?</v>
      </c>
    </row>
    <row r="844" spans="1:4" x14ac:dyDescent="0.2">
      <c r="A844" s="5">
        <v>783</v>
      </c>
      <c r="B844" s="1832">
        <f>'Expenditures 15-22'!E44</f>
        <v>14965</v>
      </c>
      <c r="D844" s="2" t="str">
        <f t="shared" si="12"/>
        <v>Error?</v>
      </c>
    </row>
    <row r="845" spans="1:4" x14ac:dyDescent="0.2">
      <c r="A845" s="5">
        <v>784</v>
      </c>
      <c r="B845" s="1832">
        <f>'Expenditures 15-22'!E45</f>
        <v>252</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15217</v>
      </c>
      <c r="C847" s="2" t="s">
        <v>569</v>
      </c>
      <c r="D847" s="2" t="str">
        <f t="shared" si="12"/>
        <v>Error?</v>
      </c>
    </row>
    <row r="848" spans="1:4" x14ac:dyDescent="0.2">
      <c r="A848" s="5">
        <v>787</v>
      </c>
      <c r="B848" s="1832">
        <f>'Expenditures 15-22'!E49</f>
        <v>144795</v>
      </c>
      <c r="D848" s="2" t="str">
        <f t="shared" si="12"/>
        <v>Error?</v>
      </c>
    </row>
    <row r="849" spans="1:4" x14ac:dyDescent="0.2">
      <c r="A849" s="5">
        <v>788</v>
      </c>
      <c r="B849" s="1832">
        <f>'Expenditures 15-22'!E50</f>
        <v>3913</v>
      </c>
      <c r="D849" s="2" t="str">
        <f t="shared" si="12"/>
        <v>Error?</v>
      </c>
    </row>
    <row r="850" spans="1:4" x14ac:dyDescent="0.2">
      <c r="A850" s="5">
        <v>789</v>
      </c>
      <c r="B850" s="1832">
        <f>'Expenditures 15-22'!E53</f>
        <v>148708</v>
      </c>
      <c r="C850" s="2" t="s">
        <v>569</v>
      </c>
      <c r="D850" s="2" t="str">
        <f t="shared" si="12"/>
        <v>Error?</v>
      </c>
    </row>
    <row r="851" spans="1:4" x14ac:dyDescent="0.2">
      <c r="A851" s="5">
        <v>790</v>
      </c>
      <c r="B851" s="1832">
        <f>'Expenditures 15-22'!E55</f>
        <v>1610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1610</v>
      </c>
      <c r="C853" s="2" t="s">
        <v>569</v>
      </c>
      <c r="D853" s="2" t="str">
        <f t="shared" si="12"/>
        <v>Error?</v>
      </c>
    </row>
    <row r="854" spans="1:4" x14ac:dyDescent="0.2">
      <c r="A854" s="5">
        <v>793</v>
      </c>
      <c r="B854" s="1832">
        <f>'Expenditures 15-22'!E59</f>
        <v>7702</v>
      </c>
      <c r="D854" s="2" t="str">
        <f t="shared" si="12"/>
        <v>Error?</v>
      </c>
    </row>
    <row r="855" spans="1:4" x14ac:dyDescent="0.2">
      <c r="A855" s="5">
        <v>794</v>
      </c>
      <c r="B855" s="1832">
        <f>'Expenditures 15-22'!E60</f>
        <v>150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150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8002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4448</v>
      </c>
      <c r="D867" s="2" t="str">
        <f t="shared" si="12"/>
        <v>Error?</v>
      </c>
    </row>
    <row r="868" spans="1:4" x14ac:dyDescent="0.2">
      <c r="A868" s="10">
        <v>807</v>
      </c>
      <c r="B868" s="1832"/>
      <c r="D868" s="2" t="str">
        <f t="shared" si="12"/>
        <v>OK</v>
      </c>
    </row>
    <row r="869" spans="1:4" x14ac:dyDescent="0.2">
      <c r="A869" s="5">
        <v>808</v>
      </c>
      <c r="B869" s="1832">
        <f>'Expenditures 15-22'!E72</f>
        <v>4448</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322029</v>
      </c>
      <c r="C871" s="2" t="s">
        <v>569</v>
      </c>
      <c r="D871" s="2" t="str">
        <f t="shared" si="12"/>
        <v>Error?</v>
      </c>
    </row>
    <row r="872" spans="1:4" x14ac:dyDescent="0.2">
      <c r="A872" s="5">
        <v>811</v>
      </c>
      <c r="B872" s="1832">
        <f>'Expenditures 15-22'!E75</f>
        <v>284</v>
      </c>
      <c r="D872" s="2" t="str">
        <f t="shared" si="12"/>
        <v>Error?</v>
      </c>
    </row>
    <row r="873" spans="1:4" x14ac:dyDescent="0.2">
      <c r="A873" s="5">
        <v>812</v>
      </c>
      <c r="B873" s="1832">
        <f>'Expenditures 15-22'!E114</f>
        <v>529475</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122254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27104</v>
      </c>
      <c r="D891" s="2" t="str">
        <f t="shared" si="12"/>
        <v>Error?</v>
      </c>
    </row>
    <row r="892" spans="1:4" x14ac:dyDescent="0.2">
      <c r="A892" s="5">
        <v>831</v>
      </c>
      <c r="B892" s="1832">
        <f>'Expenditures 15-22'!F14</f>
        <v>156706</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319520</v>
      </c>
      <c r="C894" s="2" t="s">
        <v>569</v>
      </c>
      <c r="D894" s="2" t="str">
        <f t="shared" si="12"/>
        <v>Error?</v>
      </c>
    </row>
    <row r="895" spans="1:4" x14ac:dyDescent="0.2">
      <c r="A895" s="5">
        <v>834</v>
      </c>
      <c r="B895" s="1832">
        <f>'Expenditures 15-22'!F36</f>
        <v>5677</v>
      </c>
      <c r="D895" s="2" t="str">
        <f t="shared" ref="D895:D958" si="13">IF(ISBLANK(B895),"OK",IF(A895-B895=0,"OK","Error?"))</f>
        <v>Error?</v>
      </c>
    </row>
    <row r="896" spans="1:4" x14ac:dyDescent="0.2">
      <c r="A896" s="5">
        <v>835</v>
      </c>
      <c r="B896" s="1832">
        <f>'Expenditures 15-22'!F37</f>
        <v>12817</v>
      </c>
      <c r="D896" s="2" t="str">
        <f t="shared" si="13"/>
        <v>Error?</v>
      </c>
    </row>
    <row r="897" spans="1:4" x14ac:dyDescent="0.2">
      <c r="A897" s="5">
        <v>836</v>
      </c>
      <c r="B897" s="1832">
        <f>'Expenditures 15-22'!F38</f>
        <v>1172</v>
      </c>
      <c r="D897" s="2" t="str">
        <f t="shared" si="13"/>
        <v>Error?</v>
      </c>
    </row>
    <row r="898" spans="1:4" x14ac:dyDescent="0.2">
      <c r="A898" s="5">
        <v>837</v>
      </c>
      <c r="B898" s="1832">
        <f>'Expenditures 15-22'!F39</f>
        <v>102</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19768</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31477</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31477</v>
      </c>
      <c r="C905" s="2" t="s">
        <v>569</v>
      </c>
      <c r="D905" s="2" t="str">
        <f t="shared" si="13"/>
        <v>Error?</v>
      </c>
    </row>
    <row r="906" spans="1:4" x14ac:dyDescent="0.2">
      <c r="A906" s="5">
        <v>845</v>
      </c>
      <c r="B906" s="1832">
        <f>'Expenditures 15-22'!F49</f>
        <v>371</v>
      </c>
      <c r="D906" s="2" t="str">
        <f t="shared" si="13"/>
        <v>Error?</v>
      </c>
    </row>
    <row r="907" spans="1:4" x14ac:dyDescent="0.2">
      <c r="A907" s="5">
        <v>846</v>
      </c>
      <c r="B907" s="1832">
        <f>'Expenditures 15-22'!F50</f>
        <v>1412</v>
      </c>
      <c r="D907" s="2" t="str">
        <f t="shared" si="13"/>
        <v>Error?</v>
      </c>
    </row>
    <row r="908" spans="1:4" x14ac:dyDescent="0.2">
      <c r="A908" s="5">
        <v>847</v>
      </c>
      <c r="B908" s="1832">
        <f>'Expenditures 15-22'!F53</f>
        <v>1783</v>
      </c>
      <c r="C908" s="2" t="s">
        <v>569</v>
      </c>
      <c r="D908" s="2" t="str">
        <f t="shared" si="13"/>
        <v>Error?</v>
      </c>
    </row>
    <row r="909" spans="1:4" x14ac:dyDescent="0.2">
      <c r="A909" s="5">
        <v>848</v>
      </c>
      <c r="B909" s="1832">
        <f>'Expenditures 15-22'!F55</f>
        <v>9487</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9487</v>
      </c>
      <c r="C911" s="2" t="s">
        <v>569</v>
      </c>
      <c r="D911" s="2" t="str">
        <f t="shared" si="13"/>
        <v>Error?</v>
      </c>
    </row>
    <row r="912" spans="1:4" x14ac:dyDescent="0.2">
      <c r="A912" s="5">
        <v>851</v>
      </c>
      <c r="B912" s="1832">
        <f>'Expenditures 15-22'!F59</f>
        <v>1528</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212460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213988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7706</v>
      </c>
      <c r="D925" s="2" t="str">
        <f t="shared" si="13"/>
        <v>Error?</v>
      </c>
    </row>
    <row r="926" spans="1:4" x14ac:dyDescent="0.2">
      <c r="A926" s="10">
        <v>865</v>
      </c>
      <c r="B926" s="1832"/>
      <c r="D926" s="2" t="str">
        <f t="shared" si="13"/>
        <v>OK</v>
      </c>
    </row>
    <row r="927" spans="1:4" x14ac:dyDescent="0.2">
      <c r="A927" s="5">
        <v>866</v>
      </c>
      <c r="B927" s="1832">
        <f>'Expenditures 15-22'!F72</f>
        <v>7706</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284209</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603729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13654</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13654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13654</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414266</v>
      </c>
      <c r="C1010" s="2" t="s">
        <v>569</v>
      </c>
      <c r="D1010" s="2" t="str">
        <f t="shared" si="14"/>
        <v>Error?</v>
      </c>
    </row>
    <row r="1011" spans="1:4" x14ac:dyDescent="0.2">
      <c r="A1011" s="5">
        <v>950</v>
      </c>
      <c r="B1011" s="1832">
        <f>'Expenditures 15-22'!H36</f>
        <v>299</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299</v>
      </c>
      <c r="C1017" s="2" t="s">
        <v>569</v>
      </c>
      <c r="D1017" s="2" t="str">
        <f t="shared" si="14"/>
        <v>Error?</v>
      </c>
    </row>
    <row r="1018" spans="1:4" x14ac:dyDescent="0.2">
      <c r="A1018" s="5">
        <v>957</v>
      </c>
      <c r="B1018" s="1832">
        <f>'Expenditures 15-22'!H44</f>
        <v>818</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818</v>
      </c>
      <c r="C1021" s="2" t="s">
        <v>569</v>
      </c>
      <c r="D1021" s="2" t="str">
        <f t="shared" si="14"/>
        <v>Error?</v>
      </c>
    </row>
    <row r="1022" spans="1:4" x14ac:dyDescent="0.2">
      <c r="A1022" s="5">
        <v>961</v>
      </c>
      <c r="B1022" s="1832">
        <f>'Expenditures 15-22'!H49</f>
        <v>9873</v>
      </c>
      <c r="D1022" s="2" t="str">
        <f t="shared" si="14"/>
        <v>Error?</v>
      </c>
    </row>
    <row r="1023" spans="1:4" x14ac:dyDescent="0.2">
      <c r="A1023" s="5">
        <v>962</v>
      </c>
      <c r="B1023" s="1832">
        <f>'Expenditures 15-22'!H50</f>
        <v>3315</v>
      </c>
      <c r="D1023" s="2" t="str">
        <f t="shared" ref="D1023:D1086" si="15">IF(ISBLANK(B1023),"OK",IF(A1023-B1023=0,"OK","Error?"))</f>
        <v>Error?</v>
      </c>
    </row>
    <row r="1024" spans="1:4" x14ac:dyDescent="0.2">
      <c r="A1024" s="5">
        <v>963</v>
      </c>
      <c r="B1024" s="1832">
        <f>'Expenditures 15-22'!H53</f>
        <v>13188</v>
      </c>
      <c r="C1024" s="2" t="s">
        <v>569</v>
      </c>
      <c r="D1024" s="2" t="str">
        <f t="shared" si="15"/>
        <v>Error?</v>
      </c>
    </row>
    <row r="1025" spans="1:4" x14ac:dyDescent="0.2">
      <c r="A1025" s="5">
        <v>964</v>
      </c>
      <c r="B1025" s="1832">
        <f>'Expenditures 15-22'!H55</f>
        <v>698</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698</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15003</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291998</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721267</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3704656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542278</v>
      </c>
      <c r="C1105" s="2" t="s">
        <v>569</v>
      </c>
      <c r="D1105" s="2" t="str">
        <f t="shared" si="16"/>
        <v>Error?</v>
      </c>
    </row>
    <row r="1106" spans="1:4" x14ac:dyDescent="0.2">
      <c r="A1106" s="5">
        <v>1045</v>
      </c>
      <c r="B1106" s="1832">
        <f>'Expenditures 15-22'!K14</f>
        <v>662756</v>
      </c>
      <c r="C1106" s="2" t="s">
        <v>569</v>
      </c>
      <c r="D1106" s="2" t="str">
        <f t="shared" si="16"/>
        <v>Error?</v>
      </c>
    </row>
    <row r="1107" spans="1:4" x14ac:dyDescent="0.2">
      <c r="A1107" s="5">
        <v>1046</v>
      </c>
      <c r="B1107" s="1832">
        <f>'Expenditures 15-22'!K15</f>
        <v>1857</v>
      </c>
      <c r="C1107" s="2" t="s">
        <v>569</v>
      </c>
      <c r="D1107" s="2" t="str">
        <f t="shared" si="16"/>
        <v>Error?</v>
      </c>
    </row>
    <row r="1108" spans="1:4" x14ac:dyDescent="0.2">
      <c r="A1108" s="5">
        <v>1047</v>
      </c>
      <c r="B1108" s="1832">
        <f>'Expenditures 15-22'!K33</f>
        <v>7028864</v>
      </c>
      <c r="C1108" s="2" t="s">
        <v>569</v>
      </c>
      <c r="D1108" s="2" t="str">
        <f t="shared" si="16"/>
        <v>Error?</v>
      </c>
    </row>
    <row r="1109" spans="1:4" x14ac:dyDescent="0.2">
      <c r="A1109" s="5">
        <v>1048</v>
      </c>
      <c r="B1109" s="1832">
        <f>'Expenditures 15-22'!K36</f>
        <v>611982</v>
      </c>
      <c r="C1109" s="2" t="s">
        <v>569</v>
      </c>
      <c r="D1109" s="2" t="str">
        <f t="shared" si="16"/>
        <v>Error?</v>
      </c>
    </row>
    <row r="1110" spans="1:4" x14ac:dyDescent="0.2">
      <c r="A1110" s="5">
        <v>1049</v>
      </c>
      <c r="B1110" s="1832">
        <f>'Expenditures 15-22'!K37</f>
        <v>466781</v>
      </c>
      <c r="C1110" s="2" t="s">
        <v>569</v>
      </c>
      <c r="D1110" s="2" t="str">
        <f t="shared" si="16"/>
        <v>Error?</v>
      </c>
    </row>
    <row r="1111" spans="1:4" x14ac:dyDescent="0.2">
      <c r="A1111" s="5">
        <v>1050</v>
      </c>
      <c r="B1111" s="1832">
        <f>'Expenditures 15-22'!K38</f>
        <v>141042</v>
      </c>
      <c r="C1111" s="2" t="s">
        <v>569</v>
      </c>
      <c r="D1111" s="2" t="str">
        <f t="shared" si="16"/>
        <v>Error?</v>
      </c>
    </row>
    <row r="1112" spans="1:4" x14ac:dyDescent="0.2">
      <c r="A1112" s="5">
        <v>1051</v>
      </c>
      <c r="B1112" s="1832">
        <f>'Expenditures 15-22'!K39</f>
        <v>102</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1219907</v>
      </c>
      <c r="C1115" s="2" t="s">
        <v>569</v>
      </c>
      <c r="D1115" s="2" t="str">
        <f t="shared" si="16"/>
        <v>Error?</v>
      </c>
    </row>
    <row r="1116" spans="1:4" x14ac:dyDescent="0.2">
      <c r="A1116" s="5">
        <v>1055</v>
      </c>
      <c r="B1116" s="1832">
        <f>'Expenditures 15-22'!K44</f>
        <v>141615</v>
      </c>
      <c r="C1116" s="2" t="s">
        <v>569</v>
      </c>
      <c r="D1116" s="2" t="str">
        <f t="shared" si="16"/>
        <v>Error?</v>
      </c>
    </row>
    <row r="1117" spans="1:4" x14ac:dyDescent="0.2">
      <c r="A1117" s="5">
        <v>1056</v>
      </c>
      <c r="B1117" s="1832">
        <f>'Expenditures 15-22'!K45</f>
        <v>137685</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279300</v>
      </c>
      <c r="C1119" s="2" t="s">
        <v>569</v>
      </c>
      <c r="D1119" s="2" t="str">
        <f t="shared" si="16"/>
        <v>Error?</v>
      </c>
    </row>
    <row r="1120" spans="1:4" x14ac:dyDescent="0.2">
      <c r="A1120" s="5">
        <v>1059</v>
      </c>
      <c r="B1120" s="1832">
        <f>'Expenditures 15-22'!K49</f>
        <v>161822</v>
      </c>
      <c r="C1120" s="2" t="s">
        <v>569</v>
      </c>
      <c r="D1120" s="2" t="str">
        <f t="shared" si="16"/>
        <v>Error?</v>
      </c>
    </row>
    <row r="1121" spans="1:4" x14ac:dyDescent="0.2">
      <c r="A1121" s="5">
        <v>1060</v>
      </c>
      <c r="B1121" s="1832">
        <f>'Expenditures 15-22'!K50</f>
        <v>267550</v>
      </c>
      <c r="C1121" s="2" t="s">
        <v>569</v>
      </c>
      <c r="D1121" s="2" t="str">
        <f t="shared" si="16"/>
        <v>Error?</v>
      </c>
    </row>
    <row r="1122" spans="1:4" x14ac:dyDescent="0.2">
      <c r="A1122" s="5">
        <v>1061</v>
      </c>
      <c r="B1122" s="1832">
        <f>'Expenditures 15-22'!K53</f>
        <v>429372</v>
      </c>
      <c r="C1122" s="2" t="s">
        <v>569</v>
      </c>
      <c r="D1122" s="2" t="str">
        <f t="shared" si="16"/>
        <v>Error?</v>
      </c>
    </row>
    <row r="1123" spans="1:4" x14ac:dyDescent="0.2">
      <c r="A1123" s="5">
        <v>1062</v>
      </c>
      <c r="B1123" s="1832">
        <f>'Expenditures 15-22'!K55</f>
        <v>418584</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418584</v>
      </c>
      <c r="C1125" s="2" t="s">
        <v>569</v>
      </c>
      <c r="D1125" s="2" t="str">
        <f t="shared" si="16"/>
        <v>Error?</v>
      </c>
    </row>
    <row r="1126" spans="1:4" x14ac:dyDescent="0.2">
      <c r="A1126" s="5">
        <v>1065</v>
      </c>
      <c r="B1126" s="1832">
        <f>'Expenditures 15-22'!K59</f>
        <v>76940</v>
      </c>
      <c r="C1126" s="2" t="s">
        <v>569</v>
      </c>
      <c r="D1126" s="2" t="str">
        <f t="shared" si="16"/>
        <v>Error?</v>
      </c>
    </row>
    <row r="1127" spans="1:4" x14ac:dyDescent="0.2">
      <c r="A1127" s="5">
        <v>1066</v>
      </c>
      <c r="B1127" s="1832">
        <f>'Expenditures 15-22'!K60</f>
        <v>150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533353</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610443</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289491</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289491</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3247097</v>
      </c>
      <c r="C1143" s="2" t="s">
        <v>569</v>
      </c>
      <c r="D1143" s="2" t="str">
        <f t="shared" si="16"/>
        <v>Error?</v>
      </c>
    </row>
    <row r="1144" spans="1:4" x14ac:dyDescent="0.2">
      <c r="A1144" s="5">
        <v>1083</v>
      </c>
      <c r="B1144" s="1832">
        <f>'Expenditures 15-22'!K75</f>
        <v>284</v>
      </c>
      <c r="C1144" s="2" t="s">
        <v>569</v>
      </c>
      <c r="D1144" s="2" t="str">
        <f t="shared" si="16"/>
        <v>Error?</v>
      </c>
    </row>
    <row r="1145" spans="1:4" x14ac:dyDescent="0.2">
      <c r="A1145" s="5">
        <v>1084</v>
      </c>
      <c r="B1145" s="1832">
        <f>'Expenditures 15-22'!K102</f>
        <v>291998</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10568243</v>
      </c>
      <c r="C1152" s="2" t="s">
        <v>569</v>
      </c>
      <c r="D1152" s="2" t="str">
        <f t="shared" si="17"/>
        <v>Error?</v>
      </c>
    </row>
    <row r="1153" spans="1:4" x14ac:dyDescent="0.2">
      <c r="A1153" s="5">
        <v>1092</v>
      </c>
      <c r="B1153" s="1832">
        <f>'Expenditures 15-22'!K115</f>
        <v>60364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563031</v>
      </c>
      <c r="D1221" s="2" t="str">
        <f t="shared" si="18"/>
        <v>Error?</v>
      </c>
    </row>
    <row r="1222" spans="1:4" x14ac:dyDescent="0.2">
      <c r="A1222" s="10">
        <v>1161</v>
      </c>
      <c r="B1222" s="1832"/>
      <c r="D1222" s="2" t="str">
        <f t="shared" si="18"/>
        <v>OK</v>
      </c>
    </row>
    <row r="1223" spans="1:4" x14ac:dyDescent="0.2">
      <c r="A1223" s="5">
        <v>1162</v>
      </c>
      <c r="B1223" s="1832">
        <f>'Expenditures 15-22'!C127</f>
        <v>563031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563031</v>
      </c>
      <c r="C1225" s="2" t="s">
        <v>569</v>
      </c>
      <c r="D1225" s="2" t="str">
        <f t="shared" si="18"/>
        <v>Error?</v>
      </c>
    </row>
    <row r="1226" spans="1:4" x14ac:dyDescent="0.2">
      <c r="A1226" s="5">
        <v>1165</v>
      </c>
      <c r="B1226" s="1832">
        <f>'Expenditures 15-22'!C151</f>
        <v>563031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98662</v>
      </c>
      <c r="D1229" s="2" t="str">
        <f t="shared" si="18"/>
        <v>Error?</v>
      </c>
    </row>
    <row r="1230" spans="1:4" x14ac:dyDescent="0.2">
      <c r="A1230" s="10">
        <v>1169</v>
      </c>
      <c r="B1230" s="1832"/>
      <c r="D1230" s="2" t="str">
        <f t="shared" si="18"/>
        <v>OK</v>
      </c>
    </row>
    <row r="1231" spans="1:4" x14ac:dyDescent="0.2">
      <c r="A1231" s="5">
        <v>1170</v>
      </c>
      <c r="B1231" s="1832">
        <f>'Expenditures 15-22'!D127</f>
        <v>98662</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98662</v>
      </c>
      <c r="C1233" s="2" t="s">
        <v>569</v>
      </c>
      <c r="D1233" s="2" t="str">
        <f t="shared" si="18"/>
        <v>Error?</v>
      </c>
    </row>
    <row r="1234" spans="1:4" x14ac:dyDescent="0.2">
      <c r="A1234" s="5">
        <v>1173</v>
      </c>
      <c r="B1234" s="1832">
        <f>'Expenditures 15-22'!D151</f>
        <v>98662</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26166</v>
      </c>
      <c r="D1236" s="2" t="str">
        <f t="shared" si="18"/>
        <v>Error?</v>
      </c>
    </row>
    <row r="1237" spans="1:4" x14ac:dyDescent="0.2">
      <c r="A1237" s="5">
        <v>1176</v>
      </c>
      <c r="B1237" s="1832">
        <f>'Expenditures 15-22'!E124</f>
        <v>400111</v>
      </c>
      <c r="D1237" s="2" t="str">
        <f t="shared" si="18"/>
        <v>Error?</v>
      </c>
    </row>
    <row r="1238" spans="1:4" x14ac:dyDescent="0.2">
      <c r="A1238" s="10">
        <v>1177</v>
      </c>
      <c r="B1238" s="1832"/>
      <c r="D1238" s="2" t="str">
        <f t="shared" si="18"/>
        <v>OK</v>
      </c>
    </row>
    <row r="1239" spans="1:4" x14ac:dyDescent="0.2">
      <c r="A1239" s="5">
        <v>1178</v>
      </c>
      <c r="B1239" s="1832">
        <f>'Expenditures 15-22'!E127</f>
        <v>426277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426277</v>
      </c>
      <c r="C1241" s="2" t="s">
        <v>569</v>
      </c>
      <c r="D1241" s="2" t="str">
        <f t="shared" si="18"/>
        <v>Error?</v>
      </c>
    </row>
    <row r="1242" spans="1:4" x14ac:dyDescent="0.2">
      <c r="A1242" s="5">
        <v>1181</v>
      </c>
      <c r="B1242" s="1832">
        <f>'Expenditures 15-22'!E151</f>
        <v>426277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329006</v>
      </c>
      <c r="D1245" s="2" t="str">
        <f t="shared" si="18"/>
        <v>Error?</v>
      </c>
    </row>
    <row r="1246" spans="1:4" x14ac:dyDescent="0.2">
      <c r="A1246" s="10">
        <v>1185</v>
      </c>
      <c r="B1246" s="1832"/>
      <c r="D1246" s="2" t="str">
        <f t="shared" si="18"/>
        <v>OK</v>
      </c>
    </row>
    <row r="1247" spans="1:4" x14ac:dyDescent="0.2">
      <c r="A1247" s="5">
        <v>1186</v>
      </c>
      <c r="B1247" s="1832">
        <f>'Expenditures 15-22'!F127</f>
        <v>329006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329006</v>
      </c>
      <c r="C1249" s="2" t="s">
        <v>569</v>
      </c>
      <c r="D1249" s="2" t="str">
        <f t="shared" si="18"/>
        <v>Error?</v>
      </c>
    </row>
    <row r="1250" spans="1:4" x14ac:dyDescent="0.2">
      <c r="A1250" s="5">
        <v>1189</v>
      </c>
      <c r="B1250" s="1832">
        <f>'Expenditures 15-22'!F151</f>
        <v>329006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71109</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71109</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71109</v>
      </c>
      <c r="C1258" s="2" t="s">
        <v>569</v>
      </c>
      <c r="D1258" s="2" t="str">
        <f t="shared" si="18"/>
        <v>Error?</v>
      </c>
    </row>
    <row r="1259" spans="1:4" x14ac:dyDescent="0.2">
      <c r="A1259" s="5">
        <v>1198</v>
      </c>
      <c r="B1259" s="1832">
        <f>'Expenditures 15-22'!G151</f>
        <v>71109</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60</v>
      </c>
      <c r="D1262" s="2" t="str">
        <f t="shared" si="18"/>
        <v>Error?</v>
      </c>
    </row>
    <row r="1263" spans="1:4" x14ac:dyDescent="0.2">
      <c r="A1263" s="10">
        <v>1202</v>
      </c>
      <c r="B1263" s="1832"/>
      <c r="D1263" s="2" t="str">
        <f t="shared" si="18"/>
        <v>OK</v>
      </c>
    </row>
    <row r="1264" spans="1:4" x14ac:dyDescent="0.2">
      <c r="A1264" s="5">
        <v>1203</v>
      </c>
      <c r="B1264" s="1832">
        <f>'Expenditures 15-22'!H127</f>
        <v>60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60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60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26166</v>
      </c>
      <c r="C1275" s="2" t="s">
        <v>569</v>
      </c>
      <c r="D1275" s="2" t="str">
        <f t="shared" si="18"/>
        <v>Error?</v>
      </c>
    </row>
    <row r="1276" spans="1:4" x14ac:dyDescent="0.2">
      <c r="A1276" s="5">
        <v>1215</v>
      </c>
      <c r="B1276" s="1832">
        <f>'Expenditures 15-22'!K124</f>
        <v>1461979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1488145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1488145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1488145</v>
      </c>
      <c r="C1288" s="2" t="s">
        <v>569</v>
      </c>
      <c r="D1288" s="2" t="str">
        <f t="shared" si="19"/>
        <v>Error?</v>
      </c>
    </row>
    <row r="1289" spans="1:4" x14ac:dyDescent="0.2">
      <c r="A1289" s="5">
        <v>1228</v>
      </c>
      <c r="B1289" s="1832">
        <f>'Expenditures 15-22'!K152</f>
        <v>506730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242033</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649000</v>
      </c>
      <c r="D1315" s="2" t="str">
        <f t="shared" si="19"/>
        <v>Error?</v>
      </c>
    </row>
    <row r="1316" spans="1:4" x14ac:dyDescent="0.2">
      <c r="A1316" s="5">
        <v>1255</v>
      </c>
      <c r="B1316" s="1832">
        <f>'Expenditures 15-22'!H171</f>
        <v>1400</v>
      </c>
      <c r="D1316" s="2" t="str">
        <f t="shared" si="19"/>
        <v>Error?</v>
      </c>
    </row>
    <row r="1317" spans="1:4" x14ac:dyDescent="0.2">
      <c r="A1317" s="5">
        <v>1256</v>
      </c>
      <c r="B1317" s="1832">
        <f>'Expenditures 15-22'!H172</f>
        <v>892433</v>
      </c>
      <c r="C1317" s="2" t="s">
        <v>569</v>
      </c>
      <c r="D1317" s="2" t="str">
        <f t="shared" si="19"/>
        <v>Error?</v>
      </c>
    </row>
    <row r="1318" spans="1:4" x14ac:dyDescent="0.2">
      <c r="A1318" s="5">
        <v>1257</v>
      </c>
      <c r="B1318" s="1832">
        <f>'Expenditures 15-22'!H174</f>
        <v>892433</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242033</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649000</v>
      </c>
      <c r="C1329" s="2" t="s">
        <v>569</v>
      </c>
      <c r="D1329" s="2" t="str">
        <f t="shared" si="19"/>
        <v>Error?</v>
      </c>
    </row>
    <row r="1330" spans="1:4" x14ac:dyDescent="0.2">
      <c r="A1330" s="5">
        <v>1269</v>
      </c>
      <c r="B1330" s="1832">
        <f>'Expenditures 15-22'!K171</f>
        <v>1400</v>
      </c>
      <c r="C1330" s="2" t="s">
        <v>569</v>
      </c>
      <c r="D1330" s="2" t="str">
        <f t="shared" si="19"/>
        <v>Error?</v>
      </c>
    </row>
    <row r="1331" spans="1:4" x14ac:dyDescent="0.2">
      <c r="A1331" s="5">
        <v>1270</v>
      </c>
      <c r="B1331" s="1832">
        <f>'Expenditures 15-22'!K172</f>
        <v>892433</v>
      </c>
      <c r="C1331" s="2" t="s">
        <v>569</v>
      </c>
      <c r="D1331" s="2" t="str">
        <f t="shared" si="19"/>
        <v>Error?</v>
      </c>
    </row>
    <row r="1332" spans="1:4" x14ac:dyDescent="0.2">
      <c r="A1332" s="5">
        <v>1271</v>
      </c>
      <c r="B1332" s="1832">
        <f>'Expenditures 15-22'!K174</f>
        <v>892433</v>
      </c>
      <c r="C1332" s="2" t="s">
        <v>569</v>
      </c>
      <c r="D1332" s="2" t="str">
        <f t="shared" si="19"/>
        <v>Error?</v>
      </c>
    </row>
    <row r="1333" spans="1:4" x14ac:dyDescent="0.2">
      <c r="A1333" s="5">
        <v>1272</v>
      </c>
      <c r="B1333" s="1832">
        <f>'Expenditures 15-22'!K175</f>
        <v>26927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600872</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600872</v>
      </c>
      <c r="C1339" s="2" t="s">
        <v>569</v>
      </c>
      <c r="D1339" s="2" t="str">
        <f t="shared" si="19"/>
        <v>Error?</v>
      </c>
    </row>
    <row r="1340" spans="1:4" x14ac:dyDescent="0.2">
      <c r="A1340" s="5">
        <v>1279</v>
      </c>
      <c r="B1340" s="1832">
        <f>'Expenditures 15-22'!C210</f>
        <v>600872</v>
      </c>
      <c r="C1340" s="2" t="s">
        <v>569</v>
      </c>
      <c r="D1340" s="2" t="str">
        <f t="shared" si="19"/>
        <v>Error?</v>
      </c>
    </row>
    <row r="1341" spans="1:4" x14ac:dyDescent="0.2">
      <c r="A1341" s="5">
        <v>1280</v>
      </c>
      <c r="B1341" s="1832">
        <f>'Expenditures 15-22'!D182</f>
        <v>31858</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31858</v>
      </c>
      <c r="C1345" s="2" t="s">
        <v>569</v>
      </c>
      <c r="D1345" s="2" t="str">
        <f t="shared" si="20"/>
        <v>Error?</v>
      </c>
    </row>
    <row r="1346" spans="1:4" x14ac:dyDescent="0.2">
      <c r="A1346" s="5">
        <v>1285</v>
      </c>
      <c r="B1346" s="1832">
        <f>'Expenditures 15-22'!D210</f>
        <v>31858</v>
      </c>
      <c r="C1346" s="2" t="s">
        <v>569</v>
      </c>
      <c r="D1346" s="2" t="str">
        <f t="shared" si="20"/>
        <v>Error?</v>
      </c>
    </row>
    <row r="1347" spans="1:4" x14ac:dyDescent="0.2">
      <c r="A1347" s="5">
        <v>1286</v>
      </c>
      <c r="B1347" s="1832">
        <f>'Expenditures 15-22'!E182</f>
        <v>136463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136463</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136463</v>
      </c>
      <c r="C1353" s="2" t="s">
        <v>569</v>
      </c>
      <c r="D1353" s="2" t="str">
        <f t="shared" si="20"/>
        <v>Error?</v>
      </c>
    </row>
    <row r="1354" spans="1:4" x14ac:dyDescent="0.2">
      <c r="A1354" s="5">
        <v>1293</v>
      </c>
      <c r="B1354" s="1832">
        <f>'Expenditures 15-22'!F182</f>
        <v>58236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58236</v>
      </c>
      <c r="C1358" s="2" t="s">
        <v>569</v>
      </c>
      <c r="D1358" s="2" t="str">
        <f t="shared" si="20"/>
        <v>Error?</v>
      </c>
    </row>
    <row r="1359" spans="1:4" x14ac:dyDescent="0.2">
      <c r="A1359" s="5">
        <v>1298</v>
      </c>
      <c r="B1359" s="1832">
        <f>'Expenditures 15-22'!F210</f>
        <v>58236</v>
      </c>
      <c r="C1359" s="2" t="s">
        <v>569</v>
      </c>
      <c r="D1359" s="2" t="str">
        <f t="shared" si="20"/>
        <v>Error?</v>
      </c>
    </row>
    <row r="1360" spans="1:4" x14ac:dyDescent="0.2">
      <c r="A1360" s="5">
        <v>1299</v>
      </c>
      <c r="B1360" s="1832">
        <f>'Expenditures 15-22'!G182</f>
        <v>87551</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87551</v>
      </c>
      <c r="C1364" s="2" t="s">
        <v>569</v>
      </c>
      <c r="D1364" s="2" t="str">
        <f t="shared" si="20"/>
        <v>Error?</v>
      </c>
    </row>
    <row r="1365" spans="1:4" x14ac:dyDescent="0.2">
      <c r="A1365" s="5">
        <v>1304</v>
      </c>
      <c r="B1365" s="1832">
        <f>'Expenditures 15-22'!G210</f>
        <v>87551</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196567</v>
      </c>
      <c r="C1375" s="2" t="s">
        <v>569</v>
      </c>
      <c r="D1375" s="2" t="str">
        <f t="shared" si="20"/>
        <v>Error?</v>
      </c>
    </row>
    <row r="1376" spans="1:4" x14ac:dyDescent="0.2">
      <c r="A1376" s="5">
        <v>1315</v>
      </c>
      <c r="B1376" s="1832">
        <f>'Expenditures 15-22'!H210</f>
        <v>196567</v>
      </c>
      <c r="C1376" s="2" t="s">
        <v>569</v>
      </c>
      <c r="D1376" s="2" t="str">
        <f t="shared" si="20"/>
        <v>Error?</v>
      </c>
    </row>
    <row r="1377" spans="1:4" x14ac:dyDescent="0.2">
      <c r="A1377" s="5">
        <v>1316</v>
      </c>
      <c r="B1377" s="1832">
        <f>'Expenditures 15-22'!K182</f>
        <v>914980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914980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196567</v>
      </c>
      <c r="C1387" s="2" t="s">
        <v>569</v>
      </c>
      <c r="D1387" s="2" t="str">
        <f t="shared" si="20"/>
        <v>Error?</v>
      </c>
    </row>
    <row r="1388" spans="1:4" x14ac:dyDescent="0.2">
      <c r="A1388" s="5">
        <v>1327</v>
      </c>
      <c r="B1388" s="1832">
        <f>'Expenditures 15-22'!K210</f>
        <v>1111547</v>
      </c>
      <c r="C1388" s="2" t="s">
        <v>569</v>
      </c>
      <c r="D1388" s="2" t="str">
        <f t="shared" si="20"/>
        <v>Error?</v>
      </c>
    </row>
    <row r="1389" spans="1:4" x14ac:dyDescent="0.2">
      <c r="A1389" s="5">
        <v>1328</v>
      </c>
      <c r="B1389" s="1832">
        <f>'Expenditures 15-22'!K211</f>
        <v>217833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5730</v>
      </c>
      <c r="D1407" s="2" t="str">
        <f t="shared" ref="D1407:D1470" si="21">IF(ISBLANK(B1407),"OK",IF(A1407-B1407=0,"OK","Error?"))</f>
        <v>Error?</v>
      </c>
    </row>
    <row r="1408" spans="1:4" x14ac:dyDescent="0.2">
      <c r="A1408" s="5">
        <v>1347</v>
      </c>
      <c r="B1408" s="1832">
        <f>'Expenditures 15-22'!D223</f>
        <v>18782</v>
      </c>
      <c r="D1408" s="2" t="str">
        <f t="shared" si="21"/>
        <v>Error?</v>
      </c>
    </row>
    <row r="1409" spans="1:4" x14ac:dyDescent="0.2">
      <c r="A1409" s="5">
        <v>1348</v>
      </c>
      <c r="B1409" s="1832">
        <f>'Expenditures 15-22'!D224</f>
        <v>251</v>
      </c>
      <c r="D1409" s="2" t="str">
        <f t="shared" si="21"/>
        <v>Error?</v>
      </c>
    </row>
    <row r="1410" spans="1:4" x14ac:dyDescent="0.2">
      <c r="A1410" s="5">
        <v>1349</v>
      </c>
      <c r="B1410" s="1832">
        <f>'Expenditures 15-22'!D229</f>
        <v>136734</v>
      </c>
      <c r="C1410" s="2" t="s">
        <v>569</v>
      </c>
      <c r="D1410" s="2" t="str">
        <f t="shared" si="21"/>
        <v>Error?</v>
      </c>
    </row>
    <row r="1411" spans="1:4" x14ac:dyDescent="0.2">
      <c r="A1411" s="5">
        <v>1350</v>
      </c>
      <c r="B1411" s="1832">
        <f>'Expenditures 15-22'!D232</f>
        <v>29130</v>
      </c>
      <c r="D1411" s="2" t="str">
        <f t="shared" si="21"/>
        <v>Error?</v>
      </c>
    </row>
    <row r="1412" spans="1:4" x14ac:dyDescent="0.2">
      <c r="A1412" s="5">
        <v>1351</v>
      </c>
      <c r="B1412" s="1832">
        <f>'Expenditures 15-22'!D233</f>
        <v>14960</v>
      </c>
      <c r="D1412" s="2" t="str">
        <f t="shared" si="21"/>
        <v>Error?</v>
      </c>
    </row>
    <row r="1413" spans="1:4" x14ac:dyDescent="0.2">
      <c r="A1413" s="5">
        <v>1352</v>
      </c>
      <c r="B1413" s="1832">
        <f>'Expenditures 15-22'!D234</f>
        <v>7509</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51599</v>
      </c>
      <c r="C1417" s="2" t="s">
        <v>569</v>
      </c>
      <c r="D1417" s="2" t="str">
        <f t="shared" si="21"/>
        <v>Error?</v>
      </c>
    </row>
    <row r="1418" spans="1:4" x14ac:dyDescent="0.2">
      <c r="A1418" s="5">
        <v>1357</v>
      </c>
      <c r="B1418" s="1832">
        <f>'Expenditures 15-22'!D240</f>
        <v>1682</v>
      </c>
      <c r="D1418" s="2" t="str">
        <f t="shared" si="21"/>
        <v>Error?</v>
      </c>
    </row>
    <row r="1419" spans="1:4" x14ac:dyDescent="0.2">
      <c r="A1419" s="5">
        <v>1358</v>
      </c>
      <c r="B1419" s="1832">
        <f>'Expenditures 15-22'!D241</f>
        <v>6904</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8586</v>
      </c>
      <c r="C1421" s="2" t="s">
        <v>569</v>
      </c>
      <c r="D1421" s="2" t="str">
        <f t="shared" si="21"/>
        <v>Error?</v>
      </c>
    </row>
    <row r="1422" spans="1:4" x14ac:dyDescent="0.2">
      <c r="A1422" s="5">
        <v>1361</v>
      </c>
      <c r="B1422" s="1832">
        <f>'Expenditures 15-22'!D245</f>
        <v>468</v>
      </c>
      <c r="D1422" s="2" t="str">
        <f t="shared" si="21"/>
        <v>Error?</v>
      </c>
    </row>
    <row r="1423" spans="1:4" x14ac:dyDescent="0.2">
      <c r="A1423" s="5">
        <v>1362</v>
      </c>
      <c r="B1423" s="1832">
        <f>'Expenditures 15-22'!D246</f>
        <v>12565</v>
      </c>
      <c r="D1423" s="2" t="str">
        <f t="shared" si="21"/>
        <v>Error?</v>
      </c>
    </row>
    <row r="1424" spans="1:4" x14ac:dyDescent="0.2">
      <c r="A1424" s="5">
        <v>1363</v>
      </c>
      <c r="B1424" s="1832">
        <f>'Expenditures 15-22'!D257</f>
        <v>13033</v>
      </c>
      <c r="C1424" s="2" t="s">
        <v>569</v>
      </c>
      <c r="D1424" s="2" t="str">
        <f t="shared" si="21"/>
        <v>Error?</v>
      </c>
    </row>
    <row r="1425" spans="1:4" x14ac:dyDescent="0.2">
      <c r="A1425" s="5">
        <v>1364</v>
      </c>
      <c r="B1425" s="1832">
        <f>'Expenditures 15-22'!D259</f>
        <v>24393</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24393</v>
      </c>
      <c r="C1427" s="2" t="s">
        <v>569</v>
      </c>
      <c r="D1427" s="2" t="str">
        <f t="shared" si="21"/>
        <v>Error?</v>
      </c>
    </row>
    <row r="1428" spans="1:4" x14ac:dyDescent="0.2">
      <c r="A1428" s="5">
        <v>1367</v>
      </c>
      <c r="B1428" s="1832">
        <f>'Expenditures 15-22'!D263</f>
        <v>8245</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91537</v>
      </c>
      <c r="D1431" s="2" t="str">
        <f t="shared" si="21"/>
        <v>Error?</v>
      </c>
    </row>
    <row r="1432" spans="1:4" x14ac:dyDescent="0.2">
      <c r="A1432" s="5">
        <v>1371</v>
      </c>
      <c r="B1432" s="1832">
        <f>'Expenditures 15-22'!D267</f>
        <v>87356</v>
      </c>
      <c r="D1432" s="2" t="str">
        <f t="shared" si="21"/>
        <v>Error?</v>
      </c>
    </row>
    <row r="1433" spans="1:4" x14ac:dyDescent="0.2">
      <c r="A1433" s="5">
        <v>1372</v>
      </c>
      <c r="B1433" s="1832">
        <f>'Expenditures 15-22'!D268</f>
        <v>37472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224610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39570</v>
      </c>
      <c r="D1442" s="2" t="str">
        <f t="shared" si="21"/>
        <v>Error?</v>
      </c>
    </row>
    <row r="1443" spans="1:4" x14ac:dyDescent="0.2">
      <c r="A1443" s="10">
        <v>1382</v>
      </c>
      <c r="B1443" s="1832"/>
      <c r="D1443" s="2" t="str">
        <f t="shared" si="21"/>
        <v>OK</v>
      </c>
    </row>
    <row r="1444" spans="1:4" x14ac:dyDescent="0.2">
      <c r="A1444" s="5">
        <v>1383</v>
      </c>
      <c r="B1444" s="1832">
        <f>'Expenditures 15-22'!D277</f>
        <v>39570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361791</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498525</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5730</v>
      </c>
      <c r="C1471" s="2" t="s">
        <v>569</v>
      </c>
      <c r="D1471" s="2" t="str">
        <f t="shared" ref="D1471:D1534" si="22">IF(ISBLANK(B1471),"OK",IF(A1471-B1471=0,"OK","Error?"))</f>
        <v>Error?</v>
      </c>
    </row>
    <row r="1472" spans="1:4" x14ac:dyDescent="0.2">
      <c r="A1472" s="5">
        <v>1411</v>
      </c>
      <c r="B1472" s="1832">
        <f>'Expenditures 15-22'!K223</f>
        <v>18782</v>
      </c>
      <c r="C1472" s="2" t="s">
        <v>569</v>
      </c>
      <c r="D1472" s="2" t="str">
        <f t="shared" si="22"/>
        <v>Error?</v>
      </c>
    </row>
    <row r="1473" spans="1:4" x14ac:dyDescent="0.2">
      <c r="A1473" s="5">
        <v>1412</v>
      </c>
      <c r="B1473" s="1832">
        <f>'Expenditures 15-22'!K224</f>
        <v>251</v>
      </c>
      <c r="C1473" s="2" t="s">
        <v>569</v>
      </c>
      <c r="D1473" s="2" t="str">
        <f t="shared" si="22"/>
        <v>Error?</v>
      </c>
    </row>
    <row r="1474" spans="1:4" x14ac:dyDescent="0.2">
      <c r="A1474" s="5">
        <v>1413</v>
      </c>
      <c r="B1474" s="1832">
        <f>'Expenditures 15-22'!K229</f>
        <v>136734</v>
      </c>
      <c r="C1474" s="2" t="s">
        <v>569</v>
      </c>
      <c r="D1474" s="2" t="str">
        <f t="shared" si="22"/>
        <v>Error?</v>
      </c>
    </row>
    <row r="1475" spans="1:4" x14ac:dyDescent="0.2">
      <c r="A1475" s="5">
        <v>1414</v>
      </c>
      <c r="B1475" s="1832">
        <f>'Expenditures 15-22'!K232</f>
        <v>29130</v>
      </c>
      <c r="C1475" s="2" t="s">
        <v>569</v>
      </c>
      <c r="D1475" s="2" t="str">
        <f t="shared" si="22"/>
        <v>Error?</v>
      </c>
    </row>
    <row r="1476" spans="1:4" x14ac:dyDescent="0.2">
      <c r="A1476" s="5">
        <v>1415</v>
      </c>
      <c r="B1476" s="1832">
        <f>'Expenditures 15-22'!K233</f>
        <v>14960</v>
      </c>
      <c r="C1476" s="2" t="s">
        <v>569</v>
      </c>
      <c r="D1476" s="2" t="str">
        <f t="shared" si="22"/>
        <v>Error?</v>
      </c>
    </row>
    <row r="1477" spans="1:4" x14ac:dyDescent="0.2">
      <c r="A1477" s="5">
        <v>1416</v>
      </c>
      <c r="B1477" s="1832">
        <f>'Expenditures 15-22'!K234</f>
        <v>7509</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51599</v>
      </c>
      <c r="C1481" s="2" t="s">
        <v>569</v>
      </c>
      <c r="D1481" s="2" t="str">
        <f t="shared" si="22"/>
        <v>Error?</v>
      </c>
    </row>
    <row r="1482" spans="1:4" x14ac:dyDescent="0.2">
      <c r="A1482" s="5">
        <v>1421</v>
      </c>
      <c r="B1482" s="1832">
        <f>'Expenditures 15-22'!K240</f>
        <v>1682</v>
      </c>
      <c r="C1482" s="2" t="s">
        <v>569</v>
      </c>
      <c r="D1482" s="2" t="str">
        <f t="shared" si="22"/>
        <v>Error?</v>
      </c>
    </row>
    <row r="1483" spans="1:4" x14ac:dyDescent="0.2">
      <c r="A1483" s="5">
        <v>1422</v>
      </c>
      <c r="B1483" s="1832">
        <f>'Expenditures 15-22'!K241</f>
        <v>6904</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8586</v>
      </c>
      <c r="C1485" s="2" t="s">
        <v>569</v>
      </c>
      <c r="D1485" s="2" t="str">
        <f t="shared" si="22"/>
        <v>Error?</v>
      </c>
    </row>
    <row r="1486" spans="1:4" x14ac:dyDescent="0.2">
      <c r="A1486" s="5">
        <v>1425</v>
      </c>
      <c r="B1486" s="1832">
        <f>'Expenditures 15-22'!K245</f>
        <v>468</v>
      </c>
      <c r="C1486" s="2" t="s">
        <v>569</v>
      </c>
      <c r="D1486" s="2" t="str">
        <f t="shared" si="22"/>
        <v>Error?</v>
      </c>
    </row>
    <row r="1487" spans="1:4" x14ac:dyDescent="0.2">
      <c r="A1487" s="5">
        <v>1426</v>
      </c>
      <c r="B1487" s="1832">
        <f>'Expenditures 15-22'!K246</f>
        <v>12565</v>
      </c>
      <c r="C1487" s="2" t="s">
        <v>569</v>
      </c>
      <c r="D1487" s="2" t="str">
        <f t="shared" si="22"/>
        <v>Error?</v>
      </c>
    </row>
    <row r="1488" spans="1:4" x14ac:dyDescent="0.2">
      <c r="A1488" s="5">
        <v>1427</v>
      </c>
      <c r="B1488" s="1832">
        <f>'Expenditures 15-22'!K257</f>
        <v>13033</v>
      </c>
      <c r="C1488" s="2" t="s">
        <v>569</v>
      </c>
      <c r="D1488" s="2" t="str">
        <f t="shared" si="22"/>
        <v>Error?</v>
      </c>
    </row>
    <row r="1489" spans="1:4" x14ac:dyDescent="0.2">
      <c r="A1489" s="5">
        <v>1428</v>
      </c>
      <c r="B1489" s="1832">
        <f>'Expenditures 15-22'!K259</f>
        <v>24393</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24393</v>
      </c>
      <c r="C1491" s="2" t="s">
        <v>569</v>
      </c>
      <c r="D1491" s="2" t="str">
        <f t="shared" si="22"/>
        <v>Error?</v>
      </c>
    </row>
    <row r="1492" spans="1:4" x14ac:dyDescent="0.2">
      <c r="A1492" s="5">
        <v>1431</v>
      </c>
      <c r="B1492" s="1832">
        <f>'Expenditures 15-22'!K263</f>
        <v>8245</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91537</v>
      </c>
      <c r="C1495" s="2" t="s">
        <v>569</v>
      </c>
      <c r="D1495" s="2" t="str">
        <f t="shared" si="22"/>
        <v>Error?</v>
      </c>
    </row>
    <row r="1496" spans="1:4" x14ac:dyDescent="0.2">
      <c r="A1496" s="5">
        <v>1435</v>
      </c>
      <c r="B1496" s="1832">
        <f>'Expenditures 15-22'!K267</f>
        <v>87356</v>
      </c>
      <c r="C1496" s="2" t="s">
        <v>569</v>
      </c>
      <c r="D1496" s="2" t="str">
        <f t="shared" si="22"/>
        <v>Error?</v>
      </c>
    </row>
    <row r="1497" spans="1:4" x14ac:dyDescent="0.2">
      <c r="A1497" s="5">
        <v>1436</v>
      </c>
      <c r="B1497" s="1832">
        <f>'Expenditures 15-22'!K268</f>
        <v>37472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224610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39570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39570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361791</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498525</v>
      </c>
      <c r="C1517" s="2" t="s">
        <v>569</v>
      </c>
      <c r="D1517" s="2" t="str">
        <f t="shared" si="22"/>
        <v>Error?</v>
      </c>
    </row>
    <row r="1518" spans="1:4" x14ac:dyDescent="0.2">
      <c r="A1518" s="5">
        <v>1457</v>
      </c>
      <c r="B1518" s="1832">
        <f>'Expenditures 15-22'!K296</f>
        <v>70237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64646</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64646</v>
      </c>
      <c r="C1535" s="2" t="s">
        <v>569</v>
      </c>
      <c r="D1535" s="2" t="str">
        <f t="shared" ref="D1535:D1598" si="23">IF(ISBLANK(B1535),"OK",IF(A1535-B1535=0,"OK","Error?"))</f>
        <v>Error?</v>
      </c>
    </row>
    <row r="1536" spans="1:4" x14ac:dyDescent="0.2">
      <c r="A1536" s="5">
        <v>1475</v>
      </c>
      <c r="B1536" s="1832">
        <f>'Expenditures 15-22'!E312</f>
        <v>64646</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3249275</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3249275</v>
      </c>
      <c r="C1547" s="2" t="s">
        <v>569</v>
      </c>
      <c r="D1547" s="2" t="str">
        <f t="shared" si="23"/>
        <v>Error?</v>
      </c>
    </row>
    <row r="1548" spans="1:4" x14ac:dyDescent="0.2">
      <c r="A1548" s="5">
        <v>1487</v>
      </c>
      <c r="B1548" s="1832">
        <f>'Expenditures 15-22'!G312</f>
        <v>3249275</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3313921</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3313921</v>
      </c>
      <c r="C1559" s="2" t="s">
        <v>569</v>
      </c>
      <c r="D1559" s="2" t="str">
        <f t="shared" si="23"/>
        <v>Error?</v>
      </c>
    </row>
    <row r="1560" spans="1:4" x14ac:dyDescent="0.2">
      <c r="A1560" s="5">
        <v>1499</v>
      </c>
      <c r="B1560" s="1832">
        <f>'Expenditures 15-22'!K312</f>
        <v>3313921</v>
      </c>
      <c r="C1560" s="2" t="s">
        <v>569</v>
      </c>
      <c r="D1560" s="2" t="str">
        <f t="shared" si="23"/>
        <v>Error?</v>
      </c>
    </row>
    <row r="1561" spans="1:4" x14ac:dyDescent="0.2">
      <c r="A1561" s="5">
        <v>1500</v>
      </c>
      <c r="B1561" s="1832">
        <f>'Expenditures 15-22'!K313</f>
        <v>-3278522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2614502</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2651144</v>
      </c>
      <c r="C1630" s="2" t="s">
        <v>569</v>
      </c>
      <c r="D1630" s="2" t="str">
        <f t="shared" si="24"/>
        <v>Error?</v>
      </c>
    </row>
    <row r="1631" spans="1:4" x14ac:dyDescent="0.2">
      <c r="A1631" s="5">
        <v>1570</v>
      </c>
      <c r="B1631" s="1832">
        <f>'Acct Summary 7-8'!D79</f>
        <v>1040898</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1314327</v>
      </c>
      <c r="C1644" s="2" t="s">
        <v>569</v>
      </c>
      <c r="D1644" s="2" t="str">
        <f t="shared" si="24"/>
        <v>Error?</v>
      </c>
    </row>
    <row r="1645" spans="1:4" x14ac:dyDescent="0.2">
      <c r="A1645" s="5">
        <v>1584</v>
      </c>
      <c r="B1645" s="1832">
        <f>'Acct Summary 7-8'!E79</f>
        <v>1268127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1295054</v>
      </c>
      <c r="C1658" s="2" t="s">
        <v>569</v>
      </c>
      <c r="D1658" s="2" t="str">
        <f t="shared" si="24"/>
        <v>Error?</v>
      </c>
    </row>
    <row r="1659" spans="1:4" x14ac:dyDescent="0.2">
      <c r="A1659" s="5">
        <v>1598</v>
      </c>
      <c r="B1659" s="1832">
        <f>'Acct Summary 7-8'!F79</f>
        <v>1828392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2046225</v>
      </c>
      <c r="C1672" s="2" t="s">
        <v>569</v>
      </c>
      <c r="D1672" s="2" t="str">
        <f t="shared" si="25"/>
        <v>Error?</v>
      </c>
    </row>
    <row r="1673" spans="1:4" x14ac:dyDescent="0.2">
      <c r="A1673" s="5">
        <v>1612</v>
      </c>
      <c r="B1673" s="1832">
        <f>'Acct Summary 7-8'!G79</f>
        <v>653278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723515</v>
      </c>
      <c r="C1686" s="2" t="s">
        <v>569</v>
      </c>
      <c r="D1686" s="2" t="str">
        <f t="shared" si="25"/>
        <v>Error?</v>
      </c>
    </row>
    <row r="1687" spans="1:4" x14ac:dyDescent="0.2">
      <c r="A1687" s="5">
        <v>1626</v>
      </c>
      <c r="B1687" s="1832">
        <f>'Acct Summary 7-8'!H79</f>
        <v>1376300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-2222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5760487</v>
      </c>
      <c r="C1744" s="2" t="s">
        <v>569</v>
      </c>
      <c r="D1744" s="2" t="str">
        <f t="shared" si="26"/>
        <v>Error?</v>
      </c>
    </row>
    <row r="1745" spans="1:5" x14ac:dyDescent="0.2">
      <c r="A1745" s="5">
        <v>1684</v>
      </c>
      <c r="B1745" s="1832">
        <f>'Tax Sched 23'!B5</f>
        <v>1548760</v>
      </c>
      <c r="C1745" s="2" t="s">
        <v>569</v>
      </c>
      <c r="D1745" s="2" t="str">
        <f t="shared" si="26"/>
        <v>Error?</v>
      </c>
    </row>
    <row r="1746" spans="1:5" x14ac:dyDescent="0.2">
      <c r="A1746" s="5">
        <v>1685</v>
      </c>
      <c r="B1746" s="1832">
        <f>'Tax Sched 23'!B6</f>
        <v>486618</v>
      </c>
      <c r="C1746" s="2" t="s">
        <v>569</v>
      </c>
      <c r="D1746" s="2" t="str">
        <f t="shared" si="26"/>
        <v>Error?</v>
      </c>
    </row>
    <row r="1747" spans="1:5" x14ac:dyDescent="0.2">
      <c r="A1747" s="5">
        <v>1686</v>
      </c>
      <c r="B1747" s="1832">
        <f>'Tax Sched 23'!B7</f>
        <v>746344</v>
      </c>
      <c r="C1747" s="2" t="s">
        <v>569</v>
      </c>
      <c r="D1747" s="2" t="str">
        <f t="shared" si="26"/>
        <v>Error?</v>
      </c>
    </row>
    <row r="1748" spans="1:5" x14ac:dyDescent="0.2">
      <c r="A1748" s="5">
        <v>1687</v>
      </c>
      <c r="B1748" s="1832">
        <f>'Tax Sched 23'!B8</f>
        <v>176011</v>
      </c>
      <c r="C1748" s="2" t="s">
        <v>569</v>
      </c>
      <c r="D1748" s="2" t="str">
        <f t="shared" si="26"/>
        <v>Error?</v>
      </c>
    </row>
    <row r="1749" spans="1:5" x14ac:dyDescent="0.2">
      <c r="A1749" s="5">
        <v>1688</v>
      </c>
      <c r="B1749" s="1832">
        <f>'Tax Sched 23'!B10</f>
        <v>214154</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281771</v>
      </c>
      <c r="C1753" s="2" t="s">
        <v>569</v>
      </c>
      <c r="D1753" s="2" t="str">
        <f t="shared" si="26"/>
        <v>Error?</v>
      </c>
    </row>
    <row r="1754" spans="1:5" x14ac:dyDescent="0.2">
      <c r="A1754" s="5">
        <v>1693</v>
      </c>
      <c r="B1754" s="1832">
        <f>'Tax Sched 23'!B14</f>
        <v>114063</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9943566</v>
      </c>
      <c r="C1759" s="2" t="s">
        <v>569</v>
      </c>
      <c r="D1759" s="2" t="str">
        <f t="shared" si="26"/>
        <v>Error?</v>
      </c>
    </row>
    <row r="1760" spans="1:5" x14ac:dyDescent="0.2">
      <c r="A1760" s="5">
        <v>1699</v>
      </c>
      <c r="B1760" s="1832">
        <f>'Tax Sched 23'!D4</f>
        <v>5760487</v>
      </c>
      <c r="C1760" s="2" t="s">
        <v>569</v>
      </c>
      <c r="D1760" s="2" t="str">
        <f t="shared" si="26"/>
        <v>Error?</v>
      </c>
    </row>
    <row r="1761" spans="1:7" x14ac:dyDescent="0.2">
      <c r="A1761" s="5">
        <v>1700</v>
      </c>
      <c r="B1761" s="1832">
        <f>'Tax Sched 23'!D5</f>
        <v>1548760</v>
      </c>
      <c r="C1761" s="2" t="s">
        <v>569</v>
      </c>
      <c r="D1761" s="2" t="str">
        <f t="shared" si="26"/>
        <v>Error?</v>
      </c>
    </row>
    <row r="1762" spans="1:7" s="8" customFormat="1" x14ac:dyDescent="0.2">
      <c r="A1762" s="5">
        <v>1701</v>
      </c>
      <c r="B1762" s="1832">
        <f>'Tax Sched 23'!D6</f>
        <v>486618</v>
      </c>
      <c r="C1762" s="2" t="s">
        <v>569</v>
      </c>
      <c r="D1762" s="2" t="str">
        <f t="shared" si="26"/>
        <v>Error?</v>
      </c>
      <c r="E1762" s="9"/>
      <c r="G1762"/>
    </row>
    <row r="1763" spans="1:7" x14ac:dyDescent="0.2">
      <c r="A1763" s="5">
        <v>1702</v>
      </c>
      <c r="B1763" s="1832">
        <f>'Tax Sched 23'!D7</f>
        <v>746344</v>
      </c>
      <c r="C1763" s="2" t="s">
        <v>569</v>
      </c>
      <c r="D1763" s="2" t="str">
        <f t="shared" si="26"/>
        <v>Error?</v>
      </c>
    </row>
    <row r="1764" spans="1:7" x14ac:dyDescent="0.2">
      <c r="A1764" s="5">
        <v>1703</v>
      </c>
      <c r="B1764" s="1832">
        <f>'Tax Sched 23'!D8</f>
        <v>176011</v>
      </c>
      <c r="C1764" s="2" t="s">
        <v>569</v>
      </c>
      <c r="D1764" s="2" t="str">
        <f t="shared" si="26"/>
        <v>Error?</v>
      </c>
    </row>
    <row r="1765" spans="1:7" x14ac:dyDescent="0.2">
      <c r="A1765" s="5">
        <v>1704</v>
      </c>
      <c r="B1765" s="1832">
        <f>'Tax Sched 23'!D10</f>
        <v>214154</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281771</v>
      </c>
      <c r="C1769" s="2" t="s">
        <v>569</v>
      </c>
      <c r="D1769" s="2" t="str">
        <f t="shared" si="26"/>
        <v>Error?</v>
      </c>
    </row>
    <row r="1770" spans="1:7" x14ac:dyDescent="0.2">
      <c r="A1770" s="5">
        <v>1709</v>
      </c>
      <c r="B1770" s="1832">
        <f>'Tax Sched 23'!D14</f>
        <v>114063</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9943566</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6140114</v>
      </c>
      <c r="C1792" s="2" t="s">
        <v>569</v>
      </c>
      <c r="D1792" s="2" t="str">
        <f t="shared" si="27"/>
        <v>Error?</v>
      </c>
    </row>
    <row r="1793" spans="1:4" x14ac:dyDescent="0.2">
      <c r="A1793" s="5">
        <v>1732</v>
      </c>
      <c r="B1793" s="1832">
        <f>'Tax Sched 23'!F5</f>
        <v>1650910</v>
      </c>
      <c r="C1793" s="2" t="s">
        <v>569</v>
      </c>
      <c r="D1793" s="2" t="str">
        <f t="shared" si="27"/>
        <v>Error?</v>
      </c>
    </row>
    <row r="1794" spans="1:4" x14ac:dyDescent="0.2">
      <c r="A1794" s="5">
        <v>1733</v>
      </c>
      <c r="B1794" s="1832">
        <f>'Tax Sched 23'!F6</f>
        <v>497463</v>
      </c>
      <c r="C1794" s="2" t="s">
        <v>569</v>
      </c>
      <c r="D1794" s="2" t="str">
        <f t="shared" si="27"/>
        <v>Error?</v>
      </c>
    </row>
    <row r="1795" spans="1:4" x14ac:dyDescent="0.2">
      <c r="A1795" s="5">
        <v>1734</v>
      </c>
      <c r="B1795" s="1832">
        <f>'Tax Sched 23'!F7</f>
        <v>795600</v>
      </c>
      <c r="C1795" s="2" t="s">
        <v>569</v>
      </c>
      <c r="D1795" s="2" t="str">
        <f t="shared" si="27"/>
        <v>Error?</v>
      </c>
    </row>
    <row r="1796" spans="1:4" x14ac:dyDescent="0.2">
      <c r="A1796" s="5">
        <v>1735</v>
      </c>
      <c r="B1796" s="1832">
        <f>'Tax Sched 23'!F8</f>
        <v>235798</v>
      </c>
      <c r="C1796" s="2" t="s">
        <v>569</v>
      </c>
      <c r="D1796" s="2" t="str">
        <f t="shared" si="27"/>
        <v>Error?</v>
      </c>
    </row>
    <row r="1797" spans="1:4" x14ac:dyDescent="0.2">
      <c r="A1797" s="5">
        <v>1736</v>
      </c>
      <c r="B1797" s="1832">
        <f>'Tax Sched 23'!F10</f>
        <v>217401</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300396</v>
      </c>
      <c r="C1801" s="2" t="s">
        <v>569</v>
      </c>
      <c r="D1801" s="2" t="str">
        <f t="shared" si="27"/>
        <v>Error?</v>
      </c>
    </row>
    <row r="1802" spans="1:4" x14ac:dyDescent="0.2">
      <c r="A1802" s="5">
        <v>1741</v>
      </c>
      <c r="B1802" s="1832">
        <f>'Tax Sched 23'!F14</f>
        <v>121634</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10305406</v>
      </c>
      <c r="C1807" s="2" t="s">
        <v>569</v>
      </c>
      <c r="D1807" s="2" t="str">
        <f t="shared" si="27"/>
        <v>Error?</v>
      </c>
    </row>
    <row r="1808" spans="1:4" x14ac:dyDescent="0.2">
      <c r="A1808" s="5">
        <v>1747</v>
      </c>
      <c r="B1808" s="1832">
        <f>'Tax Sched 23'!E4</f>
        <v>6140114</v>
      </c>
      <c r="D1808" s="2" t="str">
        <f t="shared" si="27"/>
        <v>Error?</v>
      </c>
    </row>
    <row r="1809" spans="1:4" x14ac:dyDescent="0.2">
      <c r="A1809" s="5">
        <v>1748</v>
      </c>
      <c r="B1809" s="1832">
        <f>'Tax Sched 23'!E5</f>
        <v>1650910</v>
      </c>
      <c r="D1809" s="2" t="str">
        <f t="shared" si="27"/>
        <v>Error?</v>
      </c>
    </row>
    <row r="1810" spans="1:4" x14ac:dyDescent="0.2">
      <c r="A1810" s="5">
        <v>1749</v>
      </c>
      <c r="B1810" s="1832">
        <f>'Tax Sched 23'!E6</f>
        <v>497463</v>
      </c>
      <c r="D1810" s="2" t="str">
        <f t="shared" si="27"/>
        <v>Error?</v>
      </c>
    </row>
    <row r="1811" spans="1:4" x14ac:dyDescent="0.2">
      <c r="A1811" s="5">
        <v>1750</v>
      </c>
      <c r="B1811" s="1832">
        <f>'Tax Sched 23'!E7</f>
        <v>795600</v>
      </c>
      <c r="D1811" s="2" t="str">
        <f t="shared" si="27"/>
        <v>Error?</v>
      </c>
    </row>
    <row r="1812" spans="1:4" x14ac:dyDescent="0.2">
      <c r="A1812" s="5">
        <v>1751</v>
      </c>
      <c r="B1812" s="1832">
        <f>'Tax Sched 23'!E8</f>
        <v>235798</v>
      </c>
      <c r="D1812" s="2" t="str">
        <f t="shared" si="27"/>
        <v>Error?</v>
      </c>
    </row>
    <row r="1813" spans="1:4" x14ac:dyDescent="0.2">
      <c r="A1813" s="5">
        <v>1752</v>
      </c>
      <c r="B1813" s="1832">
        <f>'Tax Sched 23'!E10</f>
        <v>217401</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300396</v>
      </c>
      <c r="D1817" s="2" t="str">
        <f t="shared" si="27"/>
        <v>Error?</v>
      </c>
    </row>
    <row r="1818" spans="1:4" x14ac:dyDescent="0.2">
      <c r="A1818" s="5">
        <v>1757</v>
      </c>
      <c r="B1818" s="1832">
        <f>'Tax Sched 23'!E14</f>
        <v>121634</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10305406</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11686565</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114063</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114063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114063</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60099</v>
      </c>
      <c r="D2008" s="2" t="str">
        <f t="shared" si="30"/>
        <v>Error?</v>
      </c>
    </row>
    <row r="2009" spans="1:4" x14ac:dyDescent="0.2">
      <c r="A2009" s="5">
        <v>1948</v>
      </c>
      <c r="B2009" s="1832">
        <f>'Cap Outlay Deprec 26'!C8</f>
        <v>31902171</v>
      </c>
      <c r="D2009" s="2" t="str">
        <f t="shared" si="30"/>
        <v>Error?</v>
      </c>
    </row>
    <row r="2010" spans="1:4" x14ac:dyDescent="0.2">
      <c r="A2010" s="5">
        <v>1949</v>
      </c>
      <c r="B2010" s="1832">
        <f>'Cap Outlay Deprec 26'!C10</f>
        <v>1678543</v>
      </c>
      <c r="D2010" s="2" t="str">
        <f t="shared" si="30"/>
        <v>Error?</v>
      </c>
    </row>
    <row r="2011" spans="1:4" x14ac:dyDescent="0.2">
      <c r="A2011" s="5">
        <v>1950</v>
      </c>
      <c r="B2011" s="1832">
        <f>'Cap Outlay Deprec 26'!C12</f>
        <v>2737098</v>
      </c>
      <c r="D2011" s="2" t="str">
        <f t="shared" si="30"/>
        <v>Error?</v>
      </c>
    </row>
    <row r="2012" spans="1:4" x14ac:dyDescent="0.2">
      <c r="A2012" s="5">
        <v>1951</v>
      </c>
      <c r="B2012" s="1832">
        <f>'Cap Outlay Deprec 26'!C13</f>
        <v>1597792</v>
      </c>
      <c r="D2012" s="2" t="str">
        <f t="shared" si="30"/>
        <v>Error?</v>
      </c>
    </row>
    <row r="2013" spans="1:4" x14ac:dyDescent="0.2">
      <c r="A2013" s="5">
        <v>1952</v>
      </c>
      <c r="B2013" s="1832">
        <f>'Cap Outlay Deprec 26'!C16</f>
        <v>38872515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163485</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65622</v>
      </c>
      <c r="D2017" s="2" t="str">
        <f t="shared" si="30"/>
        <v>Error?</v>
      </c>
    </row>
    <row r="2018" spans="1:4" x14ac:dyDescent="0.2">
      <c r="A2018" s="5">
        <v>1957</v>
      </c>
      <c r="B2018" s="1832">
        <f>'Cap Outlay Deprec 26'!D13</f>
        <v>87550</v>
      </c>
      <c r="D2018" s="2" t="str">
        <f t="shared" si="30"/>
        <v>Error?</v>
      </c>
    </row>
    <row r="2019" spans="1:4" x14ac:dyDescent="0.2">
      <c r="A2019" s="5">
        <v>1958</v>
      </c>
      <c r="B2019" s="1832">
        <f>'Cap Outlay Deprec 26'!D16</f>
        <v>4118528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799243</v>
      </c>
      <c r="D2023" s="2" t="str">
        <f t="shared" si="30"/>
        <v>Error?</v>
      </c>
    </row>
    <row r="2024" spans="1:4" x14ac:dyDescent="0.2">
      <c r="A2024" s="5">
        <v>1963</v>
      </c>
      <c r="B2024" s="1832">
        <f>'Cap Outlay Deprec 26'!E13</f>
        <v>195909</v>
      </c>
      <c r="D2024" s="2" t="str">
        <f t="shared" si="30"/>
        <v>Error?</v>
      </c>
    </row>
    <row r="2025" spans="1:4" x14ac:dyDescent="0.2">
      <c r="A2025" s="5">
        <v>1964</v>
      </c>
      <c r="B2025" s="1832">
        <f>'Cap Outlay Deprec 26'!E16</f>
        <v>995152</v>
      </c>
      <c r="C2025" s="2" t="s">
        <v>569</v>
      </c>
      <c r="D2025" s="2" t="str">
        <f t="shared" si="30"/>
        <v>Error?</v>
      </c>
    </row>
    <row r="2026" spans="1:4" x14ac:dyDescent="0.2">
      <c r="A2026" s="5">
        <v>1965</v>
      </c>
      <c r="B2026" s="1832">
        <f>'Cap Outlay Deprec 26'!F5</f>
        <v>60099</v>
      </c>
      <c r="C2026" s="2" t="s">
        <v>569</v>
      </c>
      <c r="D2026" s="2" t="str">
        <f t="shared" si="30"/>
        <v>Error?</v>
      </c>
    </row>
    <row r="2027" spans="1:4" x14ac:dyDescent="0.2">
      <c r="A2027" s="5">
        <v>1966</v>
      </c>
      <c r="B2027" s="1832">
        <f>'Cap Outlay Deprec 26'!F8</f>
        <v>32065656</v>
      </c>
      <c r="C2027" s="2" t="s">
        <v>569</v>
      </c>
      <c r="D2027" s="2" t="str">
        <f t="shared" si="30"/>
        <v>Error?</v>
      </c>
    </row>
    <row r="2028" spans="1:4" x14ac:dyDescent="0.2">
      <c r="A2028" s="5">
        <v>1967</v>
      </c>
      <c r="B2028" s="1832">
        <f>'Cap Outlay Deprec 26'!F10</f>
        <v>1678543</v>
      </c>
      <c r="C2028" s="2" t="s">
        <v>569</v>
      </c>
      <c r="D2028" s="2" t="str">
        <f t="shared" si="30"/>
        <v>Error?</v>
      </c>
    </row>
    <row r="2029" spans="1:4" x14ac:dyDescent="0.2">
      <c r="A2029" s="5">
        <v>1968</v>
      </c>
      <c r="B2029" s="1832">
        <f>'Cap Outlay Deprec 26'!F12</f>
        <v>2003477</v>
      </c>
      <c r="C2029" s="2" t="s">
        <v>569</v>
      </c>
      <c r="D2029" s="2" t="str">
        <f t="shared" si="30"/>
        <v>Error?</v>
      </c>
    </row>
    <row r="2030" spans="1:4" x14ac:dyDescent="0.2">
      <c r="A2030" s="5">
        <v>1969</v>
      </c>
      <c r="B2030" s="1832">
        <f>'Cap Outlay Deprec 26'!F13</f>
        <v>1489433</v>
      </c>
      <c r="C2030" s="2" t="s">
        <v>569</v>
      </c>
      <c r="D2030" s="2" t="str">
        <f t="shared" si="30"/>
        <v>Error?</v>
      </c>
    </row>
    <row r="2031" spans="1:4" x14ac:dyDescent="0.2">
      <c r="A2031" s="5">
        <v>1970</v>
      </c>
      <c r="B2031" s="1832">
        <f>'Cap Outlay Deprec 26'!F16</f>
        <v>41995891</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13372405</v>
      </c>
      <c r="D2033" s="2" t="str">
        <f t="shared" si="30"/>
        <v>Error?</v>
      </c>
    </row>
    <row r="2034" spans="1:4" x14ac:dyDescent="0.2">
      <c r="A2034" s="5">
        <v>1973</v>
      </c>
      <c r="B2034" s="1832">
        <f>'Cap Outlay Deprec 26'!H10</f>
        <v>622091</v>
      </c>
      <c r="D2034" s="2" t="str">
        <f t="shared" si="30"/>
        <v>Error?</v>
      </c>
    </row>
    <row r="2035" spans="1:4" x14ac:dyDescent="0.2">
      <c r="A2035" s="5">
        <v>1974</v>
      </c>
      <c r="B2035" s="1832">
        <f>'Cap Outlay Deprec 26'!H12</f>
        <v>1762383</v>
      </c>
      <c r="D2035" s="2" t="str">
        <f t="shared" si="30"/>
        <v>Error?</v>
      </c>
    </row>
    <row r="2036" spans="1:4" x14ac:dyDescent="0.2">
      <c r="A2036" s="5">
        <v>1975</v>
      </c>
      <c r="B2036" s="1832">
        <f>'Cap Outlay Deprec 26'!H13</f>
        <v>539645</v>
      </c>
      <c r="D2036" s="2" t="str">
        <f t="shared" si="30"/>
        <v>Error?</v>
      </c>
    </row>
    <row r="2037" spans="1:4" x14ac:dyDescent="0.2">
      <c r="A2037" s="5">
        <v>1976</v>
      </c>
      <c r="B2037" s="1832">
        <f>'Cap Outlay Deprec 26'!H16</f>
        <v>16296524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566005</v>
      </c>
      <c r="D2039" s="2" t="str">
        <f t="shared" si="30"/>
        <v>Error?</v>
      </c>
    </row>
    <row r="2040" spans="1:4" x14ac:dyDescent="0.2">
      <c r="A2040" s="5">
        <v>1979</v>
      </c>
      <c r="B2040" s="1832">
        <f>'Cap Outlay Deprec 26'!I10</f>
        <v>72293</v>
      </c>
      <c r="D2040" s="2" t="str">
        <f t="shared" si="30"/>
        <v>Error?</v>
      </c>
    </row>
    <row r="2041" spans="1:4" x14ac:dyDescent="0.2">
      <c r="A2041" s="5">
        <v>1980</v>
      </c>
      <c r="B2041" s="1832">
        <f>'Cap Outlay Deprec 26'!I12</f>
        <v>233921</v>
      </c>
      <c r="D2041" s="2" t="str">
        <f t="shared" si="30"/>
        <v>Error?</v>
      </c>
    </row>
    <row r="2042" spans="1:4" x14ac:dyDescent="0.2">
      <c r="A2042" s="5">
        <v>1981</v>
      </c>
      <c r="B2042" s="1832">
        <f>'Cap Outlay Deprec 26'!I13</f>
        <v>200588</v>
      </c>
      <c r="D2042" s="2" t="str">
        <f t="shared" si="30"/>
        <v>Error?</v>
      </c>
    </row>
    <row r="2043" spans="1:4" x14ac:dyDescent="0.2">
      <c r="A2043" s="5">
        <v>1982</v>
      </c>
      <c r="B2043" s="1832">
        <f>'Cap Outlay Deprec 26'!I16</f>
        <v>1072807</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799243</v>
      </c>
      <c r="D2047" s="2" t="str">
        <f t="shared" ref="D2047:D2110" si="31">IF(ISBLANK(B2047),"OK",IF(A2047-B2047=0,"OK","Error?"))</f>
        <v>Error?</v>
      </c>
    </row>
    <row r="2048" spans="1:4" x14ac:dyDescent="0.2">
      <c r="A2048" s="5">
        <v>1987</v>
      </c>
      <c r="B2048" s="1832">
        <f>'Cap Outlay Deprec 26'!J13</f>
        <v>104975</v>
      </c>
      <c r="D2048" s="2" t="str">
        <f t="shared" si="31"/>
        <v>Error?</v>
      </c>
    </row>
    <row r="2049" spans="1:4" x14ac:dyDescent="0.2">
      <c r="A2049" s="5">
        <v>1988</v>
      </c>
      <c r="B2049" s="1832">
        <f>'Cap Outlay Deprec 26'!J16</f>
        <v>904218</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13938410</v>
      </c>
      <c r="C2051" s="2" t="s">
        <v>569</v>
      </c>
      <c r="D2051" s="2" t="str">
        <f t="shared" si="31"/>
        <v>Error?</v>
      </c>
    </row>
    <row r="2052" spans="1:4" x14ac:dyDescent="0.2">
      <c r="A2052" s="5">
        <v>1991</v>
      </c>
      <c r="B2052" s="1832">
        <f>'Cap Outlay Deprec 26'!K10</f>
        <v>694384</v>
      </c>
      <c r="C2052" s="2" t="s">
        <v>569</v>
      </c>
      <c r="D2052" s="2" t="str">
        <f t="shared" si="31"/>
        <v>Error?</v>
      </c>
    </row>
    <row r="2053" spans="1:4" x14ac:dyDescent="0.2">
      <c r="A2053" s="5">
        <v>1992</v>
      </c>
      <c r="B2053" s="1832">
        <f>'Cap Outlay Deprec 26'!K12</f>
        <v>1197061</v>
      </c>
      <c r="C2053" s="2" t="s">
        <v>569</v>
      </c>
      <c r="D2053" s="2" t="str">
        <f t="shared" si="31"/>
        <v>Error?</v>
      </c>
    </row>
    <row r="2054" spans="1:4" x14ac:dyDescent="0.2">
      <c r="A2054" s="5">
        <v>1993</v>
      </c>
      <c r="B2054" s="1832">
        <f>'Cap Outlay Deprec 26'!K13</f>
        <v>635258</v>
      </c>
      <c r="C2054" s="2" t="s">
        <v>569</v>
      </c>
      <c r="D2054" s="2" t="str">
        <f t="shared" si="31"/>
        <v>Error?</v>
      </c>
    </row>
    <row r="2055" spans="1:4" x14ac:dyDescent="0.2">
      <c r="A2055" s="5">
        <v>1994</v>
      </c>
      <c r="B2055" s="1832">
        <f>'Cap Outlay Deprec 26'!K16</f>
        <v>16465113</v>
      </c>
      <c r="C2055" s="2" t="s">
        <v>569</v>
      </c>
      <c r="D2055" s="2" t="str">
        <f t="shared" si="31"/>
        <v>Error?</v>
      </c>
    </row>
    <row r="2056" spans="1:4" x14ac:dyDescent="0.2">
      <c r="A2056" s="5">
        <v>1995</v>
      </c>
      <c r="B2056" s="1832">
        <f>'Cap Outlay Deprec 26'!L5</f>
        <v>60099</v>
      </c>
      <c r="C2056" s="2" t="s">
        <v>569</v>
      </c>
      <c r="D2056" s="2" t="str">
        <f t="shared" si="31"/>
        <v>Error?</v>
      </c>
    </row>
    <row r="2057" spans="1:4" x14ac:dyDescent="0.2">
      <c r="A2057" s="5">
        <v>1996</v>
      </c>
      <c r="B2057" s="1832">
        <f>'Cap Outlay Deprec 26'!L8</f>
        <v>18127246</v>
      </c>
      <c r="C2057" s="2" t="s">
        <v>569</v>
      </c>
      <c r="D2057" s="2" t="str">
        <f t="shared" si="31"/>
        <v>Error?</v>
      </c>
    </row>
    <row r="2058" spans="1:4" x14ac:dyDescent="0.2">
      <c r="A2058" s="5">
        <v>1997</v>
      </c>
      <c r="B2058" s="1832">
        <f>'Cap Outlay Deprec 26'!L10</f>
        <v>984159</v>
      </c>
      <c r="C2058" s="2" t="s">
        <v>569</v>
      </c>
      <c r="D2058" s="2" t="str">
        <f t="shared" si="31"/>
        <v>Error?</v>
      </c>
    </row>
    <row r="2059" spans="1:4" x14ac:dyDescent="0.2">
      <c r="A2059" s="5">
        <v>1998</v>
      </c>
      <c r="B2059" s="1832">
        <f>'Cap Outlay Deprec 26'!L12</f>
        <v>806416</v>
      </c>
      <c r="C2059" s="2" t="s">
        <v>569</v>
      </c>
      <c r="D2059" s="2" t="str">
        <f t="shared" si="31"/>
        <v>Error?</v>
      </c>
    </row>
    <row r="2060" spans="1:4" x14ac:dyDescent="0.2">
      <c r="A2060" s="5">
        <v>1999</v>
      </c>
      <c r="B2060" s="1832">
        <f>'Cap Outlay Deprec 26'!L13</f>
        <v>854175</v>
      </c>
      <c r="C2060" s="2" t="s">
        <v>569</v>
      </c>
      <c r="D2060" s="2" t="str">
        <f t="shared" si="31"/>
        <v>Error?</v>
      </c>
    </row>
    <row r="2061" spans="1:4" x14ac:dyDescent="0.2">
      <c r="A2061" s="5">
        <v>2000</v>
      </c>
      <c r="B2061" s="1832">
        <f>'Cap Outlay Deprec 26'!L16</f>
        <v>25530778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282682</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282682</v>
      </c>
      <c r="C2088" s="2" t="s">
        <v>569</v>
      </c>
      <c r="D2088" s="2" t="str">
        <f t="shared" si="31"/>
        <v>Error?</v>
      </c>
    </row>
    <row r="2089" spans="1:4" x14ac:dyDescent="0.2">
      <c r="A2089" s="5">
        <v>2028</v>
      </c>
      <c r="B2089" s="1832">
        <f>'Expenditures 15-22'!K92</f>
        <v>9316</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1900000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676595</v>
      </c>
      <c r="D2435" s="2" t="str">
        <f t="shared" si="37"/>
        <v>Error?</v>
      </c>
    </row>
    <row r="2436" spans="1:4" x14ac:dyDescent="0.2">
      <c r="A2436" s="10">
        <v>2375</v>
      </c>
      <c r="B2436" s="1832"/>
      <c r="D2436" s="2" t="str">
        <f t="shared" si="37"/>
        <v>OK</v>
      </c>
    </row>
    <row r="2437" spans="1:4" x14ac:dyDescent="0.2">
      <c r="A2437" s="5">
        <v>2376</v>
      </c>
      <c r="B2437" s="1832">
        <f>'Assets-Liab 5-6'!D38</f>
        <v>846375</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352790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8103836</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1630132</v>
      </c>
      <c r="C2553" s="2" t="s">
        <v>569</v>
      </c>
      <c r="D2553" s="2" t="str">
        <f t="shared" si="38"/>
        <v>Error?</v>
      </c>
    </row>
    <row r="2554" spans="1:4" x14ac:dyDescent="0.2">
      <c r="A2554" s="5">
        <v>2493</v>
      </c>
      <c r="B2554" s="1832">
        <f>'Acct Summary 7-8'!C7</f>
        <v>894639</v>
      </c>
      <c r="C2554" s="2" t="s">
        <v>569</v>
      </c>
      <c r="D2554" s="2" t="str">
        <f t="shared" si="38"/>
        <v>Error?</v>
      </c>
    </row>
    <row r="2555" spans="1:4" x14ac:dyDescent="0.2">
      <c r="A2555" s="5">
        <v>2494</v>
      </c>
      <c r="B2555" s="1832">
        <f>'Acct Summary 7-8'!C8</f>
        <v>10628607</v>
      </c>
      <c r="C2555" s="2" t="s">
        <v>569</v>
      </c>
      <c r="D2555" s="2" t="str">
        <f t="shared" si="38"/>
        <v>Error?</v>
      </c>
    </row>
    <row r="2556" spans="1:4" x14ac:dyDescent="0.2">
      <c r="A2556" s="5">
        <v>2495</v>
      </c>
      <c r="B2556" s="1832">
        <f>'Acct Summary 7-8'!C12</f>
        <v>7028864</v>
      </c>
      <c r="C2556" s="2" t="s">
        <v>569</v>
      </c>
      <c r="D2556" s="2" t="str">
        <f t="shared" si="38"/>
        <v>Error?</v>
      </c>
    </row>
    <row r="2557" spans="1:4" x14ac:dyDescent="0.2">
      <c r="A2557" s="5">
        <v>2496</v>
      </c>
      <c r="B2557" s="1832">
        <f>'Acct Summary 7-8'!C13</f>
        <v>3247097</v>
      </c>
      <c r="C2557" s="2" t="s">
        <v>569</v>
      </c>
      <c r="D2557" s="2" t="str">
        <f t="shared" si="38"/>
        <v>Error?</v>
      </c>
    </row>
    <row r="2558" spans="1:4" x14ac:dyDescent="0.2">
      <c r="A2558" s="5">
        <v>2497</v>
      </c>
      <c r="B2558" s="1832">
        <f>'Acct Summary 7-8'!C14</f>
        <v>284</v>
      </c>
      <c r="C2558" s="2" t="s">
        <v>569</v>
      </c>
      <c r="D2558" s="2" t="str">
        <f t="shared" si="38"/>
        <v>Error?</v>
      </c>
    </row>
    <row r="2559" spans="1:4" x14ac:dyDescent="0.2">
      <c r="A2559" s="5">
        <v>2498</v>
      </c>
      <c r="B2559" s="1832">
        <f>'Acct Summary 7-8'!C15</f>
        <v>291998</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10568243</v>
      </c>
      <c r="C2561" s="2" t="s">
        <v>569</v>
      </c>
      <c r="D2561" s="2" t="str">
        <f t="shared" si="39"/>
        <v>Error?</v>
      </c>
    </row>
    <row r="2562" spans="1:4" x14ac:dyDescent="0.2">
      <c r="A2562" s="5">
        <v>2501</v>
      </c>
      <c r="B2562" s="1832">
        <f>'Acct Summary 7-8'!C20</f>
        <v>60364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1944875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1994875</v>
      </c>
      <c r="C2568" s="2" t="s">
        <v>569</v>
      </c>
      <c r="D2568" s="2" t="str">
        <f t="shared" si="39"/>
        <v>Error?</v>
      </c>
    </row>
    <row r="2569" spans="1:4" x14ac:dyDescent="0.2">
      <c r="A2569" s="5">
        <v>2508</v>
      </c>
      <c r="B2569" s="1832">
        <f>'Acct Summary 7-8'!D13</f>
        <v>1488145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1488145</v>
      </c>
      <c r="C2573" s="2" t="s">
        <v>569</v>
      </c>
      <c r="D2573" s="2" t="str">
        <f t="shared" si="39"/>
        <v>Error?</v>
      </c>
    </row>
    <row r="2574" spans="1:4" x14ac:dyDescent="0.2">
      <c r="A2574" s="5">
        <v>2513</v>
      </c>
      <c r="B2574" s="1832">
        <f>'Acct Summary 7-8'!D20</f>
        <v>506730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783033</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546347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1329380</v>
      </c>
      <c r="C2595" s="2" t="s">
        <v>569</v>
      </c>
      <c r="D2595" s="2" t="str">
        <f t="shared" si="39"/>
        <v>Error?</v>
      </c>
    </row>
    <row r="2596" spans="1:4" x14ac:dyDescent="0.2">
      <c r="A2596" s="5">
        <v>2535</v>
      </c>
      <c r="B2596" s="1832">
        <f>'Acct Summary 7-8'!F13</f>
        <v>914980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196567</v>
      </c>
      <c r="C2599" s="2" t="s">
        <v>569</v>
      </c>
      <c r="D2599" s="2" t="str">
        <f t="shared" si="39"/>
        <v>Error?</v>
      </c>
    </row>
    <row r="2600" spans="1:4" x14ac:dyDescent="0.2">
      <c r="A2600" s="5">
        <v>2539</v>
      </c>
      <c r="B2600" s="1832">
        <f>'Acct Summary 7-8'!F17</f>
        <v>1111547</v>
      </c>
      <c r="C2600" s="2" t="s">
        <v>569</v>
      </c>
      <c r="D2600" s="2" t="str">
        <f t="shared" si="39"/>
        <v>Error?</v>
      </c>
    </row>
    <row r="2601" spans="1:4" x14ac:dyDescent="0.2">
      <c r="A2601" s="5">
        <v>2540</v>
      </c>
      <c r="B2601" s="1832">
        <f>'Acct Summary 7-8'!F20</f>
        <v>217833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568762</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568762</v>
      </c>
      <c r="C2606" s="2" t="s">
        <v>569</v>
      </c>
      <c r="D2606" s="2" t="str">
        <f t="shared" si="39"/>
        <v>Error?</v>
      </c>
    </row>
    <row r="2607" spans="1:4" x14ac:dyDescent="0.2">
      <c r="A2607" s="5">
        <v>2546</v>
      </c>
      <c r="B2607" s="1832">
        <f>'Acct Summary 7-8'!G12</f>
        <v>136734</v>
      </c>
      <c r="C2607" s="2" t="s">
        <v>569</v>
      </c>
      <c r="D2607" s="2" t="str">
        <f t="shared" si="39"/>
        <v>Error?</v>
      </c>
    </row>
    <row r="2608" spans="1:4" x14ac:dyDescent="0.2">
      <c r="A2608" s="5">
        <v>2547</v>
      </c>
      <c r="B2608" s="1832">
        <f>'Acct Summary 7-8'!G13</f>
        <v>361791</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498525</v>
      </c>
      <c r="C2612" s="2" t="s">
        <v>569</v>
      </c>
      <c r="D2612" s="2" t="str">
        <f t="shared" si="39"/>
        <v>Error?</v>
      </c>
    </row>
    <row r="2613" spans="1:4" x14ac:dyDescent="0.2">
      <c r="A2613" s="5">
        <v>2552</v>
      </c>
      <c r="B2613" s="1832">
        <f>'Acct Summary 7-8'!G20</f>
        <v>70237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919360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919360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892433</v>
      </c>
      <c r="C2634" s="2" t="s">
        <v>569</v>
      </c>
      <c r="D2634" s="2" t="str">
        <f t="shared" si="40"/>
        <v>Error?</v>
      </c>
    </row>
    <row r="2635" spans="1:4" x14ac:dyDescent="0.2">
      <c r="A2635" s="5">
        <v>2574</v>
      </c>
      <c r="B2635" s="1832">
        <f>'Acct Summary 7-8'!E17</f>
        <v>892433</v>
      </c>
      <c r="C2635" s="2" t="s">
        <v>569</v>
      </c>
      <c r="D2635" s="2" t="str">
        <f t="shared" si="40"/>
        <v>Error?</v>
      </c>
    </row>
    <row r="2636" spans="1:4" x14ac:dyDescent="0.2">
      <c r="A2636" s="5">
        <v>2575</v>
      </c>
      <c r="B2636" s="1832">
        <f>'Acct Summary 7-8'!E20</f>
        <v>26927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35399</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35399</v>
      </c>
      <c r="C2658" s="2" t="s">
        <v>569</v>
      </c>
      <c r="D2658" s="2" t="str">
        <f t="shared" si="40"/>
        <v>Error?</v>
      </c>
    </row>
    <row r="2659" spans="1:4" x14ac:dyDescent="0.2">
      <c r="A2659" s="5">
        <v>2598</v>
      </c>
      <c r="B2659" s="1832">
        <f>'Acct Summary 7-8'!H13</f>
        <v>3313921</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3313921</v>
      </c>
      <c r="C2661" s="2" t="s">
        <v>569</v>
      </c>
      <c r="D2661" s="2" t="str">
        <f t="shared" si="40"/>
        <v>Error?</v>
      </c>
    </row>
    <row r="2662" spans="1:4" x14ac:dyDescent="0.2">
      <c r="A2662" s="5">
        <v>2601</v>
      </c>
      <c r="B2662" s="1832">
        <f>'Acct Summary 7-8'!H20</f>
        <v>-3278522</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4698683</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5559</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968352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440258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968352</v>
      </c>
      <c r="D2912" s="2" t="str">
        <f t="shared" si="44"/>
        <v>Error?</v>
      </c>
    </row>
    <row r="2913" spans="1:4" x14ac:dyDescent="0.2">
      <c r="A2913" s="5">
        <v>2852</v>
      </c>
      <c r="B2913" s="1832">
        <f>'Assets-Liab 5-6'!I41</f>
        <v>968352</v>
      </c>
      <c r="C2913" s="2" t="s">
        <v>569</v>
      </c>
      <c r="D2913" s="2" t="str">
        <f t="shared" si="44"/>
        <v>Error?</v>
      </c>
    </row>
    <row r="2914" spans="1:4" x14ac:dyDescent="0.2">
      <c r="A2914" s="5">
        <v>2853</v>
      </c>
      <c r="B2914" s="1832">
        <f>'Assets-Liab 5-6'!L33</f>
        <v>440258</v>
      </c>
      <c r="D2914" s="2" t="str">
        <f t="shared" si="44"/>
        <v>Error?</v>
      </c>
    </row>
    <row r="2915" spans="1:4" x14ac:dyDescent="0.2">
      <c r="A2915" s="10">
        <v>2854</v>
      </c>
      <c r="B2915" s="1832"/>
      <c r="D2915" s="2" t="str">
        <f t="shared" si="44"/>
        <v>OK</v>
      </c>
    </row>
    <row r="2916" spans="1:4" x14ac:dyDescent="0.2">
      <c r="A2916" s="5">
        <v>2855</v>
      </c>
      <c r="B2916" s="1832">
        <f>'Assets-Liab 5-6'!L34</f>
        <v>440258</v>
      </c>
      <c r="C2916" s="2" t="s">
        <v>569</v>
      </c>
      <c r="D2916" s="2" t="str">
        <f t="shared" si="44"/>
        <v>Error?</v>
      </c>
    </row>
    <row r="2917" spans="1:4" x14ac:dyDescent="0.2">
      <c r="A2917" s="5">
        <v>2856</v>
      </c>
      <c r="B2917" s="1832">
        <f>'Assets-Liab 5-6'!L41</f>
        <v>440258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2310</v>
      </c>
      <c r="D2955" s="2" t="str">
        <f t="shared" si="45"/>
        <v>Error?</v>
      </c>
    </row>
    <row r="2956" spans="1:4" x14ac:dyDescent="0.2">
      <c r="A2956" s="5">
        <v>2895</v>
      </c>
      <c r="B2956" s="1832">
        <f>'Expenditures 15-22'!H79</f>
        <v>254627</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25745</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2310</v>
      </c>
      <c r="C2973" s="2" t="s">
        <v>569</v>
      </c>
      <c r="D2973" s="2" t="str">
        <f t="shared" si="45"/>
        <v>Error?</v>
      </c>
    </row>
    <row r="2974" spans="1:4" x14ac:dyDescent="0.2">
      <c r="A2974" s="5">
        <v>2913</v>
      </c>
      <c r="B2974" s="1832">
        <f>'Expenditures 15-22'!K79</f>
        <v>254627</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25745</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1850</v>
      </c>
      <c r="D3055" s="2" t="str">
        <f t="shared" si="46"/>
        <v>Error?</v>
      </c>
    </row>
    <row r="3056" spans="1:4" x14ac:dyDescent="0.2">
      <c r="A3056" s="5">
        <v>2995</v>
      </c>
      <c r="B3056" s="1832">
        <f>'Expenditures 15-22'!D10</f>
        <v>197</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2047</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25</v>
      </c>
      <c r="D3064" s="2" t="str">
        <f t="shared" si="46"/>
        <v>Error?</v>
      </c>
    </row>
    <row r="3065" spans="1:4" x14ac:dyDescent="0.2">
      <c r="A3065" s="5">
        <v>3004</v>
      </c>
      <c r="B3065" s="1832">
        <f>'Expenditures 15-22'!K219</f>
        <v>25</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233173</v>
      </c>
      <c r="C3225" s="2" t="s">
        <v>569</v>
      </c>
      <c r="D3225" s="2" t="str">
        <f t="shared" si="49"/>
        <v>Error?</v>
      </c>
    </row>
    <row r="3226" spans="1:4" x14ac:dyDescent="0.2">
      <c r="A3226" s="5">
        <v>3165</v>
      </c>
      <c r="B3226" s="1832">
        <f>'Acct Summary 7-8'!I8</f>
        <v>233173</v>
      </c>
      <c r="C3226" s="2" t="s">
        <v>569</v>
      </c>
      <c r="D3226" s="2" t="str">
        <f t="shared" si="49"/>
        <v>Error?</v>
      </c>
    </row>
    <row r="3227" spans="1:4" x14ac:dyDescent="0.2">
      <c r="A3227" s="5">
        <v>3166</v>
      </c>
      <c r="B3227" s="1832">
        <f>'Acct Summary 7-8'!I20</f>
        <v>233173</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326</v>
      </c>
      <c r="C3229" s="2" t="s">
        <v>569</v>
      </c>
      <c r="D3229" s="2" t="str">
        <f t="shared" si="49"/>
        <v>Error?</v>
      </c>
    </row>
    <row r="3230" spans="1:4" x14ac:dyDescent="0.2">
      <c r="A3230" s="5">
        <v>3169</v>
      </c>
      <c r="B3230" s="1832">
        <f>'Acct Summary 7-8'!C75</f>
        <v>24048</v>
      </c>
      <c r="D3230" s="2" t="str">
        <f t="shared" si="49"/>
        <v>Error?</v>
      </c>
    </row>
    <row r="3231" spans="1:4" x14ac:dyDescent="0.2">
      <c r="A3231" s="5">
        <v>3170</v>
      </c>
      <c r="B3231" s="1832">
        <f>'Acct Summary 7-8'!C76</f>
        <v>24048</v>
      </c>
      <c r="C3231" s="2" t="s">
        <v>569</v>
      </c>
      <c r="D3231" s="2" t="str">
        <f t="shared" si="49"/>
        <v>Error?</v>
      </c>
    </row>
    <row r="3232" spans="1:4" x14ac:dyDescent="0.2">
      <c r="A3232" s="5">
        <v>3171</v>
      </c>
      <c r="B3232" s="1832">
        <f>'Acct Summary 7-8'!C77</f>
        <v>-23722</v>
      </c>
      <c r="C3232" s="2" t="s">
        <v>569</v>
      </c>
      <c r="D3232" s="2" t="str">
        <f t="shared" si="49"/>
        <v>Error?</v>
      </c>
    </row>
    <row r="3233" spans="1:4" x14ac:dyDescent="0.2">
      <c r="A3233" s="5">
        <v>3172</v>
      </c>
      <c r="B3233" s="1832">
        <f>'Acct Summary 7-8'!C78</f>
        <v>36642</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233301</v>
      </c>
      <c r="D3236" s="2" t="str">
        <f t="shared" si="49"/>
        <v>Error?</v>
      </c>
    </row>
    <row r="3237" spans="1:4" x14ac:dyDescent="0.2">
      <c r="A3237" s="5">
        <v>3176</v>
      </c>
      <c r="B3237" s="1832">
        <f>'Acct Summary 7-8'!D76</f>
        <v>233301</v>
      </c>
      <c r="C3237" s="2" t="s">
        <v>569</v>
      </c>
      <c r="D3237" s="2" t="str">
        <f t="shared" si="49"/>
        <v>Error?</v>
      </c>
    </row>
    <row r="3238" spans="1:4" x14ac:dyDescent="0.2">
      <c r="A3238" s="5">
        <v>3177</v>
      </c>
      <c r="B3238" s="1832">
        <f>'Acct Summary 7-8'!D77</f>
        <v>-233301</v>
      </c>
      <c r="C3238" s="2" t="s">
        <v>569</v>
      </c>
      <c r="D3238" s="2" t="str">
        <f t="shared" si="49"/>
        <v>Error?</v>
      </c>
    </row>
    <row r="3239" spans="1:4" x14ac:dyDescent="0.2">
      <c r="A3239" s="5">
        <v>3178</v>
      </c>
      <c r="B3239" s="1832">
        <f>'Acct Summary 7-8'!D78</f>
        <v>273429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217833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70237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26927</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1900000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1900000</v>
      </c>
      <c r="C3299" s="2" t="s">
        <v>569</v>
      </c>
      <c r="D3299" s="2" t="str">
        <f t="shared" si="50"/>
        <v>Error?</v>
      </c>
    </row>
    <row r="3300" spans="1:4" x14ac:dyDescent="0.2">
      <c r="A3300" s="5">
        <v>3239</v>
      </c>
      <c r="B3300" s="1832">
        <f>'Acct Summary 7-8'!H78</f>
        <v>-1378522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1900000</v>
      </c>
      <c r="C3318" s="2" t="s">
        <v>569</v>
      </c>
      <c r="D3318" s="2" t="str">
        <f t="shared" si="50"/>
        <v>Error?</v>
      </c>
    </row>
    <row r="3319" spans="1:4" x14ac:dyDescent="0.2">
      <c r="A3319" s="5">
        <v>3258</v>
      </c>
      <c r="B3319" s="1832">
        <f>'Acct Summary 7-8'!I77</f>
        <v>-1900000</v>
      </c>
      <c r="C3319" s="2" t="s">
        <v>569</v>
      </c>
      <c r="D3319" s="2" t="str">
        <f t="shared" si="50"/>
        <v>Error?</v>
      </c>
    </row>
    <row r="3320" spans="1:4" x14ac:dyDescent="0.2">
      <c r="A3320" s="5">
        <v>3259</v>
      </c>
      <c r="B3320" s="1832">
        <f>'Acct Summary 7-8'!I78</f>
        <v>-1666827</v>
      </c>
      <c r="C3320" s="2" t="s">
        <v>569</v>
      </c>
      <c r="D3320" s="2" t="str">
        <f t="shared" si="50"/>
        <v>Error?</v>
      </c>
    </row>
    <row r="3321" spans="1:4" x14ac:dyDescent="0.2">
      <c r="A3321" s="5">
        <v>3260</v>
      </c>
      <c r="B3321" s="1832">
        <f>'Acct Summary 7-8'!I79</f>
        <v>2635179</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968352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1362688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224740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11209</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12323</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1610960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45919</v>
      </c>
      <c r="D3387" s="2" t="str">
        <f t="shared" si="51"/>
        <v>Error?</v>
      </c>
    </row>
    <row r="3388" spans="1:4" x14ac:dyDescent="0.2">
      <c r="A3388" s="5">
        <v>3327</v>
      </c>
      <c r="B3388" s="1832">
        <f>'Expenditures 15-22'!D217</f>
        <v>65177</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45919</v>
      </c>
      <c r="C3390" s="2" t="s">
        <v>569</v>
      </c>
      <c r="D3390" s="2" t="str">
        <f t="shared" si="51"/>
        <v>Error?</v>
      </c>
    </row>
    <row r="3391" spans="1:4" x14ac:dyDescent="0.2">
      <c r="A3391" s="5">
        <v>3330</v>
      </c>
      <c r="B3391" s="1832">
        <f>'Expenditures 15-22'!K217</f>
        <v>65177</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2706125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1190123</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1263823</v>
      </c>
      <c r="D3417" s="2" t="str">
        <f t="shared" si="52"/>
        <v>Error?</v>
      </c>
    </row>
    <row r="3418" spans="1:4" x14ac:dyDescent="0.2">
      <c r="A3418" s="10">
        <v>3357</v>
      </c>
      <c r="B3418" s="1832"/>
      <c r="D3418" s="2" t="str">
        <f t="shared" si="52"/>
        <v>OK</v>
      </c>
    </row>
    <row r="3419" spans="1:4" x14ac:dyDescent="0.2">
      <c r="A3419" s="5">
        <v>3358</v>
      </c>
      <c r="B3419" s="1832">
        <f>'Assets-Liab 5-6'!F4</f>
        <v>1850148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599069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297778</v>
      </c>
      <c r="D3425" s="2" t="str">
        <f t="shared" si="52"/>
        <v>Error?</v>
      </c>
    </row>
    <row r="3426" spans="1:4" x14ac:dyDescent="0.2">
      <c r="A3426" s="10">
        <v>3365</v>
      </c>
      <c r="B3426" s="1832"/>
      <c r="D3426" s="2" t="str">
        <f t="shared" si="52"/>
        <v>OK</v>
      </c>
    </row>
    <row r="3427" spans="1:4" x14ac:dyDescent="0.2">
      <c r="A3427" s="5">
        <v>3366</v>
      </c>
      <c r="B3427" s="1832">
        <f>'Assets-Liab 5-6'!I4</f>
        <v>662793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440258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334959</v>
      </c>
      <c r="C3446" s="2" t="s">
        <v>569</v>
      </c>
      <c r="D3446" s="2" t="str">
        <f t="shared" si="52"/>
        <v>Error?</v>
      </c>
    </row>
    <row r="3447" spans="1:4" x14ac:dyDescent="0.2">
      <c r="A3447" s="5">
        <v>3386</v>
      </c>
      <c r="B3447" s="1832">
        <f>'Tax Sched 23'!D16</f>
        <v>334959</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47169</v>
      </c>
      <c r="C3449" s="2" t="s">
        <v>569</v>
      </c>
      <c r="D3449" s="2" t="str">
        <f t="shared" si="52"/>
        <v>Error?</v>
      </c>
    </row>
    <row r="3450" spans="1:4" x14ac:dyDescent="0.2">
      <c r="A3450" s="5">
        <v>3389</v>
      </c>
      <c r="B3450" s="1832">
        <f>'Tax Sched 23'!E16</f>
        <v>47169</v>
      </c>
      <c r="D3450" s="2" t="str">
        <f t="shared" si="52"/>
        <v>Error?</v>
      </c>
    </row>
    <row r="3451" spans="1:4" x14ac:dyDescent="0.2">
      <c r="A3451" s="5">
        <v>3390</v>
      </c>
      <c r="B3451" s="1832">
        <f>'Cap Outlay Deprec 26'!C15</f>
        <v>896812</v>
      </c>
      <c r="D3451" s="2" t="str">
        <f t="shared" si="52"/>
        <v>Error?</v>
      </c>
    </row>
    <row r="3452" spans="1:4" x14ac:dyDescent="0.2">
      <c r="A3452" s="5">
        <v>3391</v>
      </c>
      <c r="B3452" s="1832">
        <f>'Cap Outlay Deprec 26'!D15</f>
        <v>3801871</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4698683</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4698683</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326</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1063897</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71629</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1135526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1135526</v>
      </c>
      <c r="D3567" s="2" t="str">
        <f t="shared" si="54"/>
        <v>Error?</v>
      </c>
    </row>
    <row r="3568" spans="1:4" x14ac:dyDescent="0.2">
      <c r="A3568" s="5">
        <v>3507</v>
      </c>
      <c r="B3568" s="1832">
        <f>'Assets-Liab 5-6'!K41</f>
        <v>1135526</v>
      </c>
      <c r="C3568" s="2" t="s">
        <v>569</v>
      </c>
      <c r="D3568" s="2" t="str">
        <f t="shared" si="54"/>
        <v>Error?</v>
      </c>
    </row>
    <row r="3569" spans="1:4" x14ac:dyDescent="0.2">
      <c r="A3569" s="5">
        <v>3508</v>
      </c>
      <c r="B3569" s="1832">
        <f>'Acct Summary 7-8'!K4</f>
        <v>293251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293251</v>
      </c>
      <c r="C3571" s="2" t="s">
        <v>569</v>
      </c>
      <c r="D3571" s="2" t="str">
        <f t="shared" si="54"/>
        <v>Error?</v>
      </c>
    </row>
    <row r="3572" spans="1:4" x14ac:dyDescent="0.2">
      <c r="A3572" s="5">
        <v>3511</v>
      </c>
      <c r="B3572" s="1832">
        <f>'Acct Summary 7-8'!K13</f>
        <v>696940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696940</v>
      </c>
      <c r="C3575" s="2" t="s">
        <v>569</v>
      </c>
      <c r="D3575" s="2" t="str">
        <f t="shared" si="54"/>
        <v>Error?</v>
      </c>
    </row>
    <row r="3576" spans="1:4" x14ac:dyDescent="0.2">
      <c r="A3576" s="5">
        <v>3515</v>
      </c>
      <c r="B3576" s="1832">
        <f>'Acct Summary 7-8'!K20</f>
        <v>-403689</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-403689</v>
      </c>
      <c r="C3588" s="2" t="s">
        <v>569</v>
      </c>
      <c r="D3588" s="2" t="str">
        <f t="shared" si="55"/>
        <v>Error?</v>
      </c>
    </row>
    <row r="3589" spans="1:4" x14ac:dyDescent="0.2">
      <c r="A3589" s="5">
        <v>3528</v>
      </c>
      <c r="B3589" s="1832">
        <f>'Acct Summary 7-8'!K79</f>
        <v>1539215</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1135526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696940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696940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696940</v>
      </c>
      <c r="C3649" s="2" t="s">
        <v>569</v>
      </c>
      <c r="D3649" s="2" t="str">
        <f t="shared" si="56"/>
        <v>Error?</v>
      </c>
    </row>
    <row r="3650" spans="1:4" x14ac:dyDescent="0.2">
      <c r="A3650" s="5">
        <v>3589</v>
      </c>
      <c r="B3650" s="1832">
        <f>'Expenditures 15-22'!G367</f>
        <v>696940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696940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696940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696940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696940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-403689</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280399</v>
      </c>
      <c r="C3725" s="2" t="s">
        <v>569</v>
      </c>
      <c r="D3725" s="2" t="str">
        <f t="shared" si="57"/>
        <v>Error?</v>
      </c>
    </row>
    <row r="3726" spans="1:4" x14ac:dyDescent="0.2">
      <c r="A3726" s="5">
        <v>3665</v>
      </c>
      <c r="B3726" s="1832">
        <f>'Tax Sched 23'!D13</f>
        <v>280399</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298921</v>
      </c>
      <c r="C3728" s="2" t="s">
        <v>569</v>
      </c>
      <c r="D3728" s="2" t="str">
        <f t="shared" si="57"/>
        <v>Error?</v>
      </c>
    </row>
    <row r="3729" spans="1:4" x14ac:dyDescent="0.2">
      <c r="A3729" s="5">
        <v>3668</v>
      </c>
      <c r="B3729" s="1832">
        <f>'Tax Sched 23'!E13</f>
        <v>298921</v>
      </c>
      <c r="D3729" s="2" t="str">
        <f t="shared" si="57"/>
        <v>Error?</v>
      </c>
    </row>
    <row r="3730" spans="1:4" x14ac:dyDescent="0.2">
      <c r="A3730" s="5">
        <v>3669</v>
      </c>
      <c r="B3730" s="1832">
        <f>'ICR Computation 30'!E10</f>
        <v>212460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4592693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15221300</v>
      </c>
      <c r="C4122" s="2" t="s">
        <v>569</v>
      </c>
      <c r="D4122" s="2" t="str">
        <f t="shared" si="63"/>
        <v>Error?</v>
      </c>
    </row>
    <row r="4123" spans="1:4" x14ac:dyDescent="0.2">
      <c r="A4123" s="5">
        <v>4062</v>
      </c>
      <c r="B4123" s="1832">
        <f>'Acct Summary 7-8'!D10</f>
        <v>1994875</v>
      </c>
      <c r="C4123" s="2" t="s">
        <v>569</v>
      </c>
      <c r="D4123" s="2" t="str">
        <f t="shared" si="63"/>
        <v>Error?</v>
      </c>
    </row>
    <row r="4124" spans="1:4" x14ac:dyDescent="0.2">
      <c r="A4124" s="5">
        <v>4063</v>
      </c>
      <c r="B4124" s="1832">
        <f>'Acct Summary 7-8'!E10</f>
        <v>919360</v>
      </c>
      <c r="C4124" s="2" t="s">
        <v>569</v>
      </c>
      <c r="D4124" s="2" t="str">
        <f t="shared" si="63"/>
        <v>Error?</v>
      </c>
    </row>
    <row r="4125" spans="1:4" x14ac:dyDescent="0.2">
      <c r="A4125" s="5">
        <v>4064</v>
      </c>
      <c r="B4125" s="1832">
        <f>'Acct Summary 7-8'!F10</f>
        <v>1329380</v>
      </c>
      <c r="C4125" s="2" t="s">
        <v>569</v>
      </c>
      <c r="D4125" s="2" t="str">
        <f t="shared" si="63"/>
        <v>Error?</v>
      </c>
    </row>
    <row r="4126" spans="1:4" x14ac:dyDescent="0.2">
      <c r="A4126" s="5">
        <v>4065</v>
      </c>
      <c r="B4126" s="1832">
        <f>'Acct Summary 7-8'!G10</f>
        <v>568762</v>
      </c>
      <c r="C4126" s="2" t="s">
        <v>569</v>
      </c>
      <c r="D4126" s="2" t="str">
        <f t="shared" si="63"/>
        <v>Error?</v>
      </c>
    </row>
    <row r="4127" spans="1:4" x14ac:dyDescent="0.2">
      <c r="A4127" s="5">
        <v>4066</v>
      </c>
      <c r="B4127" s="1832">
        <f>'Acct Summary 7-8'!H10</f>
        <v>35399</v>
      </c>
      <c r="C4127" s="2" t="s">
        <v>569</v>
      </c>
      <c r="D4127" s="2" t="str">
        <f t="shared" si="63"/>
        <v>Error?</v>
      </c>
    </row>
    <row r="4128" spans="1:4" x14ac:dyDescent="0.2">
      <c r="A4128" s="5">
        <v>4067</v>
      </c>
      <c r="B4128" s="1832">
        <f>'Acct Summary 7-8'!I10</f>
        <v>233173</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293251</v>
      </c>
      <c r="C4130" s="2" t="s">
        <v>569</v>
      </c>
      <c r="D4130" s="2" t="str">
        <f t="shared" si="63"/>
        <v>Error?</v>
      </c>
    </row>
    <row r="4131" spans="1:4" x14ac:dyDescent="0.2">
      <c r="A4131" s="5">
        <v>4070</v>
      </c>
      <c r="B4131" s="1832">
        <f>'Acct Summary 7-8'!C18</f>
        <v>4592693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15160936</v>
      </c>
      <c r="C4136" s="2" t="s">
        <v>569</v>
      </c>
      <c r="D4136" s="2" t="str">
        <f t="shared" si="63"/>
        <v>Error?</v>
      </c>
    </row>
    <row r="4137" spans="1:4" x14ac:dyDescent="0.2">
      <c r="A4137" s="5">
        <v>4076</v>
      </c>
      <c r="B4137" s="1832">
        <f>'Acct Summary 7-8'!D19</f>
        <v>1488145</v>
      </c>
      <c r="C4137" s="2" t="s">
        <v>569</v>
      </c>
      <c r="D4137" s="2" t="str">
        <f t="shared" si="63"/>
        <v>Error?</v>
      </c>
    </row>
    <row r="4138" spans="1:4" x14ac:dyDescent="0.2">
      <c r="A4138" s="5">
        <v>4077</v>
      </c>
      <c r="B4138" s="1832">
        <f>'Acct Summary 7-8'!E19</f>
        <v>892433</v>
      </c>
      <c r="C4138" s="2" t="s">
        <v>569</v>
      </c>
      <c r="D4138" s="2" t="str">
        <f t="shared" si="63"/>
        <v>Error?</v>
      </c>
    </row>
    <row r="4139" spans="1:4" x14ac:dyDescent="0.2">
      <c r="A4139" s="5">
        <v>4078</v>
      </c>
      <c r="B4139" s="1832">
        <f>'Acct Summary 7-8'!F19</f>
        <v>1111547</v>
      </c>
      <c r="C4139" s="2" t="s">
        <v>569</v>
      </c>
      <c r="D4139" s="2" t="str">
        <f t="shared" si="63"/>
        <v>Error?</v>
      </c>
    </row>
    <row r="4140" spans="1:4" x14ac:dyDescent="0.2">
      <c r="A4140" s="5">
        <v>4079</v>
      </c>
      <c r="B4140" s="1832">
        <f>'Acct Summary 7-8'!G19</f>
        <v>498525</v>
      </c>
      <c r="C4140" s="2" t="s">
        <v>569</v>
      </c>
      <c r="D4140" s="2" t="str">
        <f t="shared" si="63"/>
        <v>Error?</v>
      </c>
    </row>
    <row r="4141" spans="1:4" x14ac:dyDescent="0.2">
      <c r="A4141" s="5">
        <v>4080</v>
      </c>
      <c r="B4141" s="1832">
        <f>'Acct Summary 7-8'!H19</f>
        <v>3313921</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696940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10526480</v>
      </c>
      <c r="C4171" s="2" t="s">
        <v>569</v>
      </c>
      <c r="D4171" s="2" t="str">
        <f t="shared" si="64"/>
        <v>Error?</v>
      </c>
    </row>
    <row r="4172" spans="1:4" x14ac:dyDescent="0.2">
      <c r="A4172" s="5">
        <v>4111</v>
      </c>
      <c r="B4172" s="1832">
        <f>'Short-Term Long-Term Debt 24'!J49</f>
        <v>9231426</v>
      </c>
      <c r="C4172" s="2" t="s">
        <v>569</v>
      </c>
      <c r="D4172" s="2" t="str">
        <f t="shared" si="64"/>
        <v>Error?</v>
      </c>
    </row>
    <row r="4173" spans="1:4" x14ac:dyDescent="0.2">
      <c r="A4173" s="5">
        <v>4112</v>
      </c>
      <c r="B4173" s="1832">
        <f>'Short-Term Long-Term Debt 24'!H49</f>
        <v>1076361</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-83724</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133893</v>
      </c>
      <c r="D4210" s="2" t="str">
        <f t="shared" si="64"/>
        <v>Error?</v>
      </c>
    </row>
    <row r="4211" spans="1:4" x14ac:dyDescent="0.2">
      <c r="A4211" s="5">
        <v>4150</v>
      </c>
      <c r="B4211" s="1832">
        <f>'Expenditures 15-22'!K206</f>
        <v>133893</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1331.7</v>
      </c>
      <c r="C4265" s="2" t="s">
        <v>569</v>
      </c>
      <c r="D4265" s="2" t="str">
        <f t="shared" si="65"/>
        <v>Error?</v>
      </c>
      <c r="E4265" s="125"/>
    </row>
    <row r="4266" spans="1:5" x14ac:dyDescent="0.2">
      <c r="A4266" s="12">
        <v>4205</v>
      </c>
      <c r="B4266" s="1832">
        <f>('FP Info 3'!F10)*100000</f>
        <v>358.1</v>
      </c>
      <c r="C4266" s="2" t="s">
        <v>569</v>
      </c>
      <c r="D4266" s="2" t="str">
        <f t="shared" si="65"/>
        <v>Error?</v>
      </c>
      <c r="E4266" s="125"/>
    </row>
    <row r="4267" spans="1:5" x14ac:dyDescent="0.2">
      <c r="A4267" s="12">
        <v>4206</v>
      </c>
      <c r="B4267" s="1832">
        <f>('FP Info 3'!H10)*100000</f>
        <v>172.60000000000002</v>
      </c>
      <c r="C4267" s="2" t="s">
        <v>569</v>
      </c>
      <c r="D4267" s="2" t="str">
        <f t="shared" si="65"/>
        <v>Error?</v>
      </c>
      <c r="E4267" s="125"/>
    </row>
    <row r="4268" spans="1:5" x14ac:dyDescent="0.2">
      <c r="A4268" s="12">
        <v>4207</v>
      </c>
      <c r="B4268" s="1832">
        <f>('FP Info 3'!J10)*100000</f>
        <v>1862</v>
      </c>
      <c r="C4268" s="2" t="s">
        <v>569</v>
      </c>
      <c r="D4268" s="2" t="str">
        <f t="shared" si="65"/>
        <v>Error?</v>
      </c>
    </row>
    <row r="4269" spans="1:5" x14ac:dyDescent="0.2">
      <c r="A4269" s="12">
        <v>4208</v>
      </c>
      <c r="B4269" s="1832">
        <f>'FP Info 3'!J16</f>
        <v>6980048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13999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32506</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47.199999999999996</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20940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461083750</v>
      </c>
      <c r="D4995" s="2" t="str">
        <f t="shared" si="77"/>
        <v>Error?</v>
      </c>
    </row>
    <row r="4996" spans="1:4" x14ac:dyDescent="0.2">
      <c r="A4996" s="12">
        <v>4935</v>
      </c>
      <c r="B4996" s="1832">
        <f>'FP Info 3'!H31</f>
        <v>31814778.750000004</v>
      </c>
      <c r="D4996" s="2" t="str">
        <f t="shared" si="77"/>
        <v>Error?</v>
      </c>
    </row>
    <row r="4997" spans="1:4" x14ac:dyDescent="0.2">
      <c r="A4997" s="12">
        <v>4936</v>
      </c>
      <c r="B4997" s="1832">
        <f>'FP Info 3'!H37</f>
        <v>10526480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5760487</v>
      </c>
      <c r="D5061" s="2" t="str">
        <f t="shared" si="78"/>
        <v>Error?</v>
      </c>
    </row>
    <row r="5062" spans="1:4" x14ac:dyDescent="0.2">
      <c r="A5062" s="10">
        <v>5001</v>
      </c>
      <c r="B5062" s="1832"/>
      <c r="D5062" s="2" t="str">
        <f t="shared" si="78"/>
        <v>OK</v>
      </c>
    </row>
    <row r="5063" spans="1:4" x14ac:dyDescent="0.2">
      <c r="A5063" s="5">
        <v>5002</v>
      </c>
      <c r="B5063" s="1832">
        <f>'Revenues 9-14'!C7</f>
        <v>114063</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5874550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1604145</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1604145</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1723</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1723</v>
      </c>
      <c r="C5087" s="2" t="s">
        <v>569</v>
      </c>
      <c r="D5087" s="2" t="str">
        <f t="shared" si="78"/>
        <v>Error?</v>
      </c>
    </row>
    <row r="5088" spans="1:4" x14ac:dyDescent="0.2">
      <c r="A5088" s="5">
        <v>5027</v>
      </c>
      <c r="B5088" s="1832">
        <f>'Revenues 9-14'!C65</f>
        <v>43865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43865</v>
      </c>
      <c r="C5090" s="2" t="s">
        <v>569</v>
      </c>
      <c r="D5090" s="2" t="str">
        <f t="shared" si="78"/>
        <v>Error?</v>
      </c>
    </row>
    <row r="5091" spans="1:4" x14ac:dyDescent="0.2">
      <c r="A5091" s="5">
        <v>5030</v>
      </c>
      <c r="B5091" s="1832">
        <f>'Revenues 9-14'!C70</f>
        <v>4470</v>
      </c>
      <c r="D5091" s="2" t="str">
        <f t="shared" si="78"/>
        <v>Error?</v>
      </c>
    </row>
    <row r="5092" spans="1:4" x14ac:dyDescent="0.2">
      <c r="A5092" s="5">
        <v>5031</v>
      </c>
      <c r="B5092" s="1832">
        <f>'Revenues 9-14'!C71</f>
        <v>121123</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2683</v>
      </c>
      <c r="D5094" s="2" t="str">
        <f t="shared" si="78"/>
        <v>Error?</v>
      </c>
    </row>
    <row r="5095" spans="1:4" x14ac:dyDescent="0.2">
      <c r="A5095" s="5">
        <v>5034</v>
      </c>
      <c r="B5095" s="1832">
        <f>'Revenues 9-14'!C74</f>
        <v>15521</v>
      </c>
      <c r="D5095" s="2" t="str">
        <f t="shared" si="78"/>
        <v>Error?</v>
      </c>
    </row>
    <row r="5096" spans="1:4" x14ac:dyDescent="0.2">
      <c r="A5096" s="5">
        <v>5035</v>
      </c>
      <c r="B5096" s="1832">
        <f>'Revenues 9-14'!C75</f>
        <v>244917</v>
      </c>
      <c r="C5096" s="2" t="s">
        <v>569</v>
      </c>
      <c r="D5096" s="2" t="str">
        <f t="shared" si="78"/>
        <v>Error?</v>
      </c>
    </row>
    <row r="5097" spans="1:4" x14ac:dyDescent="0.2">
      <c r="A5097" s="5">
        <v>5036</v>
      </c>
      <c r="B5097" s="1832">
        <f>'Revenues 9-14'!C77</f>
        <v>35393</v>
      </c>
      <c r="D5097" s="2" t="str">
        <f t="shared" si="78"/>
        <v>Error?</v>
      </c>
    </row>
    <row r="5098" spans="1:4" x14ac:dyDescent="0.2">
      <c r="A5098" s="5">
        <v>5037</v>
      </c>
      <c r="B5098" s="1832">
        <f>'Revenues 9-14'!C78</f>
        <v>2870</v>
      </c>
      <c r="D5098" s="2" t="str">
        <f t="shared" si="78"/>
        <v>Error?</v>
      </c>
    </row>
    <row r="5099" spans="1:4" x14ac:dyDescent="0.2">
      <c r="A5099" s="5">
        <v>5038</v>
      </c>
      <c r="B5099" s="1832">
        <f>'Revenues 9-14'!C79</f>
        <v>317</v>
      </c>
      <c r="D5099" s="2" t="str">
        <f t="shared" si="78"/>
        <v>Error?</v>
      </c>
    </row>
    <row r="5100" spans="1:4" x14ac:dyDescent="0.2">
      <c r="A5100" s="5">
        <v>5039</v>
      </c>
      <c r="B5100" s="1832">
        <f>'Revenues 9-14'!C80</f>
        <v>1391</v>
      </c>
      <c r="D5100" s="2" t="str">
        <f t="shared" si="78"/>
        <v>Error?</v>
      </c>
    </row>
    <row r="5101" spans="1:4" x14ac:dyDescent="0.2">
      <c r="A5101" s="5">
        <v>5040</v>
      </c>
      <c r="B5101" s="1832">
        <f>'Revenues 9-14'!C81</f>
        <v>35177</v>
      </c>
      <c r="D5101" s="2" t="str">
        <f t="shared" si="78"/>
        <v>Error?</v>
      </c>
    </row>
    <row r="5102" spans="1:4" x14ac:dyDescent="0.2">
      <c r="A5102" s="5">
        <v>5041</v>
      </c>
      <c r="B5102" s="1832">
        <f>'Revenues 9-14'!C82</f>
        <v>75148</v>
      </c>
      <c r="C5102" s="2" t="s">
        <v>569</v>
      </c>
      <c r="D5102" s="2" t="str">
        <f t="shared" si="78"/>
        <v>Error?</v>
      </c>
    </row>
    <row r="5103" spans="1:4" x14ac:dyDescent="0.2">
      <c r="A5103" s="5">
        <v>5042</v>
      </c>
      <c r="B5103" s="1832">
        <f>'Revenues 9-14'!C84</f>
        <v>98342</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140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98482</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622</v>
      </c>
      <c r="D5114" s="2" t="str">
        <f t="shared" si="78"/>
        <v>Error?</v>
      </c>
    </row>
    <row r="5115" spans="1:4" x14ac:dyDescent="0.2">
      <c r="A5115" s="5">
        <v>5054</v>
      </c>
      <c r="B5115" s="1832">
        <f>'Revenues 9-14'!C98</f>
        <v>87255</v>
      </c>
      <c r="D5115" s="2" t="str">
        <f t="shared" si="78"/>
        <v>Error?</v>
      </c>
    </row>
    <row r="5116" spans="1:4" x14ac:dyDescent="0.2">
      <c r="A5116" s="5">
        <v>5055</v>
      </c>
      <c r="B5116" s="1832">
        <f>'Revenues 9-14'!C99</f>
        <v>12860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26622</v>
      </c>
      <c r="D5119" s="2" t="str">
        <f t="shared" ref="D5119:D5182" si="79">IF(ISBLANK(B5119),"OK",IF(A5119-B5119=0,"OK","Error?"))</f>
        <v>Error?</v>
      </c>
    </row>
    <row r="5120" spans="1:4" x14ac:dyDescent="0.2">
      <c r="A5120" s="5">
        <v>5059</v>
      </c>
      <c r="B5120" s="1832">
        <f>'Revenues 9-14'!C108</f>
        <v>161006</v>
      </c>
      <c r="C5120" s="2" t="s">
        <v>569</v>
      </c>
      <c r="D5120" s="2" t="str">
        <f t="shared" si="79"/>
        <v>Error?</v>
      </c>
    </row>
    <row r="5121" spans="1:4" x14ac:dyDescent="0.2">
      <c r="A5121" s="5">
        <v>5060</v>
      </c>
      <c r="B5121" s="1832">
        <f>'Revenues 9-14'!C109</f>
        <v>8103836</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1423568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1423568</v>
      </c>
      <c r="C5132" s="2" t="s">
        <v>569</v>
      </c>
      <c r="D5132" s="2" t="str">
        <f t="shared" si="79"/>
        <v>Error?</v>
      </c>
    </row>
    <row r="5133" spans="1:4" x14ac:dyDescent="0.2">
      <c r="A5133" s="5">
        <v>5072</v>
      </c>
      <c r="B5133" s="1832">
        <f>'Revenues 9-14'!C125</f>
        <v>59900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50317</v>
      </c>
      <c r="D5137" s="2" t="str">
        <f t="shared" si="79"/>
        <v>Error?</v>
      </c>
    </row>
    <row r="5138" spans="1:4" x14ac:dyDescent="0.2">
      <c r="A5138" s="10">
        <v>5077</v>
      </c>
      <c r="B5138" s="1832"/>
      <c r="D5138" s="2" t="str">
        <f t="shared" si="79"/>
        <v>OK</v>
      </c>
    </row>
    <row r="5139" spans="1:4" x14ac:dyDescent="0.2">
      <c r="A5139" s="5">
        <v>5078</v>
      </c>
      <c r="B5139" s="1832">
        <f>'Revenues 9-14'!C129</f>
        <v>1641</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111858</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39415</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64979</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2701</v>
      </c>
      <c r="D5167" s="2" t="str">
        <f t="shared" si="79"/>
        <v>Error?</v>
      </c>
    </row>
    <row r="5168" spans="1:4" x14ac:dyDescent="0.2">
      <c r="A5168" s="5">
        <v>5107</v>
      </c>
      <c r="B5168" s="1832">
        <f>'Revenues 9-14'!C148</f>
        <v>27026</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206564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1630132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160510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28655</v>
      </c>
      <c r="D5241" s="2" t="str">
        <f t="shared" si="80"/>
        <v>Error?</v>
      </c>
    </row>
    <row r="5242" spans="1:4" x14ac:dyDescent="0.2">
      <c r="A5242" s="5">
        <v>5181</v>
      </c>
      <c r="B5242" s="1832">
        <f>'Revenues 9-14'!C194</f>
        <v>90419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279584</v>
      </c>
      <c r="C5246" s="2" t="s">
        <v>569</v>
      </c>
      <c r="D5246" s="2" t="str">
        <f t="shared" si="80"/>
        <v>Error?</v>
      </c>
    </row>
    <row r="5247" spans="1:4" x14ac:dyDescent="0.2">
      <c r="A5247" s="5">
        <v>5186</v>
      </c>
      <c r="B5247" s="1832">
        <f>'Revenues 9-14'!C200</f>
        <v>308103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308103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109435</v>
      </c>
      <c r="D5278" s="2" t="str">
        <f t="shared" si="81"/>
        <v>Error?</v>
      </c>
    </row>
    <row r="5279" spans="1:4" x14ac:dyDescent="0.2">
      <c r="A5279" s="5">
        <v>5218</v>
      </c>
      <c r="B5279" s="1832">
        <f>'Revenues 9-14'!C214</f>
        <v>144489</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253924</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6523</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894639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894639</v>
      </c>
      <c r="C5326" s="2" t="s">
        <v>569</v>
      </c>
      <c r="D5326" s="2" t="str">
        <f t="shared" si="82"/>
        <v>Error?</v>
      </c>
    </row>
    <row r="5327" spans="1:5" x14ac:dyDescent="0.2">
      <c r="A5327" s="5">
        <v>5266</v>
      </c>
      <c r="B5327" s="1832">
        <f>'Revenues 9-14'!C268</f>
        <v>10628607</v>
      </c>
      <c r="C5327" s="2" t="s">
        <v>569</v>
      </c>
      <c r="D5327" s="2" t="str">
        <f t="shared" si="82"/>
        <v>Error?</v>
      </c>
    </row>
    <row r="5328" spans="1:5" x14ac:dyDescent="0.2">
      <c r="A5328" s="5">
        <v>5267</v>
      </c>
      <c r="B5328" s="1832">
        <f>'Revenues 9-14'!D5</f>
        <v>1548760</v>
      </c>
      <c r="D5328" s="2" t="str">
        <f t="shared" si="82"/>
        <v>Error?</v>
      </c>
    </row>
    <row r="5329" spans="1:4" x14ac:dyDescent="0.2">
      <c r="A5329" s="10">
        <v>5268</v>
      </c>
      <c r="B5329" s="1832"/>
      <c r="D5329" s="2" t="str">
        <f t="shared" si="82"/>
        <v>OK</v>
      </c>
    </row>
    <row r="5330" spans="1:4" x14ac:dyDescent="0.2">
      <c r="A5330" s="5">
        <v>5269</v>
      </c>
      <c r="B5330" s="1832">
        <f>'Revenues 9-14'!D6</f>
        <v>280399</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1829159</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14902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14902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6290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52330</v>
      </c>
      <c r="D5354" s="2" t="str">
        <f t="shared" si="82"/>
        <v>Error?</v>
      </c>
    </row>
    <row r="5355" spans="1:4" x14ac:dyDescent="0.2">
      <c r="A5355" s="5">
        <v>5294</v>
      </c>
      <c r="B5355" s="1832">
        <f>'Revenues 9-14'!D108</f>
        <v>100814</v>
      </c>
      <c r="C5355" s="2" t="s">
        <v>569</v>
      </c>
      <c r="D5355" s="2" t="str">
        <f t="shared" si="82"/>
        <v>Error?</v>
      </c>
    </row>
    <row r="5356" spans="1:4" x14ac:dyDescent="0.2">
      <c r="A5356" s="5">
        <v>5295</v>
      </c>
      <c r="B5356" s="1832">
        <f>'Revenues 9-14'!D109</f>
        <v>1944875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1994875</v>
      </c>
      <c r="C5508" s="2" t="s">
        <v>569</v>
      </c>
      <c r="D5508" s="2" t="str">
        <f t="shared" si="85"/>
        <v>Error?</v>
      </c>
    </row>
    <row r="5509" spans="1:4" x14ac:dyDescent="0.2">
      <c r="A5509" s="5">
        <v>5448</v>
      </c>
      <c r="B5509" s="1832">
        <f>'Revenues 9-14'!E5</f>
        <v>486618</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486618</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12490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12490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420252</v>
      </c>
      <c r="D5525" s="2" t="str">
        <f t="shared" si="85"/>
        <v>Error?</v>
      </c>
    </row>
    <row r="5526" spans="1:4" x14ac:dyDescent="0.2">
      <c r="A5526" s="5">
        <v>5465</v>
      </c>
      <c r="B5526" s="1832">
        <f>'Revenues 9-14'!E108</f>
        <v>420252</v>
      </c>
      <c r="C5526" s="2" t="s">
        <v>569</v>
      </c>
      <c r="D5526" s="2" t="str">
        <f t="shared" si="85"/>
        <v>Error?</v>
      </c>
    </row>
    <row r="5527" spans="1:4" x14ac:dyDescent="0.2">
      <c r="A5527" s="5">
        <v>5466</v>
      </c>
      <c r="B5527" s="1832">
        <f>'Revenues 9-14'!E109</f>
        <v>919360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919360</v>
      </c>
      <c r="C5552" s="2" t="s">
        <v>569</v>
      </c>
      <c r="D5552" s="2" t="str">
        <f t="shared" si="85"/>
        <v>Error?</v>
      </c>
    </row>
    <row r="5553" spans="1:4" x14ac:dyDescent="0.2">
      <c r="A5553" s="5">
        <v>5492</v>
      </c>
      <c r="B5553" s="1832">
        <f>'Revenues 9-14'!F5</f>
        <v>746344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746344</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18096</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18096</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18593</v>
      </c>
      <c r="D5586" s="2" t="str">
        <f t="shared" si="86"/>
        <v>Error?</v>
      </c>
    </row>
    <row r="5587" spans="1:4" x14ac:dyDescent="0.2">
      <c r="A5587" s="5">
        <v>5526</v>
      </c>
      <c r="B5587" s="1832">
        <f>'Revenues 9-14'!F108</f>
        <v>18593</v>
      </c>
      <c r="C5587" s="2" t="s">
        <v>569</v>
      </c>
      <c r="D5587" s="2" t="str">
        <f t="shared" si="86"/>
        <v>Error?</v>
      </c>
    </row>
    <row r="5588" spans="1:4" x14ac:dyDescent="0.2">
      <c r="A5588" s="5">
        <v>5527</v>
      </c>
      <c r="B5588" s="1832">
        <f>'Revenues 9-14'!F109</f>
        <v>783033</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179048</v>
      </c>
      <c r="D5615" s="2" t="str">
        <f t="shared" si="86"/>
        <v>Error?</v>
      </c>
    </row>
    <row r="5616" spans="1:4" x14ac:dyDescent="0.2">
      <c r="A5616" s="10">
        <v>5555</v>
      </c>
      <c r="B5616" s="1832"/>
      <c r="D5616" s="2" t="str">
        <f t="shared" si="86"/>
        <v>OK</v>
      </c>
    </row>
    <row r="5617" spans="1:5" x14ac:dyDescent="0.2">
      <c r="A5617" s="5">
        <v>5556</v>
      </c>
      <c r="B5617" s="1832">
        <f>'Revenues 9-14'!F153</f>
        <v>367299</v>
      </c>
      <c r="D5617" s="2" t="str">
        <f t="shared" si="86"/>
        <v>Error?</v>
      </c>
    </row>
    <row r="5618" spans="1:5" x14ac:dyDescent="0.2">
      <c r="A5618" s="5">
        <v>5557</v>
      </c>
      <c r="B5618" s="1832">
        <f>'Revenues 9-14'!F155</f>
        <v>546347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546347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546347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1329380</v>
      </c>
      <c r="C5720" s="2" t="s">
        <v>569</v>
      </c>
      <c r="D5720" s="2" t="str">
        <f t="shared" si="88"/>
        <v>Error?</v>
      </c>
    </row>
    <row r="5721" spans="1:4" x14ac:dyDescent="0.2">
      <c r="A5721" s="5">
        <v>5660</v>
      </c>
      <c r="B5721" s="1832">
        <f>'Revenues 9-14'!G5</f>
        <v>176011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334959</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510970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50000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50000</v>
      </c>
      <c r="C5730" s="2" t="s">
        <v>569</v>
      </c>
      <c r="D5730" s="2" t="str">
        <f t="shared" si="88"/>
        <v>Error?</v>
      </c>
    </row>
    <row r="5731" spans="1:4" x14ac:dyDescent="0.2">
      <c r="A5731" s="5">
        <v>5670</v>
      </c>
      <c r="B5731" s="1832">
        <f>'Revenues 9-14'!G65</f>
        <v>7792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7792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568762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5399</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5399</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30000</v>
      </c>
      <c r="D5885" s="2" t="str">
        <f t="shared" si="90"/>
        <v>Error?</v>
      </c>
    </row>
    <row r="5886" spans="1:4" x14ac:dyDescent="0.2">
      <c r="A5886" s="5">
        <v>5825</v>
      </c>
      <c r="B5886" s="1832">
        <f>'Revenues 9-14'!H108</f>
        <v>30000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35399</v>
      </c>
      <c r="C5915" s="2" t="s">
        <v>569</v>
      </c>
      <c r="D5915" s="2" t="str">
        <f t="shared" si="91"/>
        <v>Error?</v>
      </c>
    </row>
    <row r="5916" spans="1:4" x14ac:dyDescent="0.2">
      <c r="A5916" s="5">
        <v>5855</v>
      </c>
      <c r="B5916" s="1832">
        <f>'Revenues 9-14'!I5</f>
        <v>214154</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214154</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19019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19019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233173</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281771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281771</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11480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11480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293251</v>
      </c>
      <c r="C6023" s="2" t="s">
        <v>569</v>
      </c>
      <c r="D6023" s="2" t="str">
        <f t="shared" si="93"/>
        <v>Error?</v>
      </c>
    </row>
    <row r="6024" spans="1:5" x14ac:dyDescent="0.2">
      <c r="A6024" s="5">
        <v>5963</v>
      </c>
      <c r="B6024" s="1832">
        <f>'Revenues 9-14'!G109</f>
        <v>568762</v>
      </c>
      <c r="C6024" s="2" t="s">
        <v>569</v>
      </c>
      <c r="D6024" s="2" t="str">
        <f t="shared" si="93"/>
        <v>Error?</v>
      </c>
    </row>
    <row r="6025" spans="1:5" x14ac:dyDescent="0.2">
      <c r="A6025" s="5">
        <v>5964</v>
      </c>
      <c r="B6025" s="1832">
        <f>'Revenues 9-14'!H109</f>
        <v>35399</v>
      </c>
      <c r="C6025" s="2" t="s">
        <v>569</v>
      </c>
      <c r="D6025" s="2" t="str">
        <f t="shared" si="93"/>
        <v>Error?</v>
      </c>
    </row>
    <row r="6026" spans="1:5" x14ac:dyDescent="0.2">
      <c r="A6026" s="5">
        <v>5965</v>
      </c>
      <c r="B6026" s="1832">
        <f>'Revenues 9-14'!I109</f>
        <v>233173</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293251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101120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44976</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944.4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300000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300000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241612</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25050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36642</v>
      </c>
      <c r="D6267" s="2" t="str">
        <f t="shared" si="96"/>
        <v>Error?</v>
      </c>
      <c r="E6267" s="2" t="s">
        <v>189</v>
      </c>
    </row>
    <row r="6268" spans="1:5" x14ac:dyDescent="0.2">
      <c r="A6268">
        <v>6207</v>
      </c>
      <c r="B6268" s="1832">
        <f>'Acct Summary 7-8'!D82</f>
        <v>273429</v>
      </c>
      <c r="D6268" s="2" t="str">
        <f t="shared" si="96"/>
        <v>Error?</v>
      </c>
      <c r="E6268" s="2" t="s">
        <v>189</v>
      </c>
    </row>
    <row r="6269" spans="1:5" x14ac:dyDescent="0.2">
      <c r="A6269">
        <v>6208</v>
      </c>
      <c r="B6269" s="1832">
        <f>'Acct Summary 7-8'!E82</f>
        <v>26927</v>
      </c>
      <c r="D6269" s="2" t="str">
        <f t="shared" si="96"/>
        <v>Error?</v>
      </c>
      <c r="E6269" s="2" t="s">
        <v>189</v>
      </c>
    </row>
    <row r="6270" spans="1:5" x14ac:dyDescent="0.2">
      <c r="A6270">
        <v>6209</v>
      </c>
      <c r="B6270" s="1832">
        <f>'Acct Summary 7-8'!F82</f>
        <v>217833</v>
      </c>
      <c r="D6270" s="2" t="str">
        <f t="shared" si="96"/>
        <v>Error?</v>
      </c>
      <c r="E6270" s="2" t="s">
        <v>189</v>
      </c>
    </row>
    <row r="6271" spans="1:5" x14ac:dyDescent="0.2">
      <c r="A6271">
        <v>6210</v>
      </c>
      <c r="B6271" s="1832">
        <f>'Acct Summary 7-8'!G82</f>
        <v>70237</v>
      </c>
      <c r="D6271" s="2" t="str">
        <f t="shared" ref="D6271:D6334" si="97">IF(ISBLANK(B6271),"OK",IF(A6271-B6271=0,"OK","Error?"))</f>
        <v>Error?</v>
      </c>
      <c r="E6271" s="2" t="s">
        <v>189</v>
      </c>
    </row>
    <row r="6272" spans="1:5" x14ac:dyDescent="0.2">
      <c r="A6272">
        <v>6211</v>
      </c>
      <c r="B6272" s="1832">
        <f>'Acct Summary 7-8'!H82</f>
        <v>-1378522</v>
      </c>
      <c r="D6272" s="2" t="str">
        <f t="shared" si="97"/>
        <v>Error?</v>
      </c>
      <c r="E6272" s="2" t="s">
        <v>189</v>
      </c>
    </row>
    <row r="6273" spans="1:5" x14ac:dyDescent="0.2">
      <c r="A6273">
        <v>6212</v>
      </c>
      <c r="B6273" s="1832">
        <f>'Acct Summary 7-8'!I82</f>
        <v>-1666827</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-403689</v>
      </c>
      <c r="D6275" s="2" t="str">
        <f t="shared" si="97"/>
        <v>Error?</v>
      </c>
      <c r="E6275" s="2" t="s">
        <v>189</v>
      </c>
    </row>
    <row r="6276" spans="1:5" x14ac:dyDescent="0.2">
      <c r="A6276">
        <v>6215</v>
      </c>
      <c r="B6276" s="1832">
        <f>'Acct Summary 7-8'!C83</f>
        <v>1.382120322396671E-2</v>
      </c>
      <c r="D6276" s="2" t="str">
        <f t="shared" si="97"/>
        <v>Error?</v>
      </c>
      <c r="E6276" s="2" t="s">
        <v>189</v>
      </c>
    </row>
    <row r="6277" spans="1:5" x14ac:dyDescent="0.2">
      <c r="A6277">
        <v>6216</v>
      </c>
      <c r="B6277" s="1832">
        <f>'Acct Summary 7-8'!D83</f>
        <v>0.20803726926404159</v>
      </c>
      <c r="D6277" s="2" t="str">
        <f t="shared" si="97"/>
        <v>Error?</v>
      </c>
      <c r="E6277" s="2" t="s">
        <v>189</v>
      </c>
    </row>
    <row r="6278" spans="1:5" x14ac:dyDescent="0.2">
      <c r="A6278">
        <v>6217</v>
      </c>
      <c r="B6278" s="1832">
        <f>'Acct Summary 7-8'!E83</f>
        <v>2.0792183183095069E-2</v>
      </c>
      <c r="D6278" s="2" t="str">
        <f t="shared" si="97"/>
        <v>Error?</v>
      </c>
      <c r="E6278" s="2" t="s">
        <v>189</v>
      </c>
    </row>
    <row r="6279" spans="1:5" x14ac:dyDescent="0.2">
      <c r="A6279">
        <v>6218</v>
      </c>
      <c r="B6279" s="1832">
        <f>'Acct Summary 7-8'!F83</f>
        <v>0.10645603489352344</v>
      </c>
      <c r="D6279" s="2" t="str">
        <f t="shared" si="97"/>
        <v>Error?</v>
      </c>
      <c r="E6279" s="2" t="s">
        <v>189</v>
      </c>
    </row>
    <row r="6280" spans="1:5" x14ac:dyDescent="0.2">
      <c r="A6280">
        <v>6219</v>
      </c>
      <c r="B6280" s="1832">
        <f>'Acct Summary 7-8'!G83</f>
        <v>9.7077462112050206E-2</v>
      </c>
      <c r="D6280" s="2" t="str">
        <f t="shared" si="97"/>
        <v>Error?</v>
      </c>
      <c r="E6280" s="2" t="s">
        <v>189</v>
      </c>
    </row>
    <row r="6281" spans="1:5" x14ac:dyDescent="0.2">
      <c r="A6281">
        <v>6220</v>
      </c>
      <c r="B6281" s="1832">
        <f>'Acct Summary 7-8'!H83</f>
        <v>620.39693969396944</v>
      </c>
      <c r="D6281" s="2" t="str">
        <f t="shared" si="97"/>
        <v>Error?</v>
      </c>
      <c r="E6281" s="2" t="s">
        <v>189</v>
      </c>
    </row>
    <row r="6282" spans="1:5" x14ac:dyDescent="0.2">
      <c r="A6282">
        <v>6221</v>
      </c>
      <c r="B6282" s="1832">
        <f>'Acct Summary 7-8'!I83</f>
        <v>-1.7213027907207297</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f>'Acct Summary 7-8'!K83</f>
        <v>-0.35550837233141291</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36695</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2850</v>
      </c>
      <c r="D6339" s="2" t="str">
        <f t="shared" si="98"/>
        <v>Error?</v>
      </c>
      <c r="E6339" s="2" t="s">
        <v>189</v>
      </c>
    </row>
    <row r="6340" spans="1:5" x14ac:dyDescent="0.2">
      <c r="A6340">
        <v>6279</v>
      </c>
      <c r="B6340" s="1832">
        <f>'Revenues 9-14'!C102</f>
        <v>9857</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25564</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90044</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414266</v>
      </c>
      <c r="D6880" s="2" t="str">
        <f t="shared" si="106"/>
        <v>Error?</v>
      </c>
    </row>
    <row r="6881" spans="1:4" x14ac:dyDescent="0.2">
      <c r="A6881">
        <v>6820</v>
      </c>
      <c r="B6881" s="1832">
        <f>'Expenditures 15-22'!K22</f>
        <v>414266</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9316</v>
      </c>
      <c r="D6991" s="2" t="str">
        <f t="shared" si="108"/>
        <v>Error?</v>
      </c>
    </row>
    <row r="6992" spans="1:4" x14ac:dyDescent="0.2">
      <c r="A6992">
        <v>6931</v>
      </c>
      <c r="B6992" s="1832">
        <f>'Expenditures 15-22'!K90</f>
        <v>9316</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9316</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5499</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62674</v>
      </c>
      <c r="D7067" s="2" t="str">
        <f t="shared" si="109"/>
        <v>Error?</v>
      </c>
    </row>
    <row r="7068" spans="1:4" x14ac:dyDescent="0.2">
      <c r="A7068">
        <v>7007</v>
      </c>
      <c r="B7068" s="1832">
        <f>'Expenditures 15-22'!K205</f>
        <v>62674</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850</v>
      </c>
      <c r="D7079" s="2" t="str">
        <f t="shared" si="109"/>
        <v>Error?</v>
      </c>
    </row>
    <row r="7080" spans="1:4" x14ac:dyDescent="0.2">
      <c r="A7080">
        <v>7019</v>
      </c>
      <c r="B7080" s="1832">
        <f>'Expenditures 15-22'!K226</f>
        <v>850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62613</v>
      </c>
      <c r="D7263" s="2" t="str">
        <f t="shared" si="112"/>
        <v>Error?</v>
      </c>
    </row>
    <row r="7264" spans="1:4" x14ac:dyDescent="0.2">
      <c r="A7264">
        <f t="shared" si="113"/>
        <v>7203</v>
      </c>
      <c r="B7264" s="1832">
        <f>'Expenditures 15-22'!D17</f>
        <v>15858</v>
      </c>
      <c r="D7264" s="2" t="str">
        <f t="shared" si="112"/>
        <v>Error?</v>
      </c>
    </row>
    <row r="7265" spans="1:5" x14ac:dyDescent="0.2">
      <c r="A7265">
        <f t="shared" si="113"/>
        <v>7204</v>
      </c>
      <c r="B7265" s="1832">
        <f>'Expenditures 15-22'!E17</f>
        <v>10440</v>
      </c>
      <c r="D7265" s="2" t="str">
        <f t="shared" si="112"/>
        <v>Error?</v>
      </c>
    </row>
    <row r="7266" spans="1:5" x14ac:dyDescent="0.2">
      <c r="A7266">
        <f t="shared" si="113"/>
        <v>7205</v>
      </c>
      <c r="B7266" s="1832">
        <f>'Expenditures 15-22'!F17</f>
        <v>1133</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1325</v>
      </c>
    </row>
    <row r="7627" spans="1:5" x14ac:dyDescent="0.2">
      <c r="A7627" s="126">
        <f t="shared" si="123"/>
        <v>7566</v>
      </c>
      <c r="B7627" s="1832"/>
      <c r="D7627" s="2" t="str">
        <f t="shared" si="124"/>
        <v>OK</v>
      </c>
      <c r="E7627" s="4" t="s">
        <v>1325</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1325</v>
      </c>
    </row>
    <row r="7630" spans="1:5" x14ac:dyDescent="0.2">
      <c r="A7630" s="126">
        <f t="shared" ref="A7630:A7650" si="125">A7629+1</f>
        <v>7569</v>
      </c>
      <c r="B7630" s="1832"/>
      <c r="D7630" s="2" t="str">
        <f t="shared" si="124"/>
        <v>OK</v>
      </c>
      <c r="E7630" s="4" t="s">
        <v>1325</v>
      </c>
    </row>
    <row r="7631" spans="1:5" x14ac:dyDescent="0.2">
      <c r="A7631">
        <f t="shared" si="125"/>
        <v>7570</v>
      </c>
      <c r="B7631" s="1832">
        <f>'Cap Outlay Deprec 26'!I18</f>
        <v>1072807</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1325</v>
      </c>
    </row>
    <row r="7634" spans="1:6" x14ac:dyDescent="0.2">
      <c r="A7634" s="126">
        <f t="shared" si="125"/>
        <v>7573</v>
      </c>
      <c r="B7634" s="1832"/>
      <c r="D7634" s="2" t="str">
        <f t="shared" si="124"/>
        <v>OK</v>
      </c>
      <c r="E7634" s="4" t="s">
        <v>1325</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2850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27026</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29876</v>
      </c>
      <c r="D7719" s="2" t="str">
        <f t="shared" si="126"/>
        <v>Error?</v>
      </c>
      <c r="E7719" s="2" t="s">
        <v>822</v>
      </c>
    </row>
    <row r="7720" spans="1:6" x14ac:dyDescent="0.2">
      <c r="A7720">
        <v>7659</v>
      </c>
      <c r="B7720" s="1832">
        <f>'Rest Tax Levies-Tort Im 25'!H14</f>
        <v>114063</v>
      </c>
      <c r="D7720" s="2" t="str">
        <f t="shared" si="126"/>
        <v>Error?</v>
      </c>
      <c r="E7720" s="2" t="s">
        <v>822</v>
      </c>
    </row>
    <row r="7721" spans="1:6" x14ac:dyDescent="0.2">
      <c r="A7721">
        <v>7660</v>
      </c>
      <c r="B7721" s="1832">
        <f>'Rest Tax Levies-Tort Im 25'!K14</f>
        <v>29876</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1325</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1324</v>
      </c>
    </row>
    <row r="7749" spans="1:6" x14ac:dyDescent="0.2">
      <c r="A7749">
        <v>7688</v>
      </c>
      <c r="B7749" s="1832">
        <f>'Acct Summary 7-8'!D25</f>
        <v>0</v>
      </c>
      <c r="D7749" s="2" t="str">
        <f t="shared" si="127"/>
        <v>Error?</v>
      </c>
      <c r="E7749" s="4" t="s">
        <v>1324</v>
      </c>
    </row>
    <row r="7750" spans="1:6" x14ac:dyDescent="0.2">
      <c r="A7750">
        <v>7689</v>
      </c>
      <c r="B7750" s="1832">
        <f>'Acct Summary 7-8'!E25</f>
        <v>0</v>
      </c>
      <c r="D7750" s="2" t="str">
        <f t="shared" si="127"/>
        <v>Error?</v>
      </c>
      <c r="E7750" s="4" t="s">
        <v>1324</v>
      </c>
    </row>
    <row r="7751" spans="1:6" x14ac:dyDescent="0.2">
      <c r="A7751">
        <v>7690</v>
      </c>
      <c r="B7751" s="1832">
        <f>'Acct Summary 7-8'!F25</f>
        <v>0</v>
      </c>
      <c r="D7751" s="2" t="str">
        <f t="shared" si="127"/>
        <v>Error?</v>
      </c>
      <c r="E7751" s="4" t="s">
        <v>1324</v>
      </c>
    </row>
    <row r="7752" spans="1:6" x14ac:dyDescent="0.2">
      <c r="A7752">
        <v>7691</v>
      </c>
      <c r="B7752" s="1832">
        <f>'Acct Summary 7-8'!G25</f>
        <v>0</v>
      </c>
      <c r="D7752" s="2" t="str">
        <f t="shared" si="127"/>
        <v>Error?</v>
      </c>
      <c r="E7752" s="4" t="s">
        <v>1324</v>
      </c>
    </row>
    <row r="7753" spans="1:6" x14ac:dyDescent="0.2">
      <c r="A7753">
        <v>7692</v>
      </c>
      <c r="B7753" s="1832">
        <f>'Acct Summary 7-8'!H25</f>
        <v>1900000</v>
      </c>
      <c r="D7753" s="2" t="str">
        <f t="shared" si="127"/>
        <v>Error?</v>
      </c>
      <c r="E7753" s="4" t="s">
        <v>1324</v>
      </c>
    </row>
    <row r="7754" spans="1:6" x14ac:dyDescent="0.2">
      <c r="A7754">
        <v>7693</v>
      </c>
      <c r="B7754" s="1832">
        <f>'Acct Summary 7-8'!J25</f>
        <v>0</v>
      </c>
      <c r="D7754" s="2" t="str">
        <f t="shared" si="127"/>
        <v>Error?</v>
      </c>
      <c r="E7754" s="4" t="s">
        <v>1324</v>
      </c>
    </row>
    <row r="7755" spans="1:6" x14ac:dyDescent="0.2">
      <c r="A7755">
        <v>7694</v>
      </c>
      <c r="B7755" s="1832">
        <f>'Acct Summary 7-8'!K25</f>
        <v>0</v>
      </c>
      <c r="D7755" s="2" t="str">
        <f t="shared" si="127"/>
        <v>Error?</v>
      </c>
      <c r="E7755" s="4" t="s">
        <v>1324</v>
      </c>
    </row>
    <row r="7756" spans="1:6" x14ac:dyDescent="0.2">
      <c r="A7756" s="126">
        <v>7695</v>
      </c>
      <c r="B7756" s="1832"/>
      <c r="D7756" s="2" t="str">
        <f t="shared" si="127"/>
        <v>OK</v>
      </c>
      <c r="E7756" s="4" t="s">
        <v>1324</v>
      </c>
      <c r="F7756" t="s">
        <v>1431</v>
      </c>
    </row>
    <row r="7757" spans="1:6" x14ac:dyDescent="0.2">
      <c r="A7757" s="126">
        <v>7696</v>
      </c>
      <c r="B7757" s="1832"/>
      <c r="D7757" s="2" t="str">
        <f t="shared" si="127"/>
        <v>OK</v>
      </c>
      <c r="E7757" s="4" t="s">
        <v>1324</v>
      </c>
      <c r="F7757" t="s">
        <v>1431</v>
      </c>
    </row>
    <row r="7758" spans="1:6" x14ac:dyDescent="0.2">
      <c r="A7758">
        <v>7697</v>
      </c>
      <c r="B7758" s="1832">
        <f>'Aud Quest 2'!J85</f>
        <v>0</v>
      </c>
      <c r="D7758" s="2" t="str">
        <f t="shared" si="127"/>
        <v>Error?</v>
      </c>
      <c r="E7758" s="4" t="s">
        <v>1324</v>
      </c>
    </row>
    <row r="7759" spans="1:6" x14ac:dyDescent="0.2">
      <c r="A7759">
        <v>7698</v>
      </c>
      <c r="B7759" s="1832">
        <f>'Aud Quest 2'!J88</f>
        <v>0</v>
      </c>
      <c r="D7759" s="2" t="str">
        <f t="shared" si="127"/>
        <v>Error?</v>
      </c>
      <c r="E7759" s="4" t="s">
        <v>1324</v>
      </c>
    </row>
    <row r="7760" spans="1:6" x14ac:dyDescent="0.2">
      <c r="A7760">
        <v>7699</v>
      </c>
      <c r="B7760" s="1832">
        <f>'Aud Quest 2'!J90</f>
        <v>0</v>
      </c>
      <c r="D7760" s="2" t="str">
        <f t="shared" si="127"/>
        <v>Error?</v>
      </c>
      <c r="E7760" s="4" t="s">
        <v>1324</v>
      </c>
    </row>
    <row r="7761" spans="1:5" x14ac:dyDescent="0.2">
      <c r="A7761">
        <v>7700</v>
      </c>
      <c r="B7761" s="1832">
        <f>'Revenues 9-14'!C253</f>
        <v>0</v>
      </c>
      <c r="D7761" s="2" t="str">
        <f t="shared" si="127"/>
        <v>Error?</v>
      </c>
      <c r="E7761" s="4" t="s">
        <v>1408</v>
      </c>
    </row>
    <row r="7762" spans="1:5" x14ac:dyDescent="0.2">
      <c r="A7762">
        <v>7701</v>
      </c>
      <c r="B7762" s="1832">
        <f>'Expenditures 15-22'!E6</f>
        <v>0</v>
      </c>
      <c r="D7762" s="2" t="str">
        <f t="shared" si="127"/>
        <v>Error?</v>
      </c>
      <c r="E7762" s="4" t="s">
        <v>1418</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1446</v>
      </c>
    </row>
    <row r="7765" spans="1:5" x14ac:dyDescent="0.2">
      <c r="A7765">
        <v>7704</v>
      </c>
      <c r="B7765" s="1832">
        <f>'Revenues 9-14'!C254</f>
        <v>0</v>
      </c>
      <c r="D7765" s="2" t="str">
        <f t="shared" si="127"/>
        <v>Error?</v>
      </c>
      <c r="E7765" s="4" t="s">
        <v>1450</v>
      </c>
    </row>
    <row r="7766" spans="1:5" x14ac:dyDescent="0.2">
      <c r="A7766">
        <v>7705</v>
      </c>
      <c r="B7766" s="1832">
        <f>'Revenues 9-14'!D254</f>
        <v>0</v>
      </c>
      <c r="D7766" s="2" t="str">
        <f t="shared" si="127"/>
        <v>Error?</v>
      </c>
      <c r="E7766" s="4" t="s">
        <v>1450</v>
      </c>
    </row>
    <row r="7767" spans="1:5" x14ac:dyDescent="0.2">
      <c r="A7767" s="126">
        <v>7706</v>
      </c>
      <c r="B7767" s="1832"/>
      <c r="D7767" s="4" t="s">
        <v>1997</v>
      </c>
      <c r="E7767" s="4"/>
    </row>
    <row r="7768" spans="1:5" x14ac:dyDescent="0.2">
      <c r="A7768">
        <v>7707</v>
      </c>
      <c r="B7768" s="1832">
        <f>'Revenues 9-14'!F254</f>
        <v>0</v>
      </c>
      <c r="D7768" s="2" t="str">
        <f t="shared" si="127"/>
        <v>Error?</v>
      </c>
      <c r="E7768" s="4" t="s">
        <v>1450</v>
      </c>
    </row>
    <row r="7769" spans="1:5" x14ac:dyDescent="0.2">
      <c r="A7769">
        <v>7708</v>
      </c>
      <c r="B7769" s="1832">
        <f>'Revenues 9-14'!G254</f>
        <v>0</v>
      </c>
      <c r="D7769" s="2" t="str">
        <f t="shared" si="127"/>
        <v>Error?</v>
      </c>
      <c r="E7769" s="4" t="s">
        <v>1450</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1451</v>
      </c>
    </row>
    <row r="7773" spans="1:5" x14ac:dyDescent="0.2">
      <c r="A7773">
        <v>7712</v>
      </c>
      <c r="B7773" s="1832">
        <f>'Rest Tax Levies-Tort Im 25'!J22</f>
        <v>0</v>
      </c>
      <c r="D7773" s="2" t="str">
        <f t="shared" si="127"/>
        <v>Error?</v>
      </c>
      <c r="E7773" s="4" t="s">
        <v>1539</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29876</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14137261</v>
      </c>
      <c r="D7817" s="2" t="str">
        <f t="shared" si="128"/>
        <v>Error?</v>
      </c>
      <c r="E7817" s="4" t="s">
        <v>1966</v>
      </c>
    </row>
    <row r="7818" spans="1:5" x14ac:dyDescent="0.2">
      <c r="A7818">
        <v>7757</v>
      </c>
      <c r="B7818" s="1832">
        <f>'PCTC-OEPP 27-28'!F172</f>
        <v>338367</v>
      </c>
      <c r="D7818" s="2" t="str">
        <f t="shared" si="128"/>
        <v>Error?</v>
      </c>
      <c r="E7818" s="4" t="s">
        <v>1980</v>
      </c>
    </row>
    <row r="7819" spans="1:5" x14ac:dyDescent="0.2">
      <c r="A7819">
        <v>7758</v>
      </c>
      <c r="B7819" s="1832">
        <f>'PCTC-OEPP 27-28'!F173</f>
        <v>36</v>
      </c>
      <c r="D7819" s="2" t="str">
        <f t="shared" si="128"/>
        <v>Error?</v>
      </c>
      <c r="E7819" s="4" t="s">
        <v>1980</v>
      </c>
    </row>
    <row r="7820" spans="1:5" x14ac:dyDescent="0.2">
      <c r="A7820">
        <v>7759</v>
      </c>
      <c r="B7820" s="1832">
        <f>'ICR Computation 30'!E40</f>
        <v>-371998</v>
      </c>
      <c r="D7820" s="2" t="str">
        <f t="shared" si="128"/>
        <v>Error?</v>
      </c>
    </row>
    <row r="7821" spans="1:5" x14ac:dyDescent="0.2">
      <c r="A7821">
        <v>7760</v>
      </c>
      <c r="B7821" s="1832">
        <f>'ICR Computation 30'!G40</f>
        <v>-371998</v>
      </c>
      <c r="D7821" s="2" t="str">
        <f t="shared" si="128"/>
        <v>Error?</v>
      </c>
    </row>
    <row r="7822" spans="1:5" x14ac:dyDescent="0.2">
      <c r="A7822" s="1">
        <v>7761</v>
      </c>
      <c r="B7822" s="1832">
        <f>'PCTC-OEPP 27-28'!F14</f>
        <v>14558893</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1857</v>
      </c>
      <c r="D7830" s="2" t="str">
        <f t="shared" si="129"/>
        <v>Error?</v>
      </c>
      <c r="E7830" s="4" t="s">
        <v>1998</v>
      </c>
    </row>
    <row r="7831" spans="1:5" x14ac:dyDescent="0.2">
      <c r="A7831">
        <v>7770</v>
      </c>
      <c r="B7831" s="1832">
        <f>'PCTC-OEPP 27-28'!F52</f>
        <v>284</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1663863</v>
      </c>
      <c r="D7834" s="2" t="str">
        <f t="shared" si="129"/>
        <v>Error?</v>
      </c>
      <c r="E7834" s="4" t="s">
        <v>1998</v>
      </c>
    </row>
    <row r="7835" spans="1:5" x14ac:dyDescent="0.2">
      <c r="A7835">
        <v>7774</v>
      </c>
      <c r="B7835" s="1832">
        <f>'PCTC-OEPP 27-28'!F78</f>
        <v>12895030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13654.203727234222</v>
      </c>
      <c r="D7837" s="2" t="str">
        <f t="shared" si="129"/>
        <v>Error?</v>
      </c>
      <c r="E7837" s="4" t="s">
        <v>1998</v>
      </c>
    </row>
    <row r="7838" spans="1:5" x14ac:dyDescent="0.2">
      <c r="A7838">
        <v>7777</v>
      </c>
      <c r="B7838" s="1832">
        <f>'PCTC-OEPP 27-28'!F96</f>
        <v>75148</v>
      </c>
      <c r="D7838" s="2" t="str">
        <f t="shared" si="129"/>
        <v>Error?</v>
      </c>
      <c r="E7838" s="4" t="s">
        <v>1998</v>
      </c>
    </row>
    <row r="7839" spans="1:5" x14ac:dyDescent="0.2">
      <c r="A7839">
        <v>7778</v>
      </c>
      <c r="B7839" s="1832">
        <f>'PCTC-OEPP 27-28'!F102</f>
        <v>6290</v>
      </c>
      <c r="D7839" s="2" t="str">
        <f t="shared" si="129"/>
        <v>Error?</v>
      </c>
      <c r="E7839" s="4" t="s">
        <v>1998</v>
      </c>
    </row>
    <row r="7840" spans="1:5" x14ac:dyDescent="0.2">
      <c r="A7840">
        <v>7779</v>
      </c>
      <c r="B7840" s="1832">
        <f>'PCTC-OEPP 27-28'!F103</f>
        <v>87255</v>
      </c>
      <c r="D7840" s="2" t="str">
        <f t="shared" si="129"/>
        <v>Error?</v>
      </c>
      <c r="E7840" s="4" t="s">
        <v>1998</v>
      </c>
    </row>
    <row r="7841" spans="1:5" x14ac:dyDescent="0.2">
      <c r="A7841">
        <v>7780</v>
      </c>
      <c r="B7841" s="1832">
        <f>'PCTC-OEPP 27-28'!F104</f>
        <v>20940</v>
      </c>
      <c r="D7841" s="2" t="str">
        <f t="shared" si="129"/>
        <v>Error?</v>
      </c>
      <c r="E7841" s="4" t="s">
        <v>1998</v>
      </c>
    </row>
    <row r="7842" spans="1:5" x14ac:dyDescent="0.2">
      <c r="A7842">
        <v>7781</v>
      </c>
      <c r="B7842" s="1832">
        <f>'PCTC-OEPP 27-28'!F106</f>
        <v>111858</v>
      </c>
      <c r="D7842" s="2" t="str">
        <f t="shared" si="129"/>
        <v>Error?</v>
      </c>
      <c r="E7842" s="4" t="s">
        <v>1998</v>
      </c>
    </row>
    <row r="7843" spans="1:5" x14ac:dyDescent="0.2">
      <c r="A7843">
        <v>7782</v>
      </c>
      <c r="B7843" s="1832">
        <f>'PCTC-OEPP 27-28'!F107</f>
        <v>64979</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27026</v>
      </c>
      <c r="D7846" s="2" t="str">
        <f t="shared" si="129"/>
        <v>Error?</v>
      </c>
      <c r="E7846" s="4" t="s">
        <v>1998</v>
      </c>
    </row>
    <row r="7847" spans="1:5" x14ac:dyDescent="0.2">
      <c r="A7847">
        <v>7786</v>
      </c>
      <c r="B7847" s="1832">
        <f>'PCTC-OEPP 27-28'!F112</f>
        <v>546347</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279584</v>
      </c>
      <c r="D7858" s="2" t="str">
        <f t="shared" si="129"/>
        <v>Error?</v>
      </c>
      <c r="E7858" s="4" t="s">
        <v>1998</v>
      </c>
    </row>
    <row r="7859" spans="1:5" x14ac:dyDescent="0.2">
      <c r="A7859">
        <v>7798</v>
      </c>
      <c r="B7859" s="1832">
        <f>'PCTC-OEPP 27-28'!F127</f>
        <v>308103</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109435</v>
      </c>
      <c r="D7861" s="2" t="str">
        <f t="shared" si="129"/>
        <v>Error?</v>
      </c>
      <c r="E7861" s="4" t="s">
        <v>1998</v>
      </c>
    </row>
    <row r="7862" spans="1:5" x14ac:dyDescent="0.2">
      <c r="A7862">
        <v>7801</v>
      </c>
      <c r="B7862" s="1832">
        <f>'PCTC-OEPP 27-28'!F130</f>
        <v>144489</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6523</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13999</v>
      </c>
      <c r="D7874" s="2" t="str">
        <f t="shared" si="129"/>
        <v>Error?</v>
      </c>
      <c r="E7874" s="4" t="s">
        <v>1998</v>
      </c>
    </row>
    <row r="7875" spans="1:5" x14ac:dyDescent="0.2">
      <c r="A7875">
        <v>7814</v>
      </c>
      <c r="B7875" s="1832">
        <f>'PCTC-OEPP 27-28'!F170</f>
        <v>32506</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2568985</v>
      </c>
      <c r="D7877" s="2" t="str">
        <f t="shared" si="129"/>
        <v>Error?</v>
      </c>
      <c r="E7877" s="4" t="s">
        <v>1998</v>
      </c>
    </row>
    <row r="7878" spans="1:5" x14ac:dyDescent="0.2">
      <c r="A7878">
        <v>7817</v>
      </c>
      <c r="B7878" s="1832">
        <f>'PCTC-OEPP 27-28'!F176</f>
        <v>10326045</v>
      </c>
      <c r="D7878" s="2" t="str">
        <f t="shared" si="129"/>
        <v>Error?</v>
      </c>
      <c r="E7878" s="4" t="s">
        <v>1998</v>
      </c>
    </row>
    <row r="7879" spans="1:5" x14ac:dyDescent="0.2">
      <c r="A7879">
        <v>7818</v>
      </c>
      <c r="B7879" s="1832">
        <f>'PCTC-OEPP 27-28'!F178</f>
        <v>11398852</v>
      </c>
      <c r="D7879" s="2" t="str">
        <f t="shared" si="129"/>
        <v>Error?</v>
      </c>
      <c r="E7879" s="4" t="s">
        <v>1998</v>
      </c>
    </row>
    <row r="7880" spans="1:5" x14ac:dyDescent="0.2">
      <c r="A7880">
        <v>7819</v>
      </c>
      <c r="B7880" s="1832">
        <f>'PCTC-OEPP 27-28'!F180</f>
        <v>12069.94070309191</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P11" sqref="P11"/>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8" t="s">
        <v>1183</v>
      </c>
      <c r="B2" s="2548"/>
      <c r="C2" s="2548"/>
      <c r="D2" s="2548"/>
      <c r="E2" s="2548"/>
      <c r="F2" s="2548"/>
      <c r="G2" s="2548"/>
      <c r="H2" s="2548"/>
      <c r="I2" s="2548"/>
      <c r="J2" s="2548"/>
      <c r="K2" s="2548"/>
      <c r="L2" s="2548"/>
    </row>
    <row r="3" spans="1:29" ht="13.5" customHeight="1" x14ac:dyDescent="0.2">
      <c r="A3" s="2534" t="s">
        <v>1182</v>
      </c>
      <c r="B3" s="2534"/>
      <c r="C3" s="2534"/>
      <c r="D3" s="2534"/>
      <c r="E3" s="2534"/>
      <c r="F3" s="2534"/>
      <c r="G3" s="2534"/>
      <c r="H3" s="2534"/>
      <c r="I3" s="2534"/>
      <c r="J3" s="2534"/>
      <c r="K3" s="2534"/>
      <c r="L3" s="2534"/>
    </row>
    <row r="4" spans="1:29" ht="13.5" customHeight="1" x14ac:dyDescent="0.2">
      <c r="A4" s="2565" t="str">
        <f>"Year Ending June 30, "&amp;'AFR20'!E2</f>
        <v>Year Ending June 30, 2020</v>
      </c>
      <c r="B4" s="2566"/>
      <c r="C4" s="2566"/>
      <c r="D4" s="2566"/>
      <c r="E4" s="2566"/>
      <c r="F4" s="2566"/>
      <c r="G4" s="2566"/>
      <c r="H4" s="2566"/>
      <c r="I4" s="2566"/>
      <c r="J4" s="2566"/>
      <c r="K4" s="2566"/>
      <c r="L4" s="256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28" t="str">
        <f>COVER!A17</f>
        <v>East Peoria CHSD 309</v>
      </c>
      <c r="B7" s="2529"/>
      <c r="C7" s="2529"/>
      <c r="D7" s="2567"/>
      <c r="E7" s="2568">
        <f>COVER!A13</f>
        <v>53090309016</v>
      </c>
      <c r="F7" s="2569"/>
      <c r="G7" s="2535" t="str">
        <f>COVER!T23</f>
        <v>066-004355</v>
      </c>
      <c r="H7" s="2536"/>
      <c r="I7" s="2536"/>
      <c r="J7" s="2536"/>
      <c r="K7" s="2536"/>
      <c r="L7" s="2537"/>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38"/>
      <c r="B9" s="2539"/>
      <c r="C9" s="2539"/>
      <c r="D9" s="2539"/>
      <c r="E9" s="2539"/>
      <c r="F9" s="2540"/>
      <c r="G9" s="2541" t="str">
        <f>COVER!T13</f>
        <v>Phillips, Salmi &amp; Associates, LLC</v>
      </c>
      <c r="H9" s="2542"/>
      <c r="I9" s="2542"/>
      <c r="J9" s="2542"/>
      <c r="K9" s="2542"/>
      <c r="L9" s="2543"/>
    </row>
    <row r="10" spans="1:29" ht="13.5" customHeight="1" x14ac:dyDescent="0.2">
      <c r="A10" s="2525" t="str">
        <f>COVER!A38</f>
        <v>Marjorie Greuter</v>
      </c>
      <c r="B10" s="2526"/>
      <c r="C10" s="2526"/>
      <c r="D10" s="2526"/>
      <c r="E10" s="2526"/>
      <c r="F10" s="2527"/>
      <c r="G10" s="2541" t="str">
        <f>COVER!T17</f>
        <v>112 S Main Street</v>
      </c>
      <c r="H10" s="2554"/>
      <c r="I10" s="2554"/>
      <c r="J10" s="2554"/>
      <c r="K10" s="2554"/>
      <c r="L10" s="2555"/>
    </row>
    <row r="11" spans="1:29" ht="13.5" customHeight="1" x14ac:dyDescent="0.2">
      <c r="A11" s="963" t="s">
        <v>1505</v>
      </c>
      <c r="B11" s="964"/>
      <c r="C11" s="965"/>
      <c r="D11" s="970"/>
      <c r="E11" s="965"/>
      <c r="F11" s="969"/>
      <c r="G11" s="2541" t="str">
        <f>COVER!T19</f>
        <v>Washington</v>
      </c>
      <c r="H11" s="2554"/>
      <c r="I11" s="2554"/>
      <c r="J11" s="2554"/>
      <c r="K11" s="2554"/>
      <c r="L11" s="2555"/>
    </row>
    <row r="12" spans="1:29" ht="13.5" customHeight="1" x14ac:dyDescent="0.2">
      <c r="A12" s="2559" t="s">
        <v>1504</v>
      </c>
      <c r="B12" s="2560"/>
      <c r="C12" s="2560"/>
      <c r="D12" s="2560"/>
      <c r="E12" s="2560"/>
      <c r="F12" s="2561"/>
      <c r="G12" s="2556"/>
      <c r="H12" s="2557"/>
      <c r="I12" s="2557"/>
      <c r="J12" s="2557"/>
      <c r="K12" s="2557"/>
      <c r="L12" s="2558"/>
    </row>
    <row r="13" spans="1:29" ht="13.5" customHeight="1" x14ac:dyDescent="0.2">
      <c r="A13" s="2541"/>
      <c r="B13" s="2554"/>
      <c r="C13" s="2554"/>
      <c r="D13" s="2554"/>
      <c r="E13" s="2554"/>
      <c r="F13" s="2555"/>
      <c r="G13" s="2549" t="s">
        <v>1506</v>
      </c>
      <c r="H13" s="2550"/>
      <c r="I13" s="2562" t="str">
        <f>COVER!T25</f>
        <v>lsalmi@psa-cpa.com</v>
      </c>
      <c r="J13" s="2563"/>
      <c r="K13" s="2563"/>
      <c r="L13" s="2564"/>
    </row>
    <row r="14" spans="1:29" ht="13.5" customHeight="1" x14ac:dyDescent="0.2">
      <c r="A14" s="2541" t="str">
        <f>COVER!A19</f>
        <v>1401 E. Washington Street</v>
      </c>
      <c r="B14" s="2554"/>
      <c r="C14" s="2554"/>
      <c r="D14" s="2554"/>
      <c r="E14" s="2554"/>
      <c r="F14" s="2555"/>
      <c r="G14" s="974" t="s">
        <v>1177</v>
      </c>
      <c r="H14" s="972"/>
      <c r="I14" s="972"/>
      <c r="J14" s="972"/>
      <c r="K14" s="972"/>
      <c r="L14" s="973"/>
    </row>
    <row r="15" spans="1:29" ht="13.5" customHeight="1" x14ac:dyDescent="0.2">
      <c r="A15" s="2541" t="str">
        <f>COVER!A21</f>
        <v>East Peoria</v>
      </c>
      <c r="B15" s="2554"/>
      <c r="C15" s="2554"/>
      <c r="D15" s="2554"/>
      <c r="E15" s="2554"/>
      <c r="F15" s="2555"/>
      <c r="G15" s="2551" t="str">
        <f>COVER!T15</f>
        <v>Lori Salmi</v>
      </c>
      <c r="H15" s="2552"/>
      <c r="I15" s="2552"/>
      <c r="J15" s="2552"/>
      <c r="K15" s="2552"/>
      <c r="L15" s="2553"/>
    </row>
    <row r="16" spans="1:29" ht="12.2" customHeight="1" x14ac:dyDescent="0.2">
      <c r="A16" s="2531">
        <f>COVER!A25</f>
        <v>61611</v>
      </c>
      <c r="B16" s="2532"/>
      <c r="C16" s="2532"/>
      <c r="D16" s="2532"/>
      <c r="E16" s="2532"/>
      <c r="F16" s="2533"/>
      <c r="G16" s="2544"/>
      <c r="H16" s="2545"/>
      <c r="I16" s="2545"/>
      <c r="J16" s="2545"/>
      <c r="K16" s="2545"/>
      <c r="L16" s="2546"/>
    </row>
    <row r="17" spans="1:13" ht="12.2" customHeight="1" x14ac:dyDescent="0.2">
      <c r="A17" s="2547"/>
      <c r="B17" s="2532"/>
      <c r="C17" s="2532"/>
      <c r="D17" s="2532"/>
      <c r="E17" s="2532"/>
      <c r="F17" s="2533"/>
      <c r="G17" s="974" t="s">
        <v>1176</v>
      </c>
      <c r="H17" s="972"/>
      <c r="I17" s="972"/>
      <c r="J17" s="972"/>
      <c r="K17" s="976" t="s">
        <v>1175</v>
      </c>
      <c r="L17" s="969"/>
      <c r="M17" s="962"/>
    </row>
    <row r="18" spans="1:13" ht="12.2" customHeight="1" x14ac:dyDescent="0.2">
      <c r="A18" s="2525"/>
      <c r="B18" s="2526"/>
      <c r="C18" s="2526"/>
      <c r="D18" s="2526"/>
      <c r="E18" s="2526"/>
      <c r="F18" s="2527"/>
      <c r="G18" s="2528" t="str">
        <f>COVER!T21</f>
        <v>309 444-4909</v>
      </c>
      <c r="H18" s="2529"/>
      <c r="I18" s="2529"/>
      <c r="J18" s="2529"/>
      <c r="K18" s="2528" t="str">
        <f>COVER!X21</f>
        <v>309 444-8580</v>
      </c>
      <c r="L18" s="253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1"/>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E25" sqref="E25"/>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70" t="str">
        <f>'Single Audit Cover'!A7</f>
        <v>East Peoria CHSD 309</v>
      </c>
      <c r="B1" s="2571"/>
      <c r="C1" s="2571"/>
      <c r="D1" s="2571"/>
    </row>
    <row r="2" spans="1:11" s="991" customFormat="1" ht="12.75" x14ac:dyDescent="0.2">
      <c r="A2" s="2572">
        <f>'Single Audit Cover'!E7</f>
        <v>53090309016</v>
      </c>
      <c r="B2" s="2573"/>
      <c r="C2" s="2573"/>
      <c r="D2" s="2573"/>
    </row>
    <row r="3" spans="1:11" s="991" customFormat="1" ht="12.75" x14ac:dyDescent="0.2">
      <c r="A3" s="2570" t="s">
        <v>1499</v>
      </c>
      <c r="B3" s="2571"/>
      <c r="C3" s="2571"/>
      <c r="D3" s="2571"/>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1969</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6" zoomScale="110" zoomScaleNormal="110" zoomScaleSheetLayoutView="100" workbookViewId="0">
      <selection activeCell="D49" sqref="D49"/>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5" t="str">
        <f>'Single Audit Cover'!A7</f>
        <v>East Peoria CHSD 309</v>
      </c>
      <c r="B1" s="2575"/>
      <c r="C1" s="2575"/>
      <c r="D1" s="2575"/>
      <c r="E1" s="2575"/>
    </row>
    <row r="2" spans="1:5" x14ac:dyDescent="0.2">
      <c r="A2" s="2576">
        <f>'Single Audit Cover'!E7</f>
        <v>53090309016</v>
      </c>
      <c r="B2" s="2576"/>
      <c r="C2" s="2576"/>
      <c r="D2" s="2576"/>
      <c r="E2" s="2576"/>
    </row>
    <row r="3" spans="1:5" ht="4.5" customHeight="1" x14ac:dyDescent="0.2"/>
    <row r="4" spans="1:5" x14ac:dyDescent="0.2">
      <c r="A4" s="2575" t="s">
        <v>1236</v>
      </c>
      <c r="B4" s="2575"/>
      <c r="C4" s="2575"/>
      <c r="D4" s="2575"/>
      <c r="E4" s="2575"/>
    </row>
    <row r="5" spans="1:5" x14ac:dyDescent="0.2">
      <c r="A5" s="2578" t="str">
        <f>'Single Audit Cover'!A4</f>
        <v>Year Ending June 30, 2020</v>
      </c>
      <c r="B5" s="2578"/>
      <c r="C5" s="2578"/>
      <c r="D5" s="2578"/>
      <c r="E5" s="2578"/>
    </row>
    <row r="6" spans="1:5" x14ac:dyDescent="0.2">
      <c r="A6" s="2575" t="s">
        <v>1235</v>
      </c>
      <c r="B6" s="2575"/>
      <c r="C6" s="2575"/>
      <c r="D6" s="2575"/>
      <c r="E6" s="2575"/>
    </row>
    <row r="8" spans="1:5" x14ac:dyDescent="0.2">
      <c r="A8" s="1036" t="s">
        <v>1234</v>
      </c>
    </row>
    <row r="10" spans="1:5" x14ac:dyDescent="0.2">
      <c r="A10" s="1037" t="s">
        <v>1233</v>
      </c>
      <c r="B10" s="1038" t="s">
        <v>1232</v>
      </c>
      <c r="C10" s="1038"/>
      <c r="D10" s="1039">
        <f>SUM('Acct Summary 7-8'!C7:K7)</f>
        <v>894639</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2004</v>
      </c>
      <c r="B14" s="1038"/>
      <c r="C14" s="1038"/>
      <c r="D14" s="1040">
        <f>'ICR Computation 30'!E11</f>
        <v>44976</v>
      </c>
    </row>
    <row r="15" spans="1:5" x14ac:dyDescent="0.2">
      <c r="A15" s="1037"/>
      <c r="B15" s="1038"/>
      <c r="C15" s="1038"/>
    </row>
    <row r="16" spans="1:5" x14ac:dyDescent="0.2">
      <c r="A16" s="1037" t="s">
        <v>1815</v>
      </c>
      <c r="B16" s="1038"/>
      <c r="C16" s="1038"/>
    </row>
    <row r="17" spans="1:4" x14ac:dyDescent="0.2">
      <c r="A17" s="1037" t="s">
        <v>1964</v>
      </c>
      <c r="B17" s="1038" t="s">
        <v>1227</v>
      </c>
      <c r="C17" s="1038"/>
      <c r="D17" s="1040">
        <f>-SUM('Revenues 9-14'!C264:D264,'Revenues 9-14'!F264:G264)</f>
        <v>-32506</v>
      </c>
    </row>
    <row r="19" spans="1:4" ht="13.5" thickBot="1" x14ac:dyDescent="0.25">
      <c r="A19" s="1041" t="s">
        <v>1226</v>
      </c>
      <c r="D19" s="1042">
        <f>SUM(D10:D17)</f>
        <v>907109</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77"/>
      <c r="B24" s="2577"/>
      <c r="D24" s="1044"/>
    </row>
    <row r="25" spans="1:4" x14ac:dyDescent="0.2">
      <c r="A25" s="2574"/>
      <c r="B25" s="2574"/>
      <c r="D25" s="1044"/>
    </row>
    <row r="26" spans="1:4" x14ac:dyDescent="0.2">
      <c r="A26" s="2574"/>
      <c r="B26" s="2574"/>
      <c r="D26" s="1044"/>
    </row>
    <row r="27" spans="1:4" x14ac:dyDescent="0.2">
      <c r="A27" s="2574"/>
      <c r="B27" s="2574"/>
      <c r="D27" s="1044"/>
    </row>
    <row r="28" spans="1:4" x14ac:dyDescent="0.2">
      <c r="A28" s="2574"/>
      <c r="B28" s="2574"/>
      <c r="D28" s="1044"/>
    </row>
    <row r="29" spans="1:4" x14ac:dyDescent="0.2">
      <c r="A29" s="2574"/>
      <c r="B29" s="2574"/>
      <c r="D29" s="1044"/>
    </row>
    <row r="30" spans="1:4" x14ac:dyDescent="0.2">
      <c r="A30" s="2574"/>
      <c r="B30" s="2574"/>
      <c r="D30" s="1044"/>
    </row>
    <row r="32" spans="1:4" x14ac:dyDescent="0.2">
      <c r="A32" s="1036" t="s">
        <v>1224</v>
      </c>
      <c r="D32" s="1039">
        <f>SUM(D19:D30)</f>
        <v>907109</v>
      </c>
    </row>
    <row r="33" spans="1:4" x14ac:dyDescent="0.2">
      <c r="D33" s="1045"/>
    </row>
    <row r="34" spans="1:4" x14ac:dyDescent="0.2">
      <c r="A34" s="295" t="s">
        <v>1223</v>
      </c>
    </row>
    <row r="35" spans="1:4" x14ac:dyDescent="0.2">
      <c r="A35" s="295" t="s">
        <v>1222</v>
      </c>
      <c r="B35" s="1034" t="s">
        <v>1221</v>
      </c>
      <c r="D35" s="1046">
        <f>+' SEFA'!F27</f>
        <v>907109</v>
      </c>
    </row>
    <row r="37" spans="1:4" x14ac:dyDescent="0.2">
      <c r="A37" s="1036" t="s">
        <v>1220</v>
      </c>
    </row>
    <row r="39" spans="1:4" ht="13.35" customHeight="1" x14ac:dyDescent="0.2">
      <c r="A39" s="1043" t="s">
        <v>1219</v>
      </c>
    </row>
    <row r="40" spans="1:4" x14ac:dyDescent="0.2">
      <c r="A40" s="2574"/>
      <c r="B40" s="2574"/>
      <c r="D40" s="1044"/>
    </row>
    <row r="41" spans="1:4" x14ac:dyDescent="0.2">
      <c r="A41" s="2574"/>
      <c r="B41" s="2574"/>
      <c r="D41" s="1047"/>
    </row>
    <row r="42" spans="1:4" x14ac:dyDescent="0.2">
      <c r="A42" s="2574"/>
      <c r="B42" s="2574"/>
      <c r="D42" s="1047"/>
    </row>
    <row r="43" spans="1:4" x14ac:dyDescent="0.2">
      <c r="A43" s="2574"/>
      <c r="B43" s="2574"/>
      <c r="D43" s="1047"/>
    </row>
    <row r="44" spans="1:4" x14ac:dyDescent="0.2">
      <c r="A44" s="2574"/>
      <c r="B44" s="2574"/>
      <c r="D44" s="1047"/>
    </row>
    <row r="45" spans="1:4" x14ac:dyDescent="0.2">
      <c r="A45" s="2574"/>
      <c r="B45" s="2574"/>
      <c r="D45" s="1047"/>
    </row>
    <row r="47" spans="1:4" x14ac:dyDescent="0.2">
      <c r="B47" s="1048" t="s">
        <v>1218</v>
      </c>
      <c r="C47" s="1048"/>
      <c r="D47" s="1049">
        <f>SUM(D35:D45)</f>
        <v>907109</v>
      </c>
    </row>
    <row r="49" spans="2:4" x14ac:dyDescent="0.2">
      <c r="B49" s="1048" t="s">
        <v>1217</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27" sqref="B27"/>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4" t="str">
        <f>'Single Audit Cover'!A7</f>
        <v>East Peoria CHSD 309</v>
      </c>
      <c r="C1" s="2579"/>
      <c r="D1" s="2579"/>
      <c r="E1" s="2579"/>
      <c r="F1" s="2579"/>
      <c r="G1" s="2579"/>
      <c r="H1" s="2579"/>
      <c r="I1" s="2579"/>
      <c r="J1" s="2579"/>
      <c r="K1" s="2579"/>
      <c r="L1" s="2579"/>
      <c r="M1" s="2579"/>
    </row>
    <row r="2" spans="2:14" ht="15" x14ac:dyDescent="0.2">
      <c r="B2" s="2580">
        <f>'Single Audit Cover'!E7</f>
        <v>53090309016</v>
      </c>
      <c r="C2" s="2580"/>
      <c r="D2" s="2580"/>
      <c r="E2" s="2580"/>
      <c r="F2" s="2580"/>
      <c r="G2" s="2580"/>
      <c r="H2" s="2580"/>
      <c r="I2" s="2580"/>
      <c r="J2" s="2580"/>
      <c r="K2" s="2580"/>
      <c r="L2" s="2580"/>
      <c r="M2" s="2580"/>
      <c r="N2" s="1078"/>
    </row>
    <row r="3" spans="2:14" ht="15" x14ac:dyDescent="0.2">
      <c r="B3" s="2581" t="s">
        <v>1210</v>
      </c>
      <c r="C3" s="2581"/>
      <c r="D3" s="2581"/>
      <c r="E3" s="2581"/>
      <c r="F3" s="2581"/>
      <c r="G3" s="2581"/>
      <c r="H3" s="2581"/>
      <c r="I3" s="2581"/>
      <c r="J3" s="2581"/>
      <c r="K3" s="2581"/>
      <c r="L3" s="2581"/>
      <c r="M3" s="2581"/>
      <c r="N3" s="1078"/>
    </row>
    <row r="4" spans="2:14" ht="15" x14ac:dyDescent="0.2">
      <c r="B4" s="2582" t="str">
        <f>'Single Audit Cover'!A4</f>
        <v>Year Ending June 30, 2020</v>
      </c>
      <c r="C4" s="2582"/>
      <c r="D4" s="2582"/>
      <c r="E4" s="2582"/>
      <c r="F4" s="2582"/>
      <c r="G4" s="2582"/>
      <c r="H4" s="2582"/>
      <c r="I4" s="2582"/>
      <c r="J4" s="2582"/>
      <c r="K4" s="2582"/>
      <c r="L4" s="2582"/>
      <c r="M4" s="2582"/>
      <c r="N4" s="1078"/>
    </row>
    <row r="5" spans="2:14" x14ac:dyDescent="0.2">
      <c r="H5" s="1914"/>
      <c r="J5" s="1914"/>
    </row>
    <row r="6" spans="2:14" x14ac:dyDescent="0.2">
      <c r="B6" s="1079"/>
      <c r="C6" s="1080"/>
      <c r="D6" s="1081" t="s">
        <v>1256</v>
      </c>
      <c r="E6" s="1082" t="s">
        <v>524</v>
      </c>
      <c r="F6" s="1083"/>
      <c r="G6" s="1084" t="s">
        <v>1711</v>
      </c>
      <c r="H6" s="1082"/>
      <c r="I6" s="1082"/>
      <c r="J6" s="1915"/>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1568</v>
      </c>
      <c r="I9" s="1913"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2119</v>
      </c>
      <c r="C11" s="1821"/>
      <c r="D11" s="1822"/>
      <c r="E11" s="1823"/>
      <c r="F11" s="1823"/>
      <c r="G11" s="1823"/>
      <c r="H11" s="1823"/>
      <c r="I11" s="1823"/>
      <c r="J11" s="1823"/>
      <c r="K11" s="1823"/>
      <c r="L11" s="1823"/>
      <c r="M11" s="1823"/>
    </row>
    <row r="12" spans="2:14" ht="20.100000000000001" customHeight="1" x14ac:dyDescent="0.2">
      <c r="B12" s="1113" t="s">
        <v>2120</v>
      </c>
      <c r="C12" s="1824"/>
      <c r="D12" s="1825"/>
      <c r="E12" s="1826"/>
      <c r="F12" s="1826"/>
      <c r="G12" s="1826"/>
      <c r="H12" s="1826"/>
      <c r="I12" s="1826"/>
      <c r="J12" s="1826"/>
      <c r="K12" s="1826"/>
      <c r="L12" s="1823"/>
      <c r="M12" s="1826"/>
    </row>
    <row r="13" spans="2:14" ht="20.100000000000001" customHeight="1" x14ac:dyDescent="0.2">
      <c r="B13" s="1113" t="s">
        <v>2126</v>
      </c>
      <c r="C13" s="1824">
        <v>10.555</v>
      </c>
      <c r="D13" s="1825" t="s">
        <v>2130</v>
      </c>
      <c r="E13" s="2039">
        <v>160914</v>
      </c>
      <c r="F13" s="2039">
        <v>42289</v>
      </c>
      <c r="G13" s="2039">
        <v>160914</v>
      </c>
      <c r="H13" s="1826"/>
      <c r="I13" s="2039">
        <v>42289</v>
      </c>
      <c r="J13" s="1826"/>
      <c r="K13" s="1826"/>
      <c r="L13" s="2040">
        <f t="shared" ref="L13:L25" si="0">+G13+I13+K13</f>
        <v>203203</v>
      </c>
      <c r="M13" s="1826" t="s">
        <v>2135</v>
      </c>
    </row>
    <row r="14" spans="2:14" ht="20.100000000000001" customHeight="1" x14ac:dyDescent="0.2">
      <c r="B14" s="1113" t="s">
        <v>2126</v>
      </c>
      <c r="C14" s="1824">
        <v>10.555</v>
      </c>
      <c r="D14" s="1825" t="s">
        <v>2131</v>
      </c>
      <c r="E14" s="2038"/>
      <c r="F14" s="2038">
        <v>118221</v>
      </c>
      <c r="G14" s="2038"/>
      <c r="H14" s="2038"/>
      <c r="I14" s="2038">
        <v>118221</v>
      </c>
      <c r="J14" s="2038"/>
      <c r="K14" s="2038"/>
      <c r="L14" s="2041">
        <f t="shared" si="0"/>
        <v>118221</v>
      </c>
      <c r="M14" s="1826" t="s">
        <v>2135</v>
      </c>
    </row>
    <row r="15" spans="2:14" ht="20.100000000000001" customHeight="1" x14ac:dyDescent="0.2">
      <c r="B15" s="1113" t="s">
        <v>2127</v>
      </c>
      <c r="C15" s="1824">
        <v>10.553000000000001</v>
      </c>
      <c r="D15" s="1825" t="s">
        <v>2132</v>
      </c>
      <c r="E15" s="2038">
        <v>26934</v>
      </c>
      <c r="F15" s="2038">
        <v>6568</v>
      </c>
      <c r="G15" s="2038">
        <v>25934</v>
      </c>
      <c r="H15" s="2038"/>
      <c r="I15" s="2038">
        <v>6568</v>
      </c>
      <c r="J15" s="2038"/>
      <c r="K15" s="2038"/>
      <c r="L15" s="2041">
        <f t="shared" si="0"/>
        <v>32502</v>
      </c>
      <c r="M15" s="1826" t="s">
        <v>2135</v>
      </c>
    </row>
    <row r="16" spans="2:14" ht="20.100000000000001" customHeight="1" x14ac:dyDescent="0.2">
      <c r="B16" s="1113" t="s">
        <v>2128</v>
      </c>
      <c r="C16" s="1824">
        <v>10.553000000000001</v>
      </c>
      <c r="D16" s="1825" t="s">
        <v>2133</v>
      </c>
      <c r="E16" s="2038"/>
      <c r="F16" s="2038">
        <v>22087</v>
      </c>
      <c r="G16" s="2038"/>
      <c r="H16" s="2038"/>
      <c r="I16" s="2038">
        <v>22087</v>
      </c>
      <c r="J16" s="2038"/>
      <c r="K16" s="2038"/>
      <c r="L16" s="2041">
        <f t="shared" si="0"/>
        <v>22087</v>
      </c>
      <c r="M16" s="1826" t="s">
        <v>2135</v>
      </c>
    </row>
    <row r="17" spans="2:14" ht="20.100000000000001" customHeight="1" x14ac:dyDescent="0.2">
      <c r="B17" s="1113" t="s">
        <v>2129</v>
      </c>
      <c r="C17" s="1824">
        <v>10.558999999999999</v>
      </c>
      <c r="D17" s="1825" t="s">
        <v>2134</v>
      </c>
      <c r="E17" s="2038"/>
      <c r="F17" s="2038">
        <v>90419</v>
      </c>
      <c r="G17" s="2038"/>
      <c r="H17" s="2038"/>
      <c r="I17" s="2038">
        <v>90419</v>
      </c>
      <c r="J17" s="2038"/>
      <c r="K17" s="2038"/>
      <c r="L17" s="2041">
        <f t="shared" si="0"/>
        <v>90419</v>
      </c>
      <c r="M17" s="1826" t="s">
        <v>2135</v>
      </c>
    </row>
    <row r="18" spans="2:14" ht="20.100000000000001" customHeight="1" x14ac:dyDescent="0.2">
      <c r="B18" s="1113" t="s">
        <v>2125</v>
      </c>
      <c r="C18" s="1824">
        <v>10.555</v>
      </c>
      <c r="D18" s="1825" t="s">
        <v>2135</v>
      </c>
      <c r="E18" s="2038">
        <v>19240</v>
      </c>
      <c r="F18" s="2038"/>
      <c r="G18" s="2038">
        <v>19240</v>
      </c>
      <c r="H18" s="2038"/>
      <c r="I18" s="2038"/>
      <c r="J18" s="2038"/>
      <c r="K18" s="2038"/>
      <c r="L18" s="2041">
        <f t="shared" si="0"/>
        <v>19240</v>
      </c>
      <c r="M18" s="1826" t="s">
        <v>2135</v>
      </c>
    </row>
    <row r="19" spans="2:14" ht="20.100000000000001" customHeight="1" x14ac:dyDescent="0.2">
      <c r="B19" s="1113" t="s">
        <v>2121</v>
      </c>
      <c r="C19" s="1824">
        <v>10.555</v>
      </c>
      <c r="D19" s="1825" t="s">
        <v>2135</v>
      </c>
      <c r="E19" s="2038"/>
      <c r="F19" s="2038">
        <v>30884</v>
      </c>
      <c r="G19" s="2038"/>
      <c r="H19" s="2038"/>
      <c r="I19" s="2038">
        <v>30884</v>
      </c>
      <c r="J19" s="2038"/>
      <c r="K19" s="2038"/>
      <c r="L19" s="2041">
        <f t="shared" si="0"/>
        <v>30884</v>
      </c>
      <c r="M19" s="1826" t="s">
        <v>2135</v>
      </c>
    </row>
    <row r="20" spans="2:14" ht="20.100000000000001" customHeight="1" x14ac:dyDescent="0.2">
      <c r="B20" s="1113" t="s">
        <v>2122</v>
      </c>
      <c r="C20" s="1824">
        <v>10.555</v>
      </c>
      <c r="D20" s="1825" t="s">
        <v>2135</v>
      </c>
      <c r="E20" s="2038">
        <v>16169</v>
      </c>
      <c r="F20" s="2038"/>
      <c r="G20" s="2038">
        <v>16169</v>
      </c>
      <c r="H20" s="2038"/>
      <c r="I20" s="2038"/>
      <c r="J20" s="2038"/>
      <c r="K20" s="2038"/>
      <c r="L20" s="2041">
        <f t="shared" si="0"/>
        <v>16169</v>
      </c>
      <c r="M20" s="1826" t="s">
        <v>2135</v>
      </c>
    </row>
    <row r="21" spans="2:14" ht="20.100000000000001" customHeight="1" x14ac:dyDescent="0.2">
      <c r="B21" s="1113" t="s">
        <v>2122</v>
      </c>
      <c r="C21" s="1824">
        <v>10.555</v>
      </c>
      <c r="D21" s="1825" t="s">
        <v>2135</v>
      </c>
      <c r="E21" s="2038"/>
      <c r="F21" s="2038">
        <v>14092</v>
      </c>
      <c r="G21" s="2038"/>
      <c r="H21" s="2038"/>
      <c r="I21" s="2038">
        <v>14092</v>
      </c>
      <c r="J21" s="2038"/>
      <c r="K21" s="2038"/>
      <c r="L21" s="2041">
        <f t="shared" si="0"/>
        <v>14092</v>
      </c>
      <c r="M21" s="1826" t="s">
        <v>2135</v>
      </c>
    </row>
    <row r="22" spans="2:14" ht="15" customHeight="1" x14ac:dyDescent="0.2">
      <c r="B22" s="1113"/>
      <c r="C22" s="1824"/>
      <c r="D22" s="1825"/>
      <c r="E22" s="2042"/>
      <c r="F22" s="2042"/>
      <c r="G22" s="2042"/>
      <c r="H22" s="2042"/>
      <c r="I22" s="2042"/>
      <c r="J22" s="2042"/>
      <c r="K22" s="2042"/>
      <c r="L22" s="2043"/>
      <c r="M22" s="1826"/>
    </row>
    <row r="23" spans="2:14" ht="20.100000000000001" customHeight="1" x14ac:dyDescent="0.2">
      <c r="B23" s="1113" t="s">
        <v>2123</v>
      </c>
      <c r="C23" s="1824"/>
      <c r="D23" s="1825"/>
      <c r="E23" s="2045">
        <f t="shared" ref="E23:K23" si="1">SUM(E13:E22)</f>
        <v>223257</v>
      </c>
      <c r="F23" s="2045">
        <f t="shared" si="1"/>
        <v>324560</v>
      </c>
      <c r="G23" s="2045">
        <f t="shared" si="1"/>
        <v>222257</v>
      </c>
      <c r="H23" s="2045">
        <f t="shared" si="1"/>
        <v>0</v>
      </c>
      <c r="I23" s="2045">
        <f t="shared" si="1"/>
        <v>324560</v>
      </c>
      <c r="J23" s="2045">
        <f t="shared" si="1"/>
        <v>0</v>
      </c>
      <c r="K23" s="2045">
        <f t="shared" si="1"/>
        <v>0</v>
      </c>
      <c r="L23" s="2044">
        <f t="shared" si="0"/>
        <v>546817</v>
      </c>
      <c r="M23" s="1826"/>
    </row>
    <row r="24" spans="2:14" ht="20.100000000000001" customHeight="1" x14ac:dyDescent="0.2">
      <c r="B24" s="1113"/>
      <c r="C24" s="1824"/>
      <c r="D24" s="1825"/>
      <c r="E24" s="1823"/>
      <c r="F24" s="1823"/>
      <c r="G24" s="1823"/>
      <c r="H24" s="1823"/>
      <c r="I24" s="1823"/>
      <c r="J24" s="1823"/>
      <c r="K24" s="1823"/>
      <c r="L24" s="1823"/>
      <c r="M24" s="1826"/>
    </row>
    <row r="25" spans="2:14" ht="20.100000000000001" customHeight="1" x14ac:dyDescent="0.2">
      <c r="B25" s="1113" t="s">
        <v>2164</v>
      </c>
      <c r="C25" s="1824"/>
      <c r="D25" s="1825"/>
      <c r="E25" s="2038">
        <f>+' SEFA (2)'!E27</f>
        <v>245238</v>
      </c>
      <c r="F25" s="2038">
        <f>+' SEFA (2)'!F27</f>
        <v>459115</v>
      </c>
      <c r="G25" s="2038">
        <f>+' SEFA (2)'!G27</f>
        <v>410579</v>
      </c>
      <c r="H25" s="2038">
        <f>+' SEFA (2)'!H27</f>
        <v>0</v>
      </c>
      <c r="I25" s="2038">
        <f>+' SEFA (2)'!I27</f>
        <v>378782</v>
      </c>
      <c r="J25" s="2038">
        <f>+' SEFA (2)'!J27</f>
        <v>0</v>
      </c>
      <c r="K25" s="2038">
        <f>+' SEFA (2)'!K27</f>
        <v>0</v>
      </c>
      <c r="L25" s="2041">
        <f t="shared" si="0"/>
        <v>789361</v>
      </c>
      <c r="M25" s="1826"/>
    </row>
    <row r="26" spans="2:14" ht="20.100000000000001" customHeight="1" x14ac:dyDescent="0.2">
      <c r="B26" s="1113" t="s">
        <v>2165</v>
      </c>
      <c r="C26" s="1824"/>
      <c r="D26" s="1825"/>
      <c r="E26" s="2047">
        <f>+' SEFA (3)'!E24</f>
        <v>138223</v>
      </c>
      <c r="F26" s="2038">
        <f>+' SEFA (3)'!F24</f>
        <v>123434</v>
      </c>
      <c r="G26" s="2038">
        <f>+' SEFA (3)'!G24</f>
        <v>141432</v>
      </c>
      <c r="H26" s="2038">
        <f>+' SEFA (3)'!H24</f>
        <v>0</v>
      </c>
      <c r="I26" s="2038">
        <f>+' SEFA (3)'!I24</f>
        <v>139826</v>
      </c>
      <c r="J26" s="2038">
        <f>+' SEFA (3)'!J24</f>
        <v>0</v>
      </c>
      <c r="K26" s="2038">
        <f>+' SEFA (3)'!K24</f>
        <v>0</v>
      </c>
      <c r="L26" s="2038">
        <f>+' SEFA (3)'!L24</f>
        <v>281258</v>
      </c>
      <c r="M26" s="1826"/>
    </row>
    <row r="27" spans="2:14" ht="20.100000000000001" customHeight="1" thickBot="1" x14ac:dyDescent="0.25">
      <c r="B27" s="1113" t="s">
        <v>2124</v>
      </c>
      <c r="C27" s="1824"/>
      <c r="D27" s="1825"/>
      <c r="E27" s="2048">
        <f t="shared" ref="E27:L27" si="2">SUM(E23:E26)</f>
        <v>606718</v>
      </c>
      <c r="F27" s="2048">
        <f t="shared" si="2"/>
        <v>907109</v>
      </c>
      <c r="G27" s="2048">
        <f t="shared" si="2"/>
        <v>774268</v>
      </c>
      <c r="H27" s="2048">
        <f t="shared" si="2"/>
        <v>0</v>
      </c>
      <c r="I27" s="2048">
        <f t="shared" si="2"/>
        <v>843168</v>
      </c>
      <c r="J27" s="2048">
        <f t="shared" si="2"/>
        <v>0</v>
      </c>
      <c r="K27" s="2048">
        <f t="shared" si="2"/>
        <v>0</v>
      </c>
      <c r="L27" s="2048">
        <f t="shared" si="2"/>
        <v>1617436</v>
      </c>
      <c r="M27" s="1826"/>
      <c r="N27" s="1114"/>
    </row>
    <row r="28" spans="2:14" ht="12.75" customHeight="1" thickTop="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DF88D-8ECA-47C0-9041-8B3349343909}">
  <dimension ref="B1:N152"/>
  <sheetViews>
    <sheetView showGridLines="0" zoomScaleNormal="100" workbookViewId="0">
      <selection activeCell="A28" sqref="A28:XFD2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4" t="str">
        <f>'Single Audit Cover'!A7</f>
        <v>East Peoria CHSD 309</v>
      </c>
      <c r="C1" s="2579"/>
      <c r="D1" s="2579"/>
      <c r="E1" s="2579"/>
      <c r="F1" s="2579"/>
      <c r="G1" s="2579"/>
      <c r="H1" s="2579"/>
      <c r="I1" s="2579"/>
      <c r="J1" s="2579"/>
      <c r="K1" s="2579"/>
      <c r="L1" s="2579"/>
      <c r="M1" s="2579"/>
    </row>
    <row r="2" spans="2:14" ht="15" x14ac:dyDescent="0.2">
      <c r="B2" s="2580">
        <f>'Single Audit Cover'!E7</f>
        <v>53090309016</v>
      </c>
      <c r="C2" s="2580"/>
      <c r="D2" s="2580"/>
      <c r="E2" s="2580"/>
      <c r="F2" s="2580"/>
      <c r="G2" s="2580"/>
      <c r="H2" s="2580"/>
      <c r="I2" s="2580"/>
      <c r="J2" s="2580"/>
      <c r="K2" s="2580"/>
      <c r="L2" s="2580"/>
      <c r="M2" s="2580"/>
      <c r="N2" s="1078"/>
    </row>
    <row r="3" spans="2:14" ht="15" x14ac:dyDescent="0.2">
      <c r="B3" s="2581" t="s">
        <v>1210</v>
      </c>
      <c r="C3" s="2581"/>
      <c r="D3" s="2581"/>
      <c r="E3" s="2581"/>
      <c r="F3" s="2581"/>
      <c r="G3" s="2581"/>
      <c r="H3" s="2581"/>
      <c r="I3" s="2581"/>
      <c r="J3" s="2581"/>
      <c r="K3" s="2581"/>
      <c r="L3" s="2581"/>
      <c r="M3" s="2581"/>
      <c r="N3" s="1078"/>
    </row>
    <row r="4" spans="2:14" ht="15" x14ac:dyDescent="0.2">
      <c r="B4" s="2582" t="str">
        <f>'Single Audit Cover'!A4</f>
        <v>Year Ending June 30, 2020</v>
      </c>
      <c r="C4" s="2582"/>
      <c r="D4" s="2582"/>
      <c r="E4" s="2582"/>
      <c r="F4" s="2582"/>
      <c r="G4" s="2582"/>
      <c r="H4" s="2582"/>
      <c r="I4" s="2582"/>
      <c r="J4" s="2582"/>
      <c r="K4" s="2582"/>
      <c r="L4" s="2582"/>
      <c r="M4" s="2582"/>
      <c r="N4" s="1078"/>
    </row>
    <row r="5" spans="2:14" x14ac:dyDescent="0.2">
      <c r="H5" s="1914"/>
      <c r="J5" s="1914"/>
    </row>
    <row r="6" spans="2:14" x14ac:dyDescent="0.2">
      <c r="B6" s="1079"/>
      <c r="C6" s="1080"/>
      <c r="D6" s="1081" t="s">
        <v>1256</v>
      </c>
      <c r="E6" s="1082" t="s">
        <v>524</v>
      </c>
      <c r="F6" s="1083"/>
      <c r="G6" s="1084" t="s">
        <v>1711</v>
      </c>
      <c r="H6" s="1082"/>
      <c r="I6" s="1082"/>
      <c r="J6" s="1915"/>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1568</v>
      </c>
      <c r="I9" s="1913"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2136</v>
      </c>
      <c r="C11" s="1821"/>
      <c r="D11" s="1822"/>
      <c r="E11" s="1823"/>
      <c r="F11" s="1823"/>
      <c r="G11" s="1823"/>
      <c r="H11" s="1823"/>
      <c r="I11" s="1823"/>
      <c r="J11" s="1823"/>
      <c r="K11" s="1823"/>
      <c r="L11" s="1823">
        <f>+G11+I11+K11</f>
        <v>0</v>
      </c>
      <c r="M11" s="1823"/>
    </row>
    <row r="12" spans="2:14" ht="20.100000000000001" customHeight="1" x14ac:dyDescent="0.2">
      <c r="B12" s="1113" t="s">
        <v>2120</v>
      </c>
      <c r="C12" s="1824"/>
      <c r="D12" s="1825"/>
      <c r="E12" s="1826"/>
      <c r="F12" s="1826"/>
      <c r="G12" s="1826"/>
      <c r="H12" s="1826"/>
      <c r="I12" s="1826"/>
      <c r="J12" s="1826"/>
      <c r="K12" s="1826"/>
      <c r="L12" s="1823">
        <f t="shared" ref="L12:L25" si="0">+G12+I12+K12</f>
        <v>0</v>
      </c>
      <c r="M12" s="1826"/>
    </row>
    <row r="13" spans="2:14" ht="20.100000000000001" customHeight="1" x14ac:dyDescent="0.2">
      <c r="B13" s="1113" t="s">
        <v>2137</v>
      </c>
      <c r="C13" s="1824" t="s">
        <v>2178</v>
      </c>
      <c r="D13" s="1825" t="s">
        <v>2139</v>
      </c>
      <c r="E13" s="2039">
        <v>146374</v>
      </c>
      <c r="F13" s="2039">
        <v>135737</v>
      </c>
      <c r="G13" s="2039">
        <v>282111</v>
      </c>
      <c r="H13" s="2039"/>
      <c r="I13" s="2039">
        <v>0</v>
      </c>
      <c r="J13" s="2039"/>
      <c r="K13" s="2039"/>
      <c r="L13" s="2040">
        <f t="shared" si="0"/>
        <v>282111</v>
      </c>
      <c r="M13" s="2039">
        <v>284149</v>
      </c>
    </row>
    <row r="14" spans="2:14" ht="20.100000000000001" customHeight="1" x14ac:dyDescent="0.2">
      <c r="B14" s="1113" t="s">
        <v>2137</v>
      </c>
      <c r="C14" s="1824" t="s">
        <v>2178</v>
      </c>
      <c r="D14" s="1825" t="s">
        <v>2140</v>
      </c>
      <c r="E14" s="2047"/>
      <c r="F14" s="2038">
        <v>172366</v>
      </c>
      <c r="G14" s="2038"/>
      <c r="H14" s="2038"/>
      <c r="I14" s="2038">
        <v>213316</v>
      </c>
      <c r="J14" s="2038"/>
      <c r="K14" s="2038"/>
      <c r="L14" s="2041">
        <f t="shared" si="0"/>
        <v>213316</v>
      </c>
      <c r="M14" s="2038">
        <v>226073</v>
      </c>
    </row>
    <row r="15" spans="2:14" ht="20.100000000000001" customHeight="1" x14ac:dyDescent="0.2">
      <c r="B15" s="1113" t="s">
        <v>2138</v>
      </c>
      <c r="C15" s="1824"/>
      <c r="D15" s="1825"/>
      <c r="E15" s="2045">
        <f t="shared" ref="E15:L15" si="1">SUM(E13:E14)</f>
        <v>146374</v>
      </c>
      <c r="F15" s="2045">
        <f t="shared" si="1"/>
        <v>308103</v>
      </c>
      <c r="G15" s="2045">
        <f t="shared" si="1"/>
        <v>282111</v>
      </c>
      <c r="H15" s="2045">
        <f t="shared" si="1"/>
        <v>0</v>
      </c>
      <c r="I15" s="2045">
        <f t="shared" si="1"/>
        <v>213316</v>
      </c>
      <c r="J15" s="2045">
        <f t="shared" si="1"/>
        <v>0</v>
      </c>
      <c r="K15" s="2045">
        <f t="shared" si="1"/>
        <v>0</v>
      </c>
      <c r="L15" s="2045">
        <f t="shared" si="1"/>
        <v>495427</v>
      </c>
      <c r="M15" s="2038"/>
    </row>
    <row r="16" spans="2:14" ht="17.25" customHeight="1" x14ac:dyDescent="0.2">
      <c r="B16" s="1113"/>
      <c r="C16" s="1824"/>
      <c r="D16" s="1825"/>
      <c r="E16" s="2041"/>
      <c r="F16" s="2038"/>
      <c r="G16" s="2038"/>
      <c r="H16" s="2038"/>
      <c r="I16" s="2038"/>
      <c r="J16" s="2038"/>
      <c r="K16" s="2038"/>
      <c r="L16" s="2041"/>
      <c r="M16" s="2038"/>
    </row>
    <row r="17" spans="2:14" ht="20.100000000000001" customHeight="1" x14ac:dyDescent="0.2">
      <c r="B17" s="1113" t="s">
        <v>2141</v>
      </c>
      <c r="C17" s="1824" t="s">
        <v>2180</v>
      </c>
      <c r="D17" s="1825" t="s">
        <v>2143</v>
      </c>
      <c r="E17" s="2038"/>
      <c r="F17" s="2038">
        <v>6523</v>
      </c>
      <c r="G17" s="2038">
        <v>6523</v>
      </c>
      <c r="H17" s="2038"/>
      <c r="I17" s="2038"/>
      <c r="J17" s="2038"/>
      <c r="K17" s="2038"/>
      <c r="L17" s="2041">
        <f t="shared" si="0"/>
        <v>6523</v>
      </c>
      <c r="M17" s="2038">
        <v>8643</v>
      </c>
    </row>
    <row r="18" spans="2:14" ht="20.100000000000001" customHeight="1" x14ac:dyDescent="0.2">
      <c r="B18" s="1113" t="s">
        <v>2141</v>
      </c>
      <c r="C18" s="1824" t="s">
        <v>2180</v>
      </c>
      <c r="D18" s="1825" t="s">
        <v>2144</v>
      </c>
      <c r="E18" s="2047"/>
      <c r="F18" s="2038"/>
      <c r="G18" s="2038"/>
      <c r="H18" s="2038"/>
      <c r="I18" s="2038">
        <v>4467</v>
      </c>
      <c r="J18" s="2038"/>
      <c r="K18" s="2038"/>
      <c r="L18" s="2041">
        <f t="shared" si="0"/>
        <v>4467</v>
      </c>
      <c r="M18" s="2038">
        <v>7120</v>
      </c>
    </row>
    <row r="19" spans="2:14" ht="20.100000000000001" customHeight="1" x14ac:dyDescent="0.2">
      <c r="B19" s="1113" t="s">
        <v>2142</v>
      </c>
      <c r="C19" s="1824"/>
      <c r="D19" s="1825"/>
      <c r="E19" s="2045">
        <f t="shared" ref="E19:L19" si="2">SUM(E17:E18)</f>
        <v>0</v>
      </c>
      <c r="F19" s="2045">
        <f t="shared" si="2"/>
        <v>6523</v>
      </c>
      <c r="G19" s="2045">
        <f t="shared" si="2"/>
        <v>6523</v>
      </c>
      <c r="H19" s="2045">
        <f t="shared" si="2"/>
        <v>0</v>
      </c>
      <c r="I19" s="2045">
        <f t="shared" si="2"/>
        <v>4467</v>
      </c>
      <c r="J19" s="2045">
        <f t="shared" si="2"/>
        <v>0</v>
      </c>
      <c r="K19" s="2045">
        <f t="shared" si="2"/>
        <v>0</v>
      </c>
      <c r="L19" s="2045">
        <f t="shared" si="2"/>
        <v>10990</v>
      </c>
      <c r="M19" s="2038"/>
    </row>
    <row r="20" spans="2:14" ht="18" customHeight="1" x14ac:dyDescent="0.2">
      <c r="B20" s="1113"/>
      <c r="C20" s="1824"/>
      <c r="D20" s="1825"/>
      <c r="E20" s="2041"/>
      <c r="F20" s="2038"/>
      <c r="G20" s="2038"/>
      <c r="H20" s="2038"/>
      <c r="I20" s="2038"/>
      <c r="J20" s="2038"/>
      <c r="K20" s="2038"/>
      <c r="L20" s="2041">
        <f t="shared" si="0"/>
        <v>0</v>
      </c>
      <c r="M20" s="2038"/>
    </row>
    <row r="21" spans="2:14" ht="20.100000000000001" customHeight="1" x14ac:dyDescent="0.2">
      <c r="B21" s="1113" t="s">
        <v>2145</v>
      </c>
      <c r="C21" s="1824" t="s">
        <v>2179</v>
      </c>
      <c r="D21" s="1825" t="s">
        <v>2147</v>
      </c>
      <c r="E21" s="2038">
        <v>98864</v>
      </c>
      <c r="F21" s="2038">
        <v>48080</v>
      </c>
      <c r="G21" s="2038">
        <v>121945</v>
      </c>
      <c r="H21" s="2038"/>
      <c r="I21" s="2038">
        <v>24999</v>
      </c>
      <c r="J21" s="2038"/>
      <c r="K21" s="2038"/>
      <c r="L21" s="2041">
        <f t="shared" si="0"/>
        <v>146944</v>
      </c>
      <c r="M21" s="2038" t="s">
        <v>2135</v>
      </c>
    </row>
    <row r="22" spans="2:14" ht="20.100000000000001" customHeight="1" x14ac:dyDescent="0.2">
      <c r="B22" s="1113" t="s">
        <v>2145</v>
      </c>
      <c r="C22" s="1824" t="s">
        <v>2179</v>
      </c>
      <c r="D22" s="1825" t="s">
        <v>2148</v>
      </c>
      <c r="E22" s="2047"/>
      <c r="F22" s="2038">
        <v>96409</v>
      </c>
      <c r="G22" s="2038"/>
      <c r="H22" s="2038"/>
      <c r="I22" s="2038">
        <v>130628</v>
      </c>
      <c r="J22" s="2038"/>
      <c r="K22" s="2038"/>
      <c r="L22" s="2041">
        <f t="shared" si="0"/>
        <v>130628</v>
      </c>
      <c r="M22" s="2038" t="s">
        <v>2135</v>
      </c>
    </row>
    <row r="23" spans="2:14" ht="20.100000000000001" customHeight="1" x14ac:dyDescent="0.2">
      <c r="B23" s="1113" t="s">
        <v>2146</v>
      </c>
      <c r="C23" s="1824"/>
      <c r="D23" s="1825"/>
      <c r="E23" s="2045">
        <f t="shared" ref="E23:L23" si="3">SUM(E21:E22)</f>
        <v>98864</v>
      </c>
      <c r="F23" s="2045">
        <f t="shared" si="3"/>
        <v>144489</v>
      </c>
      <c r="G23" s="2045">
        <f t="shared" si="3"/>
        <v>121945</v>
      </c>
      <c r="H23" s="2045">
        <f t="shared" si="3"/>
        <v>0</v>
      </c>
      <c r="I23" s="2045">
        <f t="shared" si="3"/>
        <v>155627</v>
      </c>
      <c r="J23" s="2045">
        <f t="shared" si="3"/>
        <v>0</v>
      </c>
      <c r="K23" s="2045">
        <f t="shared" si="3"/>
        <v>0</v>
      </c>
      <c r="L23" s="2045">
        <f t="shared" si="3"/>
        <v>277572</v>
      </c>
      <c r="M23" s="2038"/>
    </row>
    <row r="24" spans="2:14" ht="18" customHeight="1" x14ac:dyDescent="0.2">
      <c r="B24" s="1113"/>
      <c r="C24" s="1824"/>
      <c r="D24" s="1825"/>
      <c r="E24" s="2041"/>
      <c r="F24" s="2038"/>
      <c r="G24" s="2038"/>
      <c r="H24" s="2038"/>
      <c r="I24" s="2038"/>
      <c r="J24" s="2038"/>
      <c r="K24" s="2038"/>
      <c r="L24" s="2041"/>
      <c r="M24" s="2038"/>
    </row>
    <row r="25" spans="2:14" ht="20.100000000000001" customHeight="1" x14ac:dyDescent="0.2">
      <c r="B25" s="1113" t="s">
        <v>2149</v>
      </c>
      <c r="C25" s="1824" t="s">
        <v>2150</v>
      </c>
      <c r="D25" s="1825" t="s">
        <v>2151</v>
      </c>
      <c r="E25" s="2038"/>
      <c r="F25" s="2038"/>
      <c r="G25" s="2038"/>
      <c r="H25" s="2038"/>
      <c r="I25" s="2038">
        <v>5372</v>
      </c>
      <c r="J25" s="2038"/>
      <c r="K25" s="2038"/>
      <c r="L25" s="2041">
        <f t="shared" si="0"/>
        <v>5372</v>
      </c>
      <c r="M25" s="2038" t="s">
        <v>2135</v>
      </c>
    </row>
    <row r="26" spans="2:14" ht="18" customHeight="1" x14ac:dyDescent="0.2">
      <c r="B26" s="1113"/>
      <c r="C26" s="1824"/>
      <c r="D26" s="1825"/>
      <c r="E26" s="2042"/>
      <c r="F26" s="1826"/>
      <c r="G26" s="1826"/>
      <c r="H26" s="1826"/>
      <c r="I26" s="1826"/>
      <c r="J26" s="1826"/>
      <c r="K26" s="1826"/>
      <c r="L26" s="1823"/>
      <c r="M26" s="1826"/>
    </row>
    <row r="27" spans="2:14" ht="31.5" customHeight="1" x14ac:dyDescent="0.2">
      <c r="B27" s="1113" t="s">
        <v>2166</v>
      </c>
      <c r="C27" s="1824"/>
      <c r="D27" s="1825"/>
      <c r="E27" s="2046">
        <f t="shared" ref="E27:L27" si="4">+E15+E19+E23+E25</f>
        <v>245238</v>
      </c>
      <c r="F27" s="2046">
        <f t="shared" si="4"/>
        <v>459115</v>
      </c>
      <c r="G27" s="2046">
        <f t="shared" si="4"/>
        <v>410579</v>
      </c>
      <c r="H27" s="2046">
        <f t="shared" si="4"/>
        <v>0</v>
      </c>
      <c r="I27" s="2046">
        <f t="shared" si="4"/>
        <v>378782</v>
      </c>
      <c r="J27" s="2046">
        <f t="shared" si="4"/>
        <v>0</v>
      </c>
      <c r="K27" s="2046">
        <f t="shared" si="4"/>
        <v>0</v>
      </c>
      <c r="L27" s="2046">
        <f t="shared" si="4"/>
        <v>789361</v>
      </c>
      <c r="M27" s="1826"/>
      <c r="N27" s="1114"/>
    </row>
    <row r="28" spans="2:14" ht="8.25" customHeight="1" x14ac:dyDescent="0.2">
      <c r="B28" s="1115"/>
      <c r="C28" s="1116"/>
      <c r="D28" s="1117"/>
      <c r="E28" s="1118"/>
      <c r="F28" s="1118"/>
      <c r="G28" s="1118"/>
      <c r="H28" s="1118"/>
      <c r="I28" s="1118"/>
      <c r="J28" s="1118"/>
      <c r="K28" s="1118"/>
      <c r="L28" s="1118"/>
      <c r="M28" s="1118"/>
      <c r="N28" s="1114"/>
    </row>
    <row r="29" spans="2:14" ht="9.75" customHeight="1"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 xml:space="preserve">&amp;R&amp;8Page 41.1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K143"/>
  <sheetViews>
    <sheetView showGridLines="0" defaultGridColor="0" topLeftCell="A78"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7" t="s">
        <v>1160</v>
      </c>
      <c r="B2" s="2167"/>
      <c r="C2" s="2167"/>
      <c r="D2" s="2167"/>
      <c r="E2" s="2167"/>
      <c r="F2" s="2167"/>
      <c r="G2" s="2167"/>
      <c r="H2" s="2167"/>
      <c r="I2" s="2167"/>
      <c r="J2" s="216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81" t="s">
        <v>1619</v>
      </c>
      <c r="B35" s="2182"/>
      <c r="C35" s="2182"/>
      <c r="D35" s="2182"/>
      <c r="E35" s="2183"/>
      <c r="F35" s="2183"/>
      <c r="G35" s="2183"/>
      <c r="H35" s="2183"/>
      <c r="I35" s="218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1" t="s">
        <v>310</v>
      </c>
      <c r="B47" s="2184"/>
      <c r="C47" s="2184"/>
      <c r="D47" s="2184"/>
      <c r="E47" s="2185"/>
      <c r="F47" s="2185"/>
      <c r="G47" s="2185"/>
      <c r="H47" s="2185"/>
      <c r="I47" s="218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2057</v>
      </c>
      <c r="C53" s="174">
        <v>22</v>
      </c>
      <c r="D53" s="242" t="s">
        <v>1448</v>
      </c>
      <c r="E53" s="243"/>
      <c r="F53" s="244"/>
      <c r="G53" s="244" t="s">
        <v>1447</v>
      </c>
      <c r="H53" s="245">
        <v>36161</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8"/>
      <c r="C57" s="2189"/>
      <c r="D57" s="2189"/>
      <c r="E57" s="2189"/>
      <c r="F57" s="2189"/>
      <c r="G57" s="2189"/>
      <c r="H57" s="2189"/>
      <c r="I57" s="2189"/>
      <c r="J57" s="2190"/>
    </row>
    <row r="58" spans="1:10" s="176" customFormat="1" x14ac:dyDescent="0.2">
      <c r="A58" s="248"/>
      <c r="B58" s="2191"/>
      <c r="C58" s="2192"/>
      <c r="D58" s="2192"/>
      <c r="E58" s="2192"/>
      <c r="F58" s="2192"/>
      <c r="G58" s="2192"/>
      <c r="H58" s="2192"/>
      <c r="I58" s="2192"/>
      <c r="J58" s="2193"/>
    </row>
    <row r="59" spans="1:10" s="176" customFormat="1" x14ac:dyDescent="0.2">
      <c r="A59" s="248"/>
      <c r="B59" s="2191"/>
      <c r="C59" s="2192"/>
      <c r="D59" s="2192"/>
      <c r="E59" s="2192"/>
      <c r="F59" s="2192"/>
      <c r="G59" s="2192"/>
      <c r="H59" s="2192"/>
      <c r="I59" s="2192"/>
      <c r="J59" s="2193"/>
    </row>
    <row r="60" spans="1:10" s="176" customFormat="1" x14ac:dyDescent="0.2">
      <c r="A60" s="248"/>
      <c r="B60" s="2191"/>
      <c r="C60" s="2192"/>
      <c r="D60" s="2192"/>
      <c r="E60" s="2192"/>
      <c r="F60" s="2192"/>
      <c r="G60" s="2192"/>
      <c r="H60" s="2192"/>
      <c r="I60" s="2192"/>
      <c r="J60" s="2193"/>
    </row>
    <row r="61" spans="1:10" s="176" customFormat="1" x14ac:dyDescent="0.2">
      <c r="A61" s="248"/>
      <c r="B61" s="2191"/>
      <c r="C61" s="2192"/>
      <c r="D61" s="2192"/>
      <c r="E61" s="2192"/>
      <c r="F61" s="2192"/>
      <c r="G61" s="2192"/>
      <c r="H61" s="2192"/>
      <c r="I61" s="2192"/>
      <c r="J61" s="2193"/>
    </row>
    <row r="62" spans="1:10" s="176" customFormat="1" x14ac:dyDescent="0.2">
      <c r="A62" s="248"/>
      <c r="B62" s="2191"/>
      <c r="C62" s="2192"/>
      <c r="D62" s="2192"/>
      <c r="E62" s="2192"/>
      <c r="F62" s="2192"/>
      <c r="G62" s="2192"/>
      <c r="H62" s="2192"/>
      <c r="I62" s="2192"/>
      <c r="J62" s="2193"/>
    </row>
    <row r="63" spans="1:10" s="176" customFormat="1" x14ac:dyDescent="0.2">
      <c r="A63" s="248"/>
      <c r="B63" s="2191"/>
      <c r="C63" s="2192"/>
      <c r="D63" s="2192"/>
      <c r="E63" s="2192"/>
      <c r="F63" s="2192"/>
      <c r="G63" s="2192"/>
      <c r="H63" s="2192"/>
      <c r="I63" s="2192"/>
      <c r="J63" s="2193"/>
    </row>
    <row r="64" spans="1:10" s="176" customFormat="1" x14ac:dyDescent="0.2">
      <c r="A64" s="248"/>
      <c r="B64" s="2191"/>
      <c r="C64" s="2192"/>
      <c r="D64" s="2192"/>
      <c r="E64" s="2192"/>
      <c r="F64" s="2192"/>
      <c r="G64" s="2192"/>
      <c r="H64" s="2192"/>
      <c r="I64" s="2192"/>
      <c r="J64" s="2193"/>
    </row>
    <row r="65" spans="1:11" s="176" customFormat="1" x14ac:dyDescent="0.2">
      <c r="A65" s="248"/>
      <c r="B65" s="2191"/>
      <c r="C65" s="2192"/>
      <c r="D65" s="2192"/>
      <c r="E65" s="2192"/>
      <c r="F65" s="2192"/>
      <c r="G65" s="2192"/>
      <c r="H65" s="2192"/>
      <c r="I65" s="2192"/>
      <c r="J65" s="2193"/>
    </row>
    <row r="66" spans="1:11" s="176" customFormat="1" x14ac:dyDescent="0.2">
      <c r="A66" s="248"/>
      <c r="B66" s="2191"/>
      <c r="C66" s="2192"/>
      <c r="D66" s="2192"/>
      <c r="E66" s="2192"/>
      <c r="F66" s="2192"/>
      <c r="G66" s="2192"/>
      <c r="H66" s="2192"/>
      <c r="I66" s="2192"/>
      <c r="J66" s="2193"/>
    </row>
    <row r="67" spans="1:11" s="176" customFormat="1" ht="9" customHeight="1" x14ac:dyDescent="0.2">
      <c r="A67" s="249"/>
      <c r="B67" s="2194"/>
      <c r="C67" s="2195"/>
      <c r="D67" s="2195"/>
      <c r="E67" s="2195"/>
      <c r="F67" s="2195"/>
      <c r="G67" s="2195"/>
      <c r="H67" s="2195"/>
      <c r="I67" s="2195"/>
      <c r="J67" s="219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1" t="s">
        <v>1314</v>
      </c>
      <c r="B70" s="2184"/>
      <c r="C70" s="2184"/>
      <c r="D70" s="2184"/>
      <c r="E70" s="2185"/>
      <c r="F70" s="2185"/>
      <c r="G70" s="2185"/>
      <c r="H70" s="2185"/>
      <c r="I70" s="218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6" t="s">
        <v>1311</v>
      </c>
      <c r="B83" s="2186"/>
      <c r="C83" s="2186"/>
      <c r="D83" s="218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97" t="s">
        <v>1989</v>
      </c>
      <c r="B85" s="2197"/>
      <c r="C85" s="2197"/>
      <c r="D85" s="2198"/>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1312</v>
      </c>
      <c r="B87" s="271"/>
      <c r="C87" s="272"/>
      <c r="D87" s="269"/>
      <c r="E87" s="264"/>
      <c r="F87" s="264"/>
      <c r="G87" s="264"/>
      <c r="H87" s="264"/>
      <c r="I87" s="265"/>
      <c r="J87" s="1728"/>
    </row>
    <row r="88" spans="1:10" s="176" customFormat="1" ht="13.5" customHeight="1" x14ac:dyDescent="0.2">
      <c r="A88" s="2199" t="s">
        <v>1989</v>
      </c>
      <c r="B88" s="2200"/>
      <c r="C88" s="2200"/>
      <c r="D88" s="2201"/>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68"/>
      <c r="C102" s="2169"/>
      <c r="D102" s="2169"/>
      <c r="E102" s="2169"/>
      <c r="F102" s="2169"/>
      <c r="G102" s="2169"/>
      <c r="H102" s="2169"/>
      <c r="I102" s="2170"/>
    </row>
    <row r="103" spans="1:9" s="176" customFormat="1" ht="11.25" customHeight="1" x14ac:dyDescent="0.2">
      <c r="A103" s="294"/>
      <c r="B103" s="2171"/>
      <c r="C103" s="2172"/>
      <c r="D103" s="2172"/>
      <c r="E103" s="2172"/>
      <c r="F103" s="2172"/>
      <c r="G103" s="2172"/>
      <c r="H103" s="2172"/>
      <c r="I103" s="2173"/>
    </row>
    <row r="104" spans="1:9" s="176" customFormat="1" ht="11.25" customHeight="1" x14ac:dyDescent="0.2">
      <c r="A104" s="294"/>
      <c r="B104" s="2171"/>
      <c r="C104" s="2172"/>
      <c r="D104" s="2172"/>
      <c r="E104" s="2172"/>
      <c r="F104" s="2172"/>
      <c r="G104" s="2172"/>
      <c r="H104" s="2172"/>
      <c r="I104" s="2173"/>
    </row>
    <row r="105" spans="1:9" s="176" customFormat="1" x14ac:dyDescent="0.2">
      <c r="A105" s="294"/>
      <c r="B105" s="2171"/>
      <c r="C105" s="2172"/>
      <c r="D105" s="2172"/>
      <c r="E105" s="2172"/>
      <c r="F105" s="2172"/>
      <c r="G105" s="2172"/>
      <c r="H105" s="2172"/>
      <c r="I105" s="2173"/>
    </row>
    <row r="106" spans="1:9" s="176" customFormat="1" ht="11.25" customHeight="1" x14ac:dyDescent="0.2">
      <c r="A106" s="294"/>
      <c r="B106" s="2171"/>
      <c r="C106" s="2172"/>
      <c r="D106" s="2172"/>
      <c r="E106" s="2172"/>
      <c r="F106" s="2172"/>
      <c r="G106" s="2172"/>
      <c r="H106" s="2172"/>
      <c r="I106" s="2173"/>
    </row>
    <row r="107" spans="1:9" s="176" customFormat="1" ht="11.25" customHeight="1" x14ac:dyDescent="0.2">
      <c r="A107" s="294"/>
      <c r="B107" s="2171"/>
      <c r="C107" s="2172"/>
      <c r="D107" s="2172"/>
      <c r="E107" s="2172"/>
      <c r="F107" s="2172"/>
      <c r="G107" s="2172"/>
      <c r="H107" s="2172"/>
      <c r="I107" s="2173"/>
    </row>
    <row r="108" spans="1:9" s="176" customFormat="1" ht="11.25" customHeight="1" x14ac:dyDescent="0.2">
      <c r="A108" s="294"/>
      <c r="B108" s="2171"/>
      <c r="C108" s="2172"/>
      <c r="D108" s="2172"/>
      <c r="E108" s="2172"/>
      <c r="F108" s="2172"/>
      <c r="G108" s="2172"/>
      <c r="H108" s="2172"/>
      <c r="I108" s="2173"/>
    </row>
    <row r="109" spans="1:9" s="176" customFormat="1" ht="11.25" customHeight="1" x14ac:dyDescent="0.2">
      <c r="A109" s="294"/>
      <c r="B109" s="2171"/>
      <c r="C109" s="2172"/>
      <c r="D109" s="2172"/>
      <c r="E109" s="2172"/>
      <c r="F109" s="2172"/>
      <c r="G109" s="2172"/>
      <c r="H109" s="2172"/>
      <c r="I109" s="2173"/>
    </row>
    <row r="110" spans="1:9" s="176" customFormat="1" ht="11.25" customHeight="1" x14ac:dyDescent="0.2">
      <c r="A110" s="294"/>
      <c r="B110" s="2171"/>
      <c r="C110" s="2172"/>
      <c r="D110" s="2172"/>
      <c r="E110" s="2172"/>
      <c r="F110" s="2172"/>
      <c r="G110" s="2172"/>
      <c r="H110" s="2172"/>
      <c r="I110" s="2173"/>
    </row>
    <row r="111" spans="1:9" s="176" customFormat="1" ht="11.25" customHeight="1" x14ac:dyDescent="0.2">
      <c r="A111" s="294"/>
      <c r="B111" s="2171"/>
      <c r="C111" s="2172"/>
      <c r="D111" s="2172"/>
      <c r="E111" s="2172"/>
      <c r="F111" s="2172"/>
      <c r="G111" s="2172"/>
      <c r="H111" s="2172"/>
      <c r="I111" s="2173"/>
    </row>
    <row r="112" spans="1:9" s="176" customFormat="1" ht="11.25" customHeight="1" x14ac:dyDescent="0.2">
      <c r="A112" s="294"/>
      <c r="B112" s="2174"/>
      <c r="C112" s="2175"/>
      <c r="D112" s="2175"/>
      <c r="E112" s="2175"/>
      <c r="F112" s="2175"/>
      <c r="G112" s="2175"/>
      <c r="H112" s="2175"/>
      <c r="I112" s="217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7" t="s">
        <v>2048</v>
      </c>
      <c r="D114" s="217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8" t="s">
        <v>1321</v>
      </c>
      <c r="D117" s="2179"/>
      <c r="E117" s="2180"/>
      <c r="F117" s="2180"/>
      <c r="G117" s="2180"/>
      <c r="H117" s="2180"/>
      <c r="I117" s="282"/>
    </row>
    <row r="118" spans="1:9" s="176" customFormat="1" ht="24" customHeight="1" x14ac:dyDescent="0.2">
      <c r="A118" s="294"/>
      <c r="B118" s="294"/>
      <c r="C118" s="294"/>
      <c r="D118" s="301" t="s">
        <v>2182</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5" right="0.16" top="0.39" bottom="0.33" header="0.19" footer="0.17"/>
  <pageSetup scale="49"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C8016-7C7F-4B40-B96F-6F6CC8B61F7B}">
  <dimension ref="B1:N151"/>
  <sheetViews>
    <sheetView showGridLines="0" zoomScaleNormal="100" workbookViewId="0">
      <selection activeCell="A26" sqref="A26:XFD2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34" t="str">
        <f>'Single Audit Cover'!A7</f>
        <v>East Peoria CHSD 309</v>
      </c>
      <c r="C1" s="2579"/>
      <c r="D1" s="2579"/>
      <c r="E1" s="2579"/>
      <c r="F1" s="2579"/>
      <c r="G1" s="2579"/>
      <c r="H1" s="2579"/>
      <c r="I1" s="2579"/>
      <c r="J1" s="2579"/>
      <c r="K1" s="2579"/>
      <c r="L1" s="2579"/>
      <c r="M1" s="2579"/>
    </row>
    <row r="2" spans="2:14" ht="15" x14ac:dyDescent="0.2">
      <c r="B2" s="2580">
        <f>'Single Audit Cover'!E7</f>
        <v>53090309016</v>
      </c>
      <c r="C2" s="2580"/>
      <c r="D2" s="2580"/>
      <c r="E2" s="2580"/>
      <c r="F2" s="2580"/>
      <c r="G2" s="2580"/>
      <c r="H2" s="2580"/>
      <c r="I2" s="2580"/>
      <c r="J2" s="2580"/>
      <c r="K2" s="2580"/>
      <c r="L2" s="2580"/>
      <c r="M2" s="2580"/>
      <c r="N2" s="1078"/>
    </row>
    <row r="3" spans="2:14" ht="15" x14ac:dyDescent="0.2">
      <c r="B3" s="2581" t="s">
        <v>1210</v>
      </c>
      <c r="C3" s="2581"/>
      <c r="D3" s="2581"/>
      <c r="E3" s="2581"/>
      <c r="F3" s="2581"/>
      <c r="G3" s="2581"/>
      <c r="H3" s="2581"/>
      <c r="I3" s="2581"/>
      <c r="J3" s="2581"/>
      <c r="K3" s="2581"/>
      <c r="L3" s="2581"/>
      <c r="M3" s="2581"/>
      <c r="N3" s="1078"/>
    </row>
    <row r="4" spans="2:14" ht="15" x14ac:dyDescent="0.2">
      <c r="B4" s="2582" t="str">
        <f>'Single Audit Cover'!A4</f>
        <v>Year Ending June 30, 2020</v>
      </c>
      <c r="C4" s="2582"/>
      <c r="D4" s="2582"/>
      <c r="E4" s="2582"/>
      <c r="F4" s="2582"/>
      <c r="G4" s="2582"/>
      <c r="H4" s="2582"/>
      <c r="I4" s="2582"/>
      <c r="J4" s="2582"/>
      <c r="K4" s="2582"/>
      <c r="L4" s="2582"/>
      <c r="M4" s="2582"/>
      <c r="N4" s="1078"/>
    </row>
    <row r="5" spans="2:14" x14ac:dyDescent="0.2">
      <c r="H5" s="1914"/>
      <c r="J5" s="1914"/>
    </row>
    <row r="6" spans="2:14" x14ac:dyDescent="0.2">
      <c r="B6" s="1079"/>
      <c r="C6" s="1080"/>
      <c r="D6" s="1081" t="s">
        <v>1256</v>
      </c>
      <c r="E6" s="1082" t="s">
        <v>524</v>
      </c>
      <c r="F6" s="1083"/>
      <c r="G6" s="1084" t="s">
        <v>1711</v>
      </c>
      <c r="H6" s="1082"/>
      <c r="I6" s="1082"/>
      <c r="J6" s="1915"/>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1568</v>
      </c>
      <c r="I9" s="1913"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2152</v>
      </c>
      <c r="C11" s="1821"/>
      <c r="D11" s="1822"/>
      <c r="E11" s="2040">
        <f>+' SEFA'!E23+' SEFA (2)'!E27</f>
        <v>468495</v>
      </c>
      <c r="F11" s="2040">
        <f>+' SEFA'!F23+' SEFA (2)'!F27</f>
        <v>783675</v>
      </c>
      <c r="G11" s="2040">
        <f>+' SEFA'!G23+' SEFA (2)'!G27</f>
        <v>632836</v>
      </c>
      <c r="H11" s="2040">
        <f>+' SEFA'!H23+' SEFA (2)'!H27</f>
        <v>0</v>
      </c>
      <c r="I11" s="2040">
        <f>+' SEFA'!I23+' SEFA (2)'!I27</f>
        <v>703342</v>
      </c>
      <c r="J11" s="2040">
        <f>+' SEFA'!J23+' SEFA (2)'!J27</f>
        <v>0</v>
      </c>
      <c r="K11" s="2040">
        <f>+' SEFA'!K23+' SEFA (2)'!K27</f>
        <v>0</v>
      </c>
      <c r="L11" s="1823">
        <f>+G11+I11+K11</f>
        <v>1336178</v>
      </c>
      <c r="M11" s="1823"/>
    </row>
    <row r="12" spans="2:14" ht="20.100000000000001" customHeight="1" x14ac:dyDescent="0.2">
      <c r="B12" s="1113"/>
      <c r="C12" s="1824"/>
      <c r="D12" s="1825"/>
      <c r="E12" s="1826"/>
      <c r="F12" s="1826"/>
      <c r="G12" s="1826"/>
      <c r="H12" s="1826"/>
      <c r="I12" s="1826"/>
      <c r="J12" s="1826"/>
      <c r="K12" s="1826"/>
      <c r="L12" s="1823"/>
      <c r="M12" s="1826"/>
    </row>
    <row r="13" spans="2:14" ht="20.100000000000001" customHeight="1" x14ac:dyDescent="0.2">
      <c r="B13" s="1113" t="s">
        <v>2136</v>
      </c>
      <c r="C13" s="1824"/>
      <c r="D13" s="1825"/>
      <c r="E13" s="1826"/>
      <c r="F13" s="1826"/>
      <c r="G13" s="1826"/>
      <c r="H13" s="1826"/>
      <c r="I13" s="1826"/>
      <c r="J13" s="1826"/>
      <c r="K13" s="1826"/>
      <c r="L13" s="1823"/>
      <c r="M13" s="1826"/>
    </row>
    <row r="14" spans="2:14" ht="20.100000000000001" customHeight="1" x14ac:dyDescent="0.2">
      <c r="B14" s="1113" t="s">
        <v>2153</v>
      </c>
      <c r="C14" s="1824"/>
      <c r="D14" s="1825"/>
      <c r="E14" s="1826"/>
      <c r="F14" s="1826"/>
      <c r="G14" s="1826"/>
      <c r="H14" s="1826"/>
      <c r="I14" s="1826"/>
      <c r="J14" s="1826"/>
      <c r="K14" s="1826"/>
      <c r="L14" s="1823"/>
      <c r="M14" s="1826"/>
    </row>
    <row r="15" spans="2:14" ht="20.100000000000001" customHeight="1" x14ac:dyDescent="0.2">
      <c r="B15" s="1113" t="s">
        <v>2154</v>
      </c>
      <c r="C15" s="1824">
        <v>84.027000000000001</v>
      </c>
      <c r="D15" s="1825" t="s">
        <v>2158</v>
      </c>
      <c r="E15" s="2038">
        <v>125812</v>
      </c>
      <c r="F15" s="2038"/>
      <c r="G15" s="2038">
        <v>125812</v>
      </c>
      <c r="H15" s="2038"/>
      <c r="I15" s="2038"/>
      <c r="J15" s="2038"/>
      <c r="K15" s="2038"/>
      <c r="L15" s="2041">
        <f t="shared" ref="L15:L21" si="0">+G15+I15+K15</f>
        <v>125812</v>
      </c>
      <c r="M15" s="2038">
        <v>125812</v>
      </c>
    </row>
    <row r="16" spans="2:14" ht="20.100000000000001" customHeight="1" x14ac:dyDescent="0.2">
      <c r="B16" s="1113" t="s">
        <v>2155</v>
      </c>
      <c r="C16" s="1824">
        <v>84.027000000000001</v>
      </c>
      <c r="D16" s="1825" t="s">
        <v>2159</v>
      </c>
      <c r="E16" s="2047"/>
      <c r="F16" s="2038">
        <v>109435</v>
      </c>
      <c r="G16" s="2038"/>
      <c r="H16" s="2038"/>
      <c r="I16" s="2038">
        <v>124461</v>
      </c>
      <c r="J16" s="2038"/>
      <c r="K16" s="2038"/>
      <c r="L16" s="2041">
        <f t="shared" si="0"/>
        <v>124461</v>
      </c>
      <c r="M16" s="2038">
        <v>124461</v>
      </c>
    </row>
    <row r="17" spans="2:14" ht="20.100000000000001" customHeight="1" x14ac:dyDescent="0.2">
      <c r="B17" s="1113" t="s">
        <v>2156</v>
      </c>
      <c r="C17" s="1824"/>
      <c r="D17" s="1825"/>
      <c r="E17" s="2045">
        <f t="shared" ref="E17:L17" si="1">SUM(E15:E16)</f>
        <v>125812</v>
      </c>
      <c r="F17" s="2045">
        <f t="shared" si="1"/>
        <v>109435</v>
      </c>
      <c r="G17" s="2045">
        <f t="shared" si="1"/>
        <v>125812</v>
      </c>
      <c r="H17" s="2045">
        <f t="shared" si="1"/>
        <v>0</v>
      </c>
      <c r="I17" s="2045">
        <f t="shared" si="1"/>
        <v>124461</v>
      </c>
      <c r="J17" s="2045">
        <f t="shared" si="1"/>
        <v>0</v>
      </c>
      <c r="K17" s="2045">
        <f t="shared" si="1"/>
        <v>0</v>
      </c>
      <c r="L17" s="2045">
        <f t="shared" si="1"/>
        <v>250273</v>
      </c>
      <c r="M17" s="2038"/>
    </row>
    <row r="18" spans="2:14" ht="20.100000000000001" customHeight="1" x14ac:dyDescent="0.2">
      <c r="B18" s="1113"/>
      <c r="C18" s="1824"/>
      <c r="D18" s="1825"/>
      <c r="E18" s="2041"/>
      <c r="F18" s="2038"/>
      <c r="G18" s="2038"/>
      <c r="H18" s="2038"/>
      <c r="I18" s="2038"/>
      <c r="J18" s="2038"/>
      <c r="K18" s="2038"/>
      <c r="L18" s="2041"/>
      <c r="M18" s="2038"/>
    </row>
    <row r="19" spans="2:14" ht="20.100000000000001" customHeight="1" x14ac:dyDescent="0.2">
      <c r="B19" s="1113" t="s">
        <v>2157</v>
      </c>
      <c r="C19" s="1824"/>
      <c r="D19" s="1825"/>
      <c r="E19" s="2038"/>
      <c r="F19" s="2038"/>
      <c r="G19" s="2038"/>
      <c r="H19" s="2038"/>
      <c r="I19" s="2038"/>
      <c r="J19" s="2038"/>
      <c r="K19" s="2038"/>
      <c r="L19" s="2041"/>
      <c r="M19" s="2038"/>
    </row>
    <row r="20" spans="2:14" ht="20.100000000000001" customHeight="1" x14ac:dyDescent="0.2">
      <c r="B20" s="1113" t="s">
        <v>2163</v>
      </c>
      <c r="C20" s="1824" t="s">
        <v>2160</v>
      </c>
      <c r="D20" s="1825" t="s">
        <v>2161</v>
      </c>
      <c r="E20" s="2038">
        <v>12411</v>
      </c>
      <c r="F20" s="2038">
        <v>3209</v>
      </c>
      <c r="G20" s="2038">
        <v>15620</v>
      </c>
      <c r="H20" s="2038"/>
      <c r="I20" s="2038"/>
      <c r="J20" s="2038"/>
      <c r="K20" s="2038"/>
      <c r="L20" s="2041">
        <f t="shared" si="0"/>
        <v>15620</v>
      </c>
      <c r="M20" s="2038" t="s">
        <v>2135</v>
      </c>
    </row>
    <row r="21" spans="2:14" ht="20.100000000000001" customHeight="1" x14ac:dyDescent="0.2">
      <c r="B21" s="1113" t="s">
        <v>2163</v>
      </c>
      <c r="C21" s="1824" t="s">
        <v>2160</v>
      </c>
      <c r="D21" s="1825" t="s">
        <v>2162</v>
      </c>
      <c r="E21" s="2047"/>
      <c r="F21" s="2038">
        <v>10790</v>
      </c>
      <c r="G21" s="2038"/>
      <c r="H21" s="2038"/>
      <c r="I21" s="2038">
        <v>15365</v>
      </c>
      <c r="J21" s="2038"/>
      <c r="K21" s="2038"/>
      <c r="L21" s="2041">
        <f t="shared" si="0"/>
        <v>15365</v>
      </c>
      <c r="M21" s="2038" t="s">
        <v>2135</v>
      </c>
    </row>
    <row r="22" spans="2:14" ht="20.100000000000001" customHeight="1" x14ac:dyDescent="0.2">
      <c r="B22" s="1113"/>
      <c r="C22" s="1824"/>
      <c r="D22" s="1825"/>
      <c r="E22" s="2045">
        <f t="shared" ref="E22:L22" si="2">SUM(E20:E21)</f>
        <v>12411</v>
      </c>
      <c r="F22" s="2045">
        <f t="shared" si="2"/>
        <v>13999</v>
      </c>
      <c r="G22" s="2045">
        <f t="shared" si="2"/>
        <v>15620</v>
      </c>
      <c r="H22" s="2045">
        <f t="shared" si="2"/>
        <v>0</v>
      </c>
      <c r="I22" s="2045">
        <f t="shared" si="2"/>
        <v>15365</v>
      </c>
      <c r="J22" s="2045">
        <f t="shared" si="2"/>
        <v>0</v>
      </c>
      <c r="K22" s="2045">
        <f t="shared" si="2"/>
        <v>0</v>
      </c>
      <c r="L22" s="2045">
        <f t="shared" si="2"/>
        <v>30985</v>
      </c>
      <c r="M22" s="2038"/>
    </row>
    <row r="23" spans="2:14" ht="20.100000000000001" customHeight="1" x14ac:dyDescent="0.2">
      <c r="B23" s="1113"/>
      <c r="C23" s="1824"/>
      <c r="D23" s="1825"/>
      <c r="E23" s="2043"/>
      <c r="F23" s="1826"/>
      <c r="G23" s="1826"/>
      <c r="H23" s="1826"/>
      <c r="I23" s="1826"/>
      <c r="J23" s="1826"/>
      <c r="K23" s="1826"/>
      <c r="L23" s="1823"/>
      <c r="M23" s="1826"/>
    </row>
    <row r="24" spans="2:14" ht="20.100000000000001" customHeight="1" x14ac:dyDescent="0.2">
      <c r="B24" s="1113" t="s">
        <v>2165</v>
      </c>
      <c r="C24" s="1824"/>
      <c r="D24" s="1825"/>
      <c r="E24" s="2046">
        <f t="shared" ref="E24:L24" si="3">+E17+E22</f>
        <v>138223</v>
      </c>
      <c r="F24" s="2046">
        <f t="shared" si="3"/>
        <v>123434</v>
      </c>
      <c r="G24" s="2046">
        <f t="shared" si="3"/>
        <v>141432</v>
      </c>
      <c r="H24" s="2046">
        <f t="shared" si="3"/>
        <v>0</v>
      </c>
      <c r="I24" s="2046">
        <f t="shared" si="3"/>
        <v>139826</v>
      </c>
      <c r="J24" s="2046">
        <f t="shared" si="3"/>
        <v>0</v>
      </c>
      <c r="K24" s="2046">
        <f t="shared" si="3"/>
        <v>0</v>
      </c>
      <c r="L24" s="2046">
        <f t="shared" si="3"/>
        <v>281258</v>
      </c>
      <c r="M24" s="1826"/>
    </row>
    <row r="25" spans="2:14" ht="20.100000000000001" customHeight="1" x14ac:dyDescent="0.2">
      <c r="B25" s="1113"/>
      <c r="C25" s="1824"/>
      <c r="D25" s="1825"/>
      <c r="E25" s="1823"/>
      <c r="F25" s="1826"/>
      <c r="G25" s="1826"/>
      <c r="H25" s="1826"/>
      <c r="I25" s="1826"/>
      <c r="J25" s="1826"/>
      <c r="K25" s="1826"/>
      <c r="L25" s="1823"/>
      <c r="M25" s="1826"/>
    </row>
    <row r="26" spans="2:14" ht="20.100000000000001" customHeight="1" x14ac:dyDescent="0.2">
      <c r="B26" s="1113"/>
      <c r="C26" s="1824"/>
      <c r="D26" s="1825"/>
      <c r="E26" s="1826"/>
      <c r="F26" s="1826"/>
      <c r="G26" s="1826"/>
      <c r="H26" s="1826"/>
      <c r="I26" s="1826"/>
      <c r="J26" s="1826"/>
      <c r="K26" s="1826"/>
      <c r="L26" s="1823"/>
      <c r="M26" s="1826"/>
      <c r="N26" s="1114"/>
    </row>
    <row r="27" spans="2:14" ht="12.75" customHeight="1" x14ac:dyDescent="0.2">
      <c r="B27" s="1115"/>
      <c r="C27" s="1116"/>
      <c r="D27" s="1117"/>
      <c r="E27" s="1118"/>
      <c r="F27" s="1118"/>
      <c r="G27" s="1118"/>
      <c r="H27" s="1118"/>
      <c r="I27" s="1118"/>
      <c r="J27" s="1118"/>
      <c r="K27" s="1118"/>
      <c r="L27" s="1118"/>
      <c r="M27" s="1118"/>
      <c r="N27" s="1114"/>
    </row>
    <row r="28" spans="2:14" x14ac:dyDescent="0.2">
      <c r="B28" s="1033"/>
      <c r="C28" s="1119"/>
      <c r="D28" s="1120"/>
      <c r="E28" s="1033"/>
      <c r="F28" s="1033"/>
      <c r="G28" s="1026"/>
      <c r="H28" s="1026"/>
      <c r="I28" s="1026"/>
      <c r="J28" s="1026"/>
      <c r="K28" s="1026"/>
      <c r="L28" s="1026"/>
      <c r="M28" s="1033"/>
      <c r="N28" s="1114"/>
    </row>
    <row r="29" spans="2:14" ht="13.5" customHeight="1" x14ac:dyDescent="0.2">
      <c r="B29" s="1058" t="s">
        <v>1714</v>
      </c>
      <c r="C29" s="1119"/>
      <c r="D29" s="1120"/>
      <c r="E29" s="1033"/>
      <c r="F29" s="1033"/>
      <c r="G29" s="1026"/>
      <c r="H29" s="1026"/>
      <c r="I29" s="1026"/>
      <c r="J29" s="1026"/>
      <c r="K29" s="1026"/>
      <c r="L29" s="1026"/>
      <c r="M29" s="1033"/>
      <c r="N29" s="1114"/>
    </row>
    <row r="30" spans="2:14" ht="8.25" customHeight="1" x14ac:dyDescent="0.2">
      <c r="B30" s="1058"/>
      <c r="C30" s="1119"/>
      <c r="D30" s="1120"/>
      <c r="E30" s="1033"/>
      <c r="F30" s="1033"/>
      <c r="G30" s="1026"/>
      <c r="H30" s="1026"/>
      <c r="I30" s="1026"/>
      <c r="J30" s="1026"/>
      <c r="K30" s="1026"/>
      <c r="L30" s="1026"/>
      <c r="M30" s="1033"/>
      <c r="N30" s="1114"/>
    </row>
    <row r="31" spans="2:14" x14ac:dyDescent="0.2">
      <c r="B31" s="1121" t="s">
        <v>1812</v>
      </c>
      <c r="C31" s="1122"/>
      <c r="D31" s="1123"/>
      <c r="E31" s="1124"/>
      <c r="F31" s="1124"/>
      <c r="G31" s="1124"/>
      <c r="H31" s="1124"/>
      <c r="I31" s="295"/>
      <c r="J31" s="295"/>
    </row>
    <row r="32" spans="2:14" x14ac:dyDescent="0.2">
      <c r="B32" s="1053"/>
      <c r="C32" s="1125"/>
      <c r="D32" s="1126"/>
      <c r="E32" s="1054"/>
      <c r="F32" s="1054"/>
      <c r="G32" s="295"/>
      <c r="H32" s="295"/>
      <c r="I32" s="295"/>
      <c r="J32" s="295"/>
    </row>
    <row r="33" spans="2:13" ht="13.5" customHeight="1" x14ac:dyDescent="0.2">
      <c r="B33" s="1052" t="s">
        <v>1237</v>
      </c>
      <c r="G33" s="295"/>
      <c r="H33" s="295"/>
      <c r="I33" s="295"/>
      <c r="J33" s="295"/>
    </row>
    <row r="34" spans="2:13" ht="13.5" customHeight="1" x14ac:dyDescent="0.2">
      <c r="B34" s="1129"/>
      <c r="C34" s="1130"/>
      <c r="D34" s="1131"/>
      <c r="E34" s="1073"/>
      <c r="F34" s="1073"/>
      <c r="G34" s="1073"/>
      <c r="H34" s="1073"/>
      <c r="I34" s="1073"/>
      <c r="J34" s="1073"/>
      <c r="K34" s="1132"/>
      <c r="L34" s="1132"/>
      <c r="M34" s="1073"/>
    </row>
    <row r="35" spans="2:13" ht="9.6" customHeight="1" x14ac:dyDescent="0.2">
      <c r="B35" s="1133"/>
      <c r="G35" s="295"/>
      <c r="H35" s="295"/>
      <c r="I35" s="295"/>
      <c r="J35" s="295"/>
    </row>
    <row r="36" spans="2:13" ht="11.25" customHeight="1" x14ac:dyDescent="0.2">
      <c r="B36" s="1134" t="s">
        <v>1715</v>
      </c>
      <c r="C36" s="1135"/>
      <c r="D36" s="1135"/>
      <c r="E36" s="1135"/>
      <c r="F36" s="1135"/>
      <c r="G36" s="1135"/>
      <c r="H36" s="1135"/>
      <c r="I36" s="1136"/>
      <c r="J36" s="1136"/>
      <c r="K36" s="1136"/>
      <c r="L36" s="1136"/>
      <c r="M36" s="1136"/>
    </row>
    <row r="37" spans="2:13" ht="11.25" customHeight="1" x14ac:dyDescent="0.2">
      <c r="B37" s="1137" t="s">
        <v>1570</v>
      </c>
      <c r="C37" s="1136"/>
      <c r="D37" s="1136"/>
      <c r="E37" s="1136"/>
      <c r="F37" s="1136"/>
      <c r="G37" s="1136"/>
      <c r="H37" s="1136"/>
      <c r="I37" s="1136"/>
      <c r="J37" s="1136"/>
      <c r="K37" s="1136"/>
      <c r="L37" s="1136"/>
      <c r="M37" s="1136"/>
    </row>
    <row r="38" spans="2:13" ht="3.95" customHeight="1" x14ac:dyDescent="0.2">
      <c r="B38" s="1137"/>
      <c r="C38" s="1136"/>
      <c r="D38" s="1136"/>
      <c r="E38" s="1136"/>
      <c r="F38" s="1136"/>
      <c r="G38" s="1136"/>
      <c r="H38" s="1136"/>
      <c r="I38" s="1136"/>
      <c r="J38" s="1136"/>
      <c r="K38" s="1136"/>
      <c r="L38" s="1136"/>
      <c r="M38" s="1136"/>
    </row>
    <row r="39" spans="2:13" ht="11.25" customHeight="1" x14ac:dyDescent="0.2">
      <c r="B39" s="1134" t="s">
        <v>1716</v>
      </c>
      <c r="C39" s="1136"/>
      <c r="D39" s="1136"/>
      <c r="E39" s="1136"/>
      <c r="F39" s="1136"/>
      <c r="G39" s="1136"/>
      <c r="H39" s="1136"/>
      <c r="I39" s="1136"/>
      <c r="J39" s="1136"/>
      <c r="K39" s="1136"/>
      <c r="L39" s="1136"/>
      <c r="M39" s="1136"/>
    </row>
    <row r="40" spans="2:13" ht="11.25" customHeight="1" x14ac:dyDescent="0.2">
      <c r="B40" s="1076" t="s">
        <v>1571</v>
      </c>
      <c r="C40" s="1138"/>
      <c r="D40" s="1139"/>
      <c r="E40" s="1076"/>
      <c r="F40" s="1076"/>
      <c r="G40" s="1076"/>
      <c r="H40" s="1076"/>
      <c r="I40" s="1076"/>
      <c r="J40" s="1076"/>
      <c r="K40" s="1140"/>
      <c r="L40" s="1140"/>
      <c r="M40" s="1076"/>
    </row>
    <row r="41" spans="2:13" ht="3.95" customHeight="1" x14ac:dyDescent="0.2">
      <c r="B41" s="1076"/>
      <c r="C41" s="1138"/>
      <c r="D41" s="1139"/>
      <c r="E41" s="1076"/>
      <c r="F41" s="1076"/>
      <c r="G41" s="1076"/>
      <c r="H41" s="1076"/>
      <c r="I41" s="1076"/>
      <c r="J41" s="1076"/>
      <c r="K41" s="1140"/>
      <c r="L41" s="1140"/>
      <c r="M41" s="1076"/>
    </row>
    <row r="42" spans="2:13" ht="11.25" customHeight="1" x14ac:dyDescent="0.2">
      <c r="B42" s="1141" t="s">
        <v>1717</v>
      </c>
      <c r="C42" s="1138"/>
      <c r="D42" s="1139"/>
      <c r="E42" s="1076"/>
      <c r="F42" s="1076"/>
      <c r="G42" s="1076"/>
      <c r="H42" s="1076"/>
      <c r="I42" s="1076"/>
      <c r="J42" s="1076"/>
      <c r="K42" s="1140"/>
      <c r="L42" s="1140"/>
      <c r="M42" s="1076"/>
    </row>
    <row r="43" spans="2:13" ht="3.95" customHeight="1" x14ac:dyDescent="0.2">
      <c r="B43" s="1141"/>
      <c r="C43" s="1138"/>
      <c r="D43" s="1139"/>
      <c r="E43" s="1076"/>
      <c r="F43" s="1076"/>
      <c r="G43" s="1076"/>
      <c r="H43" s="1076"/>
      <c r="I43" s="1076"/>
      <c r="J43" s="1076"/>
      <c r="K43" s="1140"/>
      <c r="L43" s="1140"/>
      <c r="M43" s="1076"/>
    </row>
    <row r="44" spans="2:13" ht="11.25" customHeight="1" x14ac:dyDescent="0.2">
      <c r="B44" s="1142" t="s">
        <v>1718</v>
      </c>
      <c r="C44" s="1138"/>
      <c r="D44" s="1139"/>
      <c r="E44" s="1076"/>
      <c r="F44" s="1076"/>
      <c r="G44" s="1076"/>
      <c r="H44" s="1076"/>
      <c r="I44" s="1076"/>
      <c r="J44" s="1076"/>
      <c r="K44" s="1140"/>
      <c r="L44" s="1140"/>
      <c r="M44" s="1076"/>
    </row>
    <row r="45" spans="2:13" ht="11.25" customHeight="1" x14ac:dyDescent="0.2">
      <c r="B45" s="1076" t="s">
        <v>1572</v>
      </c>
      <c r="G45" s="295"/>
      <c r="H45" s="295"/>
      <c r="I45" s="295"/>
      <c r="J45" s="295"/>
    </row>
    <row r="46" spans="2:13" ht="11.1" customHeight="1" x14ac:dyDescent="0.2">
      <c r="B46" s="1076"/>
      <c r="G46" s="295"/>
      <c r="H46" s="295"/>
      <c r="I46" s="295"/>
      <c r="J46" s="295"/>
    </row>
    <row r="47" spans="2:13" ht="11.1" customHeight="1" x14ac:dyDescent="0.2">
      <c r="B47" s="1076"/>
      <c r="G47" s="295"/>
      <c r="H47" s="295"/>
      <c r="I47" s="295"/>
      <c r="J47" s="295"/>
    </row>
    <row r="48" spans="2:13" ht="13.5" customHeight="1" x14ac:dyDescent="0.2">
      <c r="M48" s="1143"/>
    </row>
    <row r="49" spans="7:13" ht="13.5" customHeight="1" x14ac:dyDescent="0.2">
      <c r="M49" s="1143"/>
    </row>
    <row r="50" spans="7:13" ht="13.5" customHeight="1" x14ac:dyDescent="0.2">
      <c r="M50" s="1143"/>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5" zoomScale="120" zoomScaleNormal="120" workbookViewId="0">
      <selection activeCell="A13" sqref="A13:XFD1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4" t="str">
        <f>'Single Audit Cover'!A7</f>
        <v>East Peoria CHSD 309</v>
      </c>
      <c r="B1" s="2584"/>
      <c r="C1" s="2584"/>
      <c r="D1" s="2584"/>
      <c r="E1" s="2584"/>
      <c r="F1" s="2584"/>
    </row>
    <row r="2" spans="1:7" ht="13.5" customHeight="1" x14ac:dyDescent="0.2">
      <c r="A2" s="2580">
        <f>'Single Audit Cover'!E7</f>
        <v>53090309016</v>
      </c>
      <c r="B2" s="2580"/>
      <c r="C2" s="2580"/>
      <c r="D2" s="2580"/>
      <c r="E2" s="2580"/>
      <c r="F2" s="2580"/>
      <c r="G2" s="1051"/>
    </row>
    <row r="3" spans="1:7" ht="15.75" customHeight="1" x14ac:dyDescent="0.2">
      <c r="A3" s="2585" t="s">
        <v>1262</v>
      </c>
      <c r="B3" s="2585"/>
      <c r="C3" s="2585"/>
      <c r="D3" s="2585"/>
      <c r="E3" s="2585"/>
      <c r="F3" s="2585"/>
    </row>
    <row r="4" spans="1:7" ht="13.5" customHeight="1" x14ac:dyDescent="0.2">
      <c r="A4" s="2586" t="str">
        <f>'Single Audit Cover'!A4</f>
        <v>Year Ending June 30, 2020</v>
      </c>
      <c r="B4" s="2586"/>
      <c r="C4" s="2586"/>
      <c r="D4" s="2586"/>
      <c r="E4" s="2586"/>
      <c r="F4" s="2586"/>
    </row>
    <row r="5" spans="1:7" ht="8.25" customHeight="1" x14ac:dyDescent="0.2">
      <c r="C5" s="295"/>
      <c r="D5" s="295"/>
    </row>
    <row r="6" spans="1:7" ht="13.5" customHeight="1" x14ac:dyDescent="0.2">
      <c r="A6" s="1052" t="s">
        <v>1708</v>
      </c>
      <c r="C6" s="295"/>
      <c r="D6" s="295"/>
    </row>
    <row r="7" spans="1:7" ht="60.95" customHeight="1" x14ac:dyDescent="0.2">
      <c r="A7" s="2583" t="s">
        <v>2176</v>
      </c>
      <c r="B7" s="2583"/>
      <c r="C7" s="2583"/>
      <c r="D7" s="2583"/>
      <c r="E7" s="2583"/>
      <c r="F7" s="2583"/>
    </row>
    <row r="8" spans="1:7" ht="12" customHeight="1" x14ac:dyDescent="0.2">
      <c r="A8" s="1052"/>
      <c r="B8" s="1058"/>
      <c r="C8" s="1058"/>
      <c r="D8" s="1058"/>
    </row>
    <row r="9" spans="1:7" ht="15" customHeight="1" x14ac:dyDescent="0.2">
      <c r="A9" s="1053" t="s">
        <v>1709</v>
      </c>
      <c r="B9" s="1056"/>
      <c r="C9" s="1056"/>
      <c r="D9" s="1056"/>
      <c r="E9" s="1054"/>
      <c r="F9" s="1054"/>
      <c r="G9" s="1054"/>
    </row>
    <row r="10" spans="1:7" ht="15" customHeight="1" x14ac:dyDescent="0.2">
      <c r="A10" s="1055" t="s">
        <v>1533</v>
      </c>
      <c r="B10" s="1056"/>
      <c r="C10" s="1057"/>
      <c r="D10" s="1056" t="s">
        <v>1534</v>
      </c>
      <c r="E10" s="1057" t="s">
        <v>2057</v>
      </c>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9.5" customHeight="1" x14ac:dyDescent="0.2">
      <c r="A13" s="2583" t="s">
        <v>2181</v>
      </c>
      <c r="B13" s="2583"/>
      <c r="C13" s="2583"/>
      <c r="D13" s="2583"/>
      <c r="E13" s="2583"/>
      <c r="F13" s="2583"/>
    </row>
    <row r="14" spans="1:7" ht="9.75" customHeight="1" x14ac:dyDescent="0.2">
      <c r="C14" s="1036"/>
      <c r="D14" s="1036"/>
    </row>
    <row r="15" spans="1:7" ht="13.5" customHeight="1" x14ac:dyDescent="0.2">
      <c r="C15" s="1476" t="s">
        <v>1261</v>
      </c>
      <c r="D15" s="2588" t="s">
        <v>1260</v>
      </c>
      <c r="E15" s="2588"/>
      <c r="F15" s="2588"/>
    </row>
    <row r="16" spans="1:7" ht="13.5" customHeight="1" x14ac:dyDescent="0.2">
      <c r="A16" s="1058"/>
      <c r="B16" s="1052" t="s">
        <v>1259</v>
      </c>
      <c r="C16" s="1476" t="s">
        <v>1258</v>
      </c>
      <c r="D16" s="2589" t="s">
        <v>1574</v>
      </c>
      <c r="E16" s="2589"/>
      <c r="F16" s="2589"/>
    </row>
    <row r="17" spans="1:6" ht="20.45" customHeight="1" x14ac:dyDescent="0.2">
      <c r="A17" s="1059"/>
      <c r="B17" s="1060"/>
      <c r="C17" s="1061"/>
      <c r="D17" s="2587"/>
      <c r="E17" s="2587"/>
      <c r="F17" s="2587"/>
    </row>
    <row r="18" spans="1:6" ht="20.65" customHeight="1" x14ac:dyDescent="0.2">
      <c r="A18" s="1059"/>
      <c r="B18" s="1060"/>
      <c r="C18" s="1061"/>
      <c r="D18" s="2587"/>
      <c r="E18" s="2587"/>
      <c r="F18" s="2587"/>
    </row>
    <row r="19" spans="1:6" ht="20.65" customHeight="1" x14ac:dyDescent="0.2">
      <c r="A19" s="1059"/>
      <c r="B19" s="1060"/>
      <c r="C19" s="1061"/>
      <c r="D19" s="2587"/>
      <c r="E19" s="2587"/>
      <c r="F19" s="2587"/>
    </row>
    <row r="20" spans="1:6" ht="20.65" customHeight="1" x14ac:dyDescent="0.2">
      <c r="A20" s="1059"/>
      <c r="B20" s="1060"/>
      <c r="C20" s="1061"/>
      <c r="D20" s="2587"/>
      <c r="E20" s="2587"/>
      <c r="F20" s="2587"/>
    </row>
    <row r="21" spans="1:6" ht="20.65" customHeight="1" x14ac:dyDescent="0.2">
      <c r="A21" s="1059"/>
      <c r="B21" s="1060"/>
      <c r="C21" s="1061"/>
      <c r="D21" s="2587"/>
      <c r="E21" s="2587"/>
      <c r="F21" s="2587"/>
    </row>
    <row r="22" spans="1:6" ht="20.65" customHeight="1" x14ac:dyDescent="0.2">
      <c r="A22" s="1059"/>
      <c r="B22" s="1060"/>
      <c r="C22" s="1061"/>
      <c r="D22" s="2587"/>
      <c r="E22" s="2587"/>
      <c r="F22" s="2587"/>
    </row>
    <row r="23" spans="1:6" ht="20.65" customHeight="1" x14ac:dyDescent="0.2">
      <c r="A23" s="1059"/>
      <c r="B23" s="1060"/>
      <c r="C23" s="1061"/>
      <c r="D23" s="2587"/>
      <c r="E23" s="2587"/>
      <c r="F23" s="2587"/>
    </row>
    <row r="24" spans="1:6" ht="20.65" customHeight="1" x14ac:dyDescent="0.2">
      <c r="A24" s="1059"/>
      <c r="B24" s="1060"/>
      <c r="C24" s="1061"/>
      <c r="D24" s="2587"/>
      <c r="E24" s="2587"/>
      <c r="F24" s="2587"/>
    </row>
    <row r="25" spans="1:6" ht="20.65" customHeight="1" x14ac:dyDescent="0.2">
      <c r="A25" s="1059"/>
      <c r="B25" s="1060"/>
      <c r="C25" s="1061"/>
      <c r="D25" s="2587"/>
      <c r="E25" s="2587"/>
      <c r="F25" s="2587"/>
    </row>
    <row r="26" spans="1:6" ht="20.65" customHeight="1" x14ac:dyDescent="0.2">
      <c r="A26" s="1059"/>
      <c r="B26" s="1060"/>
      <c r="C26" s="1061"/>
      <c r="D26" s="2587"/>
      <c r="E26" s="2587"/>
      <c r="F26" s="2587"/>
    </row>
    <row r="27" spans="1:6" ht="20.65" customHeight="1" x14ac:dyDescent="0.2">
      <c r="A27" s="1059"/>
      <c r="B27" s="1060"/>
      <c r="C27" s="1061"/>
      <c r="D27" s="2587"/>
      <c r="E27" s="2587"/>
      <c r="F27" s="2587"/>
    </row>
    <row r="28" spans="1:6" ht="20.65" customHeight="1" x14ac:dyDescent="0.2">
      <c r="A28" s="1059"/>
      <c r="B28" s="1060"/>
      <c r="C28" s="1061"/>
      <c r="D28" s="2587"/>
      <c r="E28" s="2587"/>
      <c r="F28" s="2587"/>
    </row>
    <row r="29" spans="1:6" ht="20.65" customHeight="1" x14ac:dyDescent="0.2">
      <c r="A29" s="1059"/>
      <c r="B29" s="1060"/>
      <c r="C29" s="1061"/>
      <c r="D29" s="2587"/>
      <c r="E29" s="2587"/>
      <c r="F29" s="2587"/>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91" t="s">
        <v>2177</v>
      </c>
      <c r="B32" s="2591"/>
      <c r="C32" s="2591"/>
      <c r="D32" s="2591"/>
      <c r="E32" s="2591"/>
      <c r="F32" s="2591"/>
    </row>
    <row r="33" spans="1:6" ht="13.5" customHeight="1" x14ac:dyDescent="0.2">
      <c r="A33" s="306" t="s">
        <v>1420</v>
      </c>
      <c r="B33" s="306"/>
      <c r="C33" s="1064">
        <f>+' SEFA'!I19</f>
        <v>30884</v>
      </c>
      <c r="D33" s="1526"/>
      <c r="E33" s="1062"/>
    </row>
    <row r="34" spans="1:6" ht="13.5" customHeight="1" x14ac:dyDescent="0.2">
      <c r="A34" s="306" t="s">
        <v>1811</v>
      </c>
      <c r="B34" s="306"/>
      <c r="C34" s="1065">
        <f>+' SEFA'!I21</f>
        <v>14092</v>
      </c>
      <c r="D34" s="1526" t="s">
        <v>1575</v>
      </c>
      <c r="E34" s="2592">
        <f>+C33+C34</f>
        <v>44976</v>
      </c>
      <c r="F34" s="2593"/>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c r="D38" s="1526"/>
      <c r="E38" s="1062"/>
    </row>
    <row r="39" spans="1:6" ht="14.25" customHeight="1" x14ac:dyDescent="0.2">
      <c r="A39" s="306"/>
      <c r="B39" s="306" t="s">
        <v>1422</v>
      </c>
      <c r="C39" s="1068"/>
      <c r="D39" s="1526"/>
      <c r="E39" s="1062"/>
    </row>
    <row r="40" spans="1:6" ht="14.25" customHeight="1" x14ac:dyDescent="0.2">
      <c r="A40" s="306"/>
      <c r="B40" s="306" t="s">
        <v>1423</v>
      </c>
      <c r="C40" s="1068"/>
      <c r="D40" s="1526"/>
      <c r="E40" s="1062"/>
    </row>
    <row r="41" spans="1:6" ht="14.25" customHeight="1" x14ac:dyDescent="0.2">
      <c r="A41" s="306"/>
      <c r="B41" s="306" t="s">
        <v>1424</v>
      </c>
      <c r="C41" s="1068"/>
      <c r="D41" s="1526"/>
      <c r="E41" s="1062"/>
    </row>
    <row r="42" spans="1:6" ht="14.25" customHeight="1" x14ac:dyDescent="0.2">
      <c r="A42" s="306" t="s">
        <v>1425</v>
      </c>
      <c r="B42" s="306"/>
      <c r="C42" s="1524"/>
      <c r="D42" s="1526"/>
      <c r="E42" s="1062"/>
    </row>
    <row r="43" spans="1:6" ht="14.25" customHeight="1" x14ac:dyDescent="0.2">
      <c r="A43" s="306" t="s">
        <v>1426</v>
      </c>
      <c r="B43" s="306"/>
      <c r="C43" s="1069" t="s">
        <v>380</v>
      </c>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4" t="s">
        <v>1576</v>
      </c>
      <c r="C49" s="2594"/>
      <c r="D49" s="2594"/>
      <c r="E49" s="1168"/>
    </row>
    <row r="50" spans="1:5" s="1076" customFormat="1" ht="3.75" customHeight="1" x14ac:dyDescent="0.2">
      <c r="A50" s="1075"/>
      <c r="B50" s="1475"/>
      <c r="C50" s="1475"/>
      <c r="D50" s="1475"/>
      <c r="E50" s="1168"/>
    </row>
    <row r="51" spans="1:5" s="1076" customFormat="1" ht="20.25" customHeight="1" x14ac:dyDescent="0.2">
      <c r="A51" s="1077">
        <v>6</v>
      </c>
      <c r="B51" s="2590" t="s">
        <v>1537</v>
      </c>
      <c r="C51" s="2590"/>
      <c r="D51" s="2590"/>
    </row>
    <row r="52" spans="1:5" ht="14.25" customHeight="1" x14ac:dyDescent="0.2">
      <c r="A52" s="1077"/>
      <c r="B52" s="2590"/>
      <c r="C52" s="2590"/>
      <c r="D52" s="259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zoomScale="110" zoomScaleNormal="110" workbookViewId="0">
      <selection activeCell="M51" sqref="M5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9" t="str">
        <f>'Single Audit Cover'!A7</f>
        <v>East Peoria CHSD 309</v>
      </c>
      <c r="C1" s="2600"/>
      <c r="D1" s="2600"/>
      <c r="E1" s="2600"/>
      <c r="F1" s="2600"/>
      <c r="G1" s="2600"/>
      <c r="H1" s="2600"/>
      <c r="I1" s="2600"/>
      <c r="J1" s="1178"/>
    </row>
    <row r="2" spans="2:10" s="295" customFormat="1" ht="12.75" customHeight="1" x14ac:dyDescent="0.2">
      <c r="B2" s="2601">
        <f>'Single Audit Cover'!E7</f>
        <v>53090309016</v>
      </c>
      <c r="C2" s="2602"/>
      <c r="D2" s="2602"/>
      <c r="E2" s="2602"/>
      <c r="F2" s="2602"/>
      <c r="G2" s="2602"/>
      <c r="H2" s="2602"/>
      <c r="I2" s="2602"/>
      <c r="J2" s="1178"/>
    </row>
    <row r="3" spans="2:10" s="295" customFormat="1" ht="12.75" customHeight="1" x14ac:dyDescent="0.2">
      <c r="B3" s="2603" t="s">
        <v>1276</v>
      </c>
      <c r="C3" s="2604"/>
      <c r="D3" s="2604"/>
      <c r="E3" s="2604"/>
      <c r="F3" s="2604"/>
      <c r="G3" s="2604"/>
      <c r="H3" s="2604"/>
      <c r="I3" s="2604"/>
      <c r="J3" s="1179"/>
    </row>
    <row r="4" spans="2:10" s="295" customFormat="1" ht="12.75" customHeight="1" x14ac:dyDescent="0.2">
      <c r="B4" s="2603" t="str">
        <f>'Single Audit Cover'!A4</f>
        <v>Year Ending June 30, 2020</v>
      </c>
      <c r="C4" s="2604"/>
      <c r="D4" s="2604"/>
      <c r="E4" s="2604"/>
      <c r="F4" s="2604"/>
      <c r="G4" s="2604"/>
      <c r="H4" s="2604"/>
      <c r="I4" s="2604"/>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3" t="s">
        <v>1275</v>
      </c>
      <c r="C7" s="2604"/>
      <c r="D7" s="2604"/>
      <c r="E7" s="2604"/>
      <c r="F7" s="2604"/>
      <c r="G7" s="2604"/>
      <c r="H7" s="2604"/>
      <c r="I7" s="2604"/>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605" t="s">
        <v>2167</v>
      </c>
      <c r="D11" s="2605"/>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t="s">
        <v>2057</v>
      </c>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t="s">
        <v>2057</v>
      </c>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t="s">
        <v>2057</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t="s">
        <v>2057</v>
      </c>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t="s">
        <v>2057</v>
      </c>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06" t="s">
        <v>2167</v>
      </c>
      <c r="E29" s="2606"/>
      <c r="F29" s="2606"/>
      <c r="G29" s="2606"/>
      <c r="H29" s="2606"/>
      <c r="I29" s="2606"/>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t="s">
        <v>2057</v>
      </c>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7" t="s">
        <v>1728</v>
      </c>
      <c r="D37" s="2608"/>
      <c r="E37" s="2608"/>
      <c r="F37" s="2609"/>
      <c r="G37" s="2607" t="s">
        <v>1578</v>
      </c>
      <c r="H37" s="2608"/>
      <c r="I37" s="2609"/>
    </row>
    <row r="38" spans="2:9" ht="16.5" customHeight="1" x14ac:dyDescent="0.2">
      <c r="B38" s="1200" t="s">
        <v>2168</v>
      </c>
      <c r="C38" s="2595" t="s">
        <v>2169</v>
      </c>
      <c r="D38" s="2596"/>
      <c r="E38" s="2596"/>
      <c r="F38" s="2597"/>
      <c r="G38" s="2610">
        <f>+' SEFA'!I23</f>
        <v>324560</v>
      </c>
      <c r="H38" s="2611"/>
      <c r="I38" s="2612"/>
    </row>
    <row r="39" spans="2:9" ht="16.5" customHeight="1" x14ac:dyDescent="0.2">
      <c r="B39" s="1200">
        <v>84.01</v>
      </c>
      <c r="C39" s="2595" t="s">
        <v>912</v>
      </c>
      <c r="D39" s="2596"/>
      <c r="E39" s="2596"/>
      <c r="F39" s="2597"/>
      <c r="G39" s="2598">
        <f>+' SEFA (2)'!I15</f>
        <v>213316</v>
      </c>
      <c r="H39" s="2598"/>
      <c r="I39" s="2598"/>
    </row>
    <row r="40" spans="2:9" ht="16.5" customHeight="1" x14ac:dyDescent="0.2">
      <c r="B40" s="1200"/>
      <c r="C40" s="2595"/>
      <c r="D40" s="2596"/>
      <c r="E40" s="2596"/>
      <c r="F40" s="2597"/>
      <c r="G40" s="2598"/>
      <c r="H40" s="2598"/>
      <c r="I40" s="2598"/>
    </row>
    <row r="41" spans="2:9" ht="16.5" customHeight="1" x14ac:dyDescent="0.2">
      <c r="B41" s="1200"/>
      <c r="C41" s="2595"/>
      <c r="D41" s="2596"/>
      <c r="E41" s="2596"/>
      <c r="F41" s="2597"/>
      <c r="G41" s="2598"/>
      <c r="H41" s="2598"/>
      <c r="I41" s="2598"/>
    </row>
    <row r="42" spans="2:9" ht="16.5" customHeight="1" x14ac:dyDescent="0.2">
      <c r="B42" s="1200"/>
      <c r="C42" s="2595"/>
      <c r="D42" s="2596"/>
      <c r="E42" s="2596"/>
      <c r="F42" s="2597"/>
      <c r="G42" s="2598"/>
      <c r="H42" s="2598"/>
      <c r="I42" s="2598"/>
    </row>
    <row r="43" spans="2:9" ht="16.5" customHeight="1" x14ac:dyDescent="0.2">
      <c r="B43" s="1200"/>
      <c r="C43" s="2613" t="s">
        <v>1579</v>
      </c>
      <c r="D43" s="2614"/>
      <c r="E43" s="2614"/>
      <c r="F43" s="2615"/>
      <c r="G43" s="2616">
        <f>SUM(G38:I42)</f>
        <v>537876</v>
      </c>
      <c r="H43" s="2616"/>
      <c r="I43" s="2616"/>
    </row>
    <row r="44" spans="2:9" ht="12.75" customHeight="1" x14ac:dyDescent="0.2"/>
    <row r="45" spans="2:9" ht="12.75" customHeight="1" x14ac:dyDescent="0.2">
      <c r="B45" s="1916" t="str">
        <f>"Total Federal Expenditures for 7/1/"&amp;MID('AFR20'!E2,3,2)-1&amp;"-6/30/"&amp;MID('AFR20'!E2,3,2)</f>
        <v>Total Federal Expenditures for 7/1/19-6/30/20</v>
      </c>
      <c r="C45" s="1917"/>
      <c r="D45" s="2617">
        <f>+' SEFA'!I27</f>
        <v>843168</v>
      </c>
      <c r="E45" s="2618"/>
    </row>
    <row r="46" spans="2:9" ht="5.25" customHeight="1" x14ac:dyDescent="0.2">
      <c r="B46" s="1201"/>
      <c r="D46" s="1202"/>
      <c r="E46" s="1203"/>
    </row>
    <row r="47" spans="2:9" ht="12.75" customHeight="1" x14ac:dyDescent="0.2">
      <c r="B47" s="1076" t="s">
        <v>1580</v>
      </c>
      <c r="C47" s="1076"/>
      <c r="D47" s="1204">
        <f>+G43/D45</f>
        <v>0.63792269156324721</v>
      </c>
      <c r="E47" s="1205"/>
      <c r="F47" s="1206"/>
      <c r="I47" s="1207"/>
    </row>
    <row r="48" spans="2:9" ht="9.9499999999999993" customHeight="1" x14ac:dyDescent="0.2"/>
    <row r="49" spans="1:9" x14ac:dyDescent="0.2">
      <c r="B49" s="1138" t="s">
        <v>1264</v>
      </c>
      <c r="C49" s="1058"/>
      <c r="D49" s="1058"/>
      <c r="E49" s="2619">
        <v>750000</v>
      </c>
      <c r="F49" s="2619"/>
      <c r="G49" s="2619"/>
      <c r="H49" s="300"/>
    </row>
    <row r="51" spans="1:9" ht="13.5" customHeight="1" x14ac:dyDescent="0.2">
      <c r="B51" s="1138" t="s">
        <v>1263</v>
      </c>
      <c r="C51" s="1058"/>
      <c r="E51" s="1194"/>
      <c r="F51" s="1076" t="s">
        <v>879</v>
      </c>
      <c r="G51" s="1194" t="s">
        <v>2057</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1583</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9" t="str">
        <f>'Single Audit Cover'!A7</f>
        <v>East Peoria CHSD 309</v>
      </c>
      <c r="C1" s="2599"/>
      <c r="D1" s="2599"/>
      <c r="E1" s="2599"/>
      <c r="F1" s="2599"/>
      <c r="G1" s="2599"/>
      <c r="H1" s="2599"/>
      <c r="I1" s="2599"/>
      <c r="J1" s="2599"/>
      <c r="K1" s="2599"/>
      <c r="L1" s="1144"/>
      <c r="M1" s="1144"/>
    </row>
    <row r="2" spans="1:13" ht="12" customHeight="1" x14ac:dyDescent="0.2">
      <c r="B2" s="2601">
        <f>'Single Audit Cover'!E7</f>
        <v>53090309016</v>
      </c>
      <c r="C2" s="2601"/>
      <c r="D2" s="2601"/>
      <c r="E2" s="2601"/>
      <c r="F2" s="2601"/>
      <c r="G2" s="2601"/>
      <c r="H2" s="2601"/>
      <c r="I2" s="2601"/>
      <c r="J2" s="2601"/>
      <c r="K2" s="2601"/>
      <c r="L2" s="1145"/>
      <c r="M2" s="1146"/>
    </row>
    <row r="3" spans="1:13" ht="10.35" customHeight="1" x14ac:dyDescent="0.2">
      <c r="B3" s="2622" t="s">
        <v>1276</v>
      </c>
      <c r="C3" s="2622"/>
      <c r="D3" s="2622"/>
      <c r="E3" s="2622"/>
      <c r="F3" s="2622"/>
      <c r="G3" s="2622"/>
      <c r="H3" s="2622"/>
      <c r="I3" s="2622"/>
      <c r="J3" s="2622"/>
      <c r="K3" s="2622"/>
      <c r="L3" s="1147"/>
      <c r="M3" s="1147"/>
    </row>
    <row r="4" spans="1:13" ht="14.25" customHeight="1" x14ac:dyDescent="0.2">
      <c r="B4" s="2623" t="str">
        <f>'Single Audit Cover'!A4</f>
        <v>Year Ending June 30, 2020</v>
      </c>
      <c r="C4" s="2623"/>
      <c r="D4" s="2623"/>
      <c r="E4" s="2623"/>
      <c r="F4" s="2623"/>
      <c r="G4" s="2623"/>
      <c r="H4" s="2623"/>
      <c r="I4" s="2623"/>
      <c r="J4" s="2623"/>
      <c r="K4" s="2623"/>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23" t="s">
        <v>1287</v>
      </c>
      <c r="C7" s="2623"/>
      <c r="D7" s="2624"/>
      <c r="E7" s="2624"/>
      <c r="F7" s="2624"/>
      <c r="G7" s="2624"/>
      <c r="H7" s="2624"/>
      <c r="I7" s="2624"/>
      <c r="J7" s="2624"/>
      <c r="K7" s="262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t="s">
        <v>2170</v>
      </c>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21"/>
      <c r="C14" s="2621"/>
      <c r="D14" s="2621"/>
      <c r="E14" s="2621"/>
      <c r="F14" s="2621"/>
      <c r="G14" s="2621"/>
      <c r="H14" s="2621"/>
      <c r="I14" s="2621"/>
      <c r="J14" s="2621"/>
      <c r="K14" s="262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21"/>
      <c r="C17" s="2621"/>
      <c r="D17" s="2621"/>
      <c r="E17" s="2621"/>
      <c r="F17" s="2621"/>
      <c r="G17" s="2621"/>
      <c r="H17" s="2621"/>
      <c r="I17" s="2621"/>
      <c r="J17" s="2621"/>
      <c r="K17" s="262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25"/>
      <c r="C20" s="2625"/>
      <c r="D20" s="2621"/>
      <c r="E20" s="2621"/>
      <c r="F20" s="2621"/>
      <c r="G20" s="2621"/>
      <c r="H20" s="2621"/>
      <c r="I20" s="2621"/>
      <c r="J20" s="2621"/>
      <c r="K20" s="2621"/>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21"/>
      <c r="C23" s="2621"/>
      <c r="D23" s="2621"/>
      <c r="E23" s="2621"/>
      <c r="F23" s="2621"/>
      <c r="G23" s="2621"/>
      <c r="H23" s="2621"/>
      <c r="I23" s="2621"/>
      <c r="J23" s="2621"/>
      <c r="K23" s="2621"/>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21"/>
      <c r="C26" s="2621"/>
      <c r="D26" s="2621"/>
      <c r="E26" s="2621"/>
      <c r="F26" s="2621"/>
      <c r="G26" s="2621"/>
      <c r="H26" s="2621"/>
      <c r="I26" s="2621"/>
      <c r="J26" s="2621"/>
      <c r="K26" s="2621"/>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20"/>
      <c r="C29" s="2620"/>
      <c r="D29" s="2621"/>
      <c r="E29" s="2621"/>
      <c r="F29" s="2621"/>
      <c r="G29" s="2621"/>
      <c r="H29" s="2621"/>
      <c r="I29" s="2621"/>
      <c r="J29" s="2621"/>
      <c r="K29" s="262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20"/>
      <c r="C32" s="2620"/>
      <c r="D32" s="2621"/>
      <c r="E32" s="2621"/>
      <c r="F32" s="2621"/>
      <c r="G32" s="2621"/>
      <c r="H32" s="2621"/>
      <c r="I32" s="2621"/>
      <c r="J32" s="2621"/>
      <c r="K32" s="262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1277</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6" t="str">
        <f>'Single Audit Cover'!A7</f>
        <v>East Peoria CHSD 309</v>
      </c>
      <c r="C1" s="2626"/>
      <c r="D1" s="2626"/>
      <c r="E1" s="2626"/>
      <c r="F1" s="2626"/>
      <c r="G1" s="2626"/>
      <c r="H1" s="2626"/>
      <c r="I1" s="2626"/>
      <c r="J1" s="2626"/>
      <c r="K1" s="2626"/>
      <c r="L1" s="1221"/>
    </row>
    <row r="2" spans="1:12" ht="12.75" customHeight="1" x14ac:dyDescent="0.2">
      <c r="B2" s="2627">
        <f>'Single Audit Cover'!E7</f>
        <v>53090309016</v>
      </c>
      <c r="C2" s="2627"/>
      <c r="D2" s="2627"/>
      <c r="E2" s="2627"/>
      <c r="F2" s="2627"/>
      <c r="G2" s="2627"/>
      <c r="H2" s="2627"/>
      <c r="I2" s="2627"/>
      <c r="J2" s="2627"/>
      <c r="K2" s="2627"/>
      <c r="L2" s="1222"/>
    </row>
    <row r="3" spans="1:12" ht="12.75" customHeight="1" x14ac:dyDescent="0.2">
      <c r="B3" s="2622" t="s">
        <v>1276</v>
      </c>
      <c r="C3" s="2622"/>
      <c r="D3" s="2622"/>
      <c r="E3" s="2622"/>
      <c r="F3" s="2622"/>
      <c r="G3" s="2622"/>
      <c r="H3" s="2622"/>
      <c r="I3" s="2622"/>
      <c r="J3" s="2622"/>
      <c r="K3" s="2622"/>
      <c r="L3" s="1147"/>
    </row>
    <row r="4" spans="1:12" ht="12.75" customHeight="1" x14ac:dyDescent="0.2">
      <c r="B4" s="2622" t="str">
        <f>'Single Audit Cover'!A4</f>
        <v>Year Ending June 30, 2020</v>
      </c>
      <c r="C4" s="2622"/>
      <c r="D4" s="2622"/>
      <c r="E4" s="2622"/>
      <c r="F4" s="2622"/>
      <c r="G4" s="2622"/>
      <c r="H4" s="2622"/>
      <c r="I4" s="2622"/>
      <c r="J4" s="2622"/>
      <c r="K4" s="2622"/>
      <c r="L4" s="1147"/>
    </row>
    <row r="5" spans="1:12" ht="5.25" customHeight="1" x14ac:dyDescent="0.2">
      <c r="B5" s="1036" t="s">
        <v>1161</v>
      </c>
      <c r="C5" s="1036"/>
      <c r="L5" s="300"/>
    </row>
    <row r="6" spans="1:12" ht="30.75" customHeight="1" x14ac:dyDescent="0.2">
      <c r="A6" s="300"/>
      <c r="B6" s="2628" t="s">
        <v>1299</v>
      </c>
      <c r="C6" s="2628"/>
      <c r="D6" s="2628"/>
      <c r="E6" s="2628"/>
      <c r="F6" s="2628"/>
      <c r="G6" s="2628"/>
      <c r="H6" s="2628"/>
      <c r="I6" s="2628"/>
      <c r="J6" s="2628"/>
      <c r="K6" s="262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8" t="str">
        <f>'AFR20'!$E$2&amp;"-"</f>
        <v>2020-</v>
      </c>
      <c r="D8" s="1223" t="s">
        <v>2170</v>
      </c>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06"/>
      <c r="G12" s="2606"/>
      <c r="H12" s="2606"/>
      <c r="I12" s="2606"/>
      <c r="J12" s="2606"/>
      <c r="K12" s="260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29"/>
      <c r="E14" s="2629"/>
      <c r="F14" s="2629"/>
      <c r="H14" s="1230" t="s">
        <v>1294</v>
      </c>
      <c r="I14" s="2630"/>
      <c r="J14" s="2630"/>
      <c r="K14" s="263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30"/>
      <c r="E16" s="2630"/>
      <c r="F16" s="2630"/>
      <c r="G16" s="2630"/>
      <c r="H16" s="2630"/>
      <c r="I16" s="2630"/>
      <c r="J16" s="2630"/>
      <c r="K16" s="2630"/>
      <c r="L16" s="300"/>
    </row>
    <row r="17" spans="2:12" ht="13.5" customHeight="1" x14ac:dyDescent="0.2">
      <c r="B17" s="1156" t="s">
        <v>1292</v>
      </c>
      <c r="C17" s="1156"/>
      <c r="D17" s="2631"/>
      <c r="E17" s="2631"/>
      <c r="F17" s="2631"/>
      <c r="G17" s="2631"/>
      <c r="H17" s="2631"/>
      <c r="I17" s="2631"/>
      <c r="J17" s="2631"/>
      <c r="K17" s="263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21"/>
      <c r="C20" s="2621"/>
      <c r="D20" s="2621"/>
      <c r="E20" s="2621"/>
      <c r="F20" s="2621"/>
      <c r="G20" s="2621"/>
      <c r="H20" s="2621"/>
      <c r="I20" s="2621"/>
      <c r="J20" s="2621"/>
      <c r="K20" s="262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21"/>
      <c r="C23" s="2621"/>
      <c r="D23" s="2621"/>
      <c r="E23" s="2621"/>
      <c r="F23" s="2621"/>
      <c r="G23" s="2621"/>
      <c r="H23" s="2621"/>
      <c r="I23" s="2621"/>
      <c r="J23" s="2621"/>
      <c r="K23" s="262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21"/>
      <c r="C26" s="2621"/>
      <c r="D26" s="2621"/>
      <c r="E26" s="2621"/>
      <c r="F26" s="2621"/>
      <c r="G26" s="2621"/>
      <c r="H26" s="2621"/>
      <c r="I26" s="2621"/>
      <c r="J26" s="2621"/>
      <c r="K26" s="262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21"/>
      <c r="C29" s="2621"/>
      <c r="D29" s="2621"/>
      <c r="E29" s="2621"/>
      <c r="F29" s="2621"/>
      <c r="G29" s="2621"/>
      <c r="H29" s="2621"/>
      <c r="I29" s="2621"/>
      <c r="J29" s="2621"/>
      <c r="K29" s="262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21"/>
      <c r="C32" s="2621"/>
      <c r="D32" s="2621"/>
      <c r="E32" s="2621"/>
      <c r="F32" s="2621"/>
      <c r="G32" s="2621"/>
      <c r="H32" s="2621"/>
      <c r="I32" s="2621"/>
      <c r="J32" s="2621"/>
      <c r="K32" s="262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21"/>
      <c r="C35" s="2621"/>
      <c r="D35" s="2621"/>
      <c r="E35" s="2621"/>
      <c r="F35" s="2621"/>
      <c r="G35" s="2621"/>
      <c r="H35" s="2621"/>
      <c r="I35" s="2621"/>
      <c r="J35" s="2621"/>
      <c r="K35" s="262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21"/>
      <c r="C38" s="2621"/>
      <c r="D38" s="2621"/>
      <c r="E38" s="2621"/>
      <c r="F38" s="2621"/>
      <c r="G38" s="2621"/>
      <c r="H38" s="2621"/>
      <c r="I38" s="2621"/>
      <c r="J38" s="2621"/>
      <c r="K38" s="262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21"/>
      <c r="C41" s="2621"/>
      <c r="D41" s="2621"/>
      <c r="E41" s="2621"/>
      <c r="F41" s="2621"/>
      <c r="G41" s="2621"/>
      <c r="H41" s="2621"/>
      <c r="I41" s="2621"/>
      <c r="J41" s="2621"/>
      <c r="K41" s="262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E73"/>
  <sheetViews>
    <sheetView showGridLines="0" zoomScale="110" zoomScaleNormal="110" workbookViewId="0">
      <selection activeCell="C9" sqref="C9"/>
    </sheetView>
  </sheetViews>
  <sheetFormatPr defaultColWidth="9.140625" defaultRowHeight="12.75" x14ac:dyDescent="0.2"/>
  <cols>
    <col min="1" max="1" width="1.5703125" style="295" customWidth="1"/>
    <col min="2" max="2" width="14.7109375" style="295" customWidth="1"/>
    <col min="3" max="3" width="56.28515625" style="295" customWidth="1"/>
    <col min="4" max="4" width="28.710937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9" t="str">
        <f>'Single Audit Cover'!A7</f>
        <v>East Peoria CHSD 309</v>
      </c>
      <c r="C1" s="2599"/>
      <c r="D1" s="2599"/>
      <c r="E1" s="1240" t="s">
        <v>2175</v>
      </c>
    </row>
    <row r="2" spans="2:5" s="1058" customFormat="1" ht="12.75" customHeight="1" x14ac:dyDescent="0.2">
      <c r="B2" s="2601">
        <f>'Single Audit Cover'!E7</f>
        <v>53090309016</v>
      </c>
      <c r="C2" s="2601"/>
      <c r="D2" s="2601"/>
      <c r="E2" s="1241"/>
    </row>
    <row r="3" spans="2:5" ht="12.75" customHeight="1" x14ac:dyDescent="0.2">
      <c r="B3" s="2622" t="s">
        <v>1743</v>
      </c>
      <c r="C3" s="2622"/>
      <c r="D3" s="2622"/>
      <c r="E3" s="1050"/>
    </row>
    <row r="4" spans="2:5" s="1058" customFormat="1" ht="12.75" customHeight="1" x14ac:dyDescent="0.2">
      <c r="B4" s="2632" t="str">
        <f>'Single Audit Cover'!A4</f>
        <v>Year Ending June 30, 2020</v>
      </c>
      <c r="C4" s="2632"/>
      <c r="D4" s="2632"/>
      <c r="E4" s="1242"/>
    </row>
    <row r="5" spans="2:5" s="1058" customFormat="1" ht="40.15" customHeight="1" x14ac:dyDescent="0.2">
      <c r="B5" s="1243" t="s">
        <v>1744</v>
      </c>
      <c r="C5" s="306"/>
      <c r="D5" s="306"/>
      <c r="E5" s="306"/>
    </row>
    <row r="6" spans="2:5" s="1058" customFormat="1" ht="13.5" customHeight="1" x14ac:dyDescent="0.2">
      <c r="B6" s="1244" t="s">
        <v>1306</v>
      </c>
      <c r="C6" s="1244" t="s">
        <v>1305</v>
      </c>
      <c r="D6" s="1244" t="s">
        <v>1745</v>
      </c>
    </row>
    <row r="7" spans="2:5" ht="13.5" customHeight="1" x14ac:dyDescent="0.2">
      <c r="B7" s="1245" t="s">
        <v>2171</v>
      </c>
      <c r="C7" s="302" t="s">
        <v>2172</v>
      </c>
      <c r="D7" s="2049" t="s">
        <v>2173</v>
      </c>
      <c r="E7" s="302"/>
    </row>
    <row r="8" spans="2:5" ht="13.5" customHeight="1" x14ac:dyDescent="0.2">
      <c r="B8" s="1245"/>
      <c r="C8" s="302"/>
      <c r="D8" s="302" t="s">
        <v>2174</v>
      </c>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1746</v>
      </c>
    </row>
    <row r="46" spans="2:5" ht="12.2" customHeight="1" x14ac:dyDescent="0.2">
      <c r="B46" s="1254" t="s">
        <v>1747</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scale="94" firstPageNumber="43"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F31" sqref="F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2" t="s">
        <v>383</v>
      </c>
      <c r="B1" s="2202"/>
      <c r="C1" s="2202"/>
      <c r="D1" s="2202"/>
      <c r="E1" s="2202"/>
      <c r="F1" s="2202"/>
      <c r="G1" s="2202"/>
      <c r="H1" s="2202"/>
      <c r="I1" s="2202"/>
      <c r="J1" s="2202"/>
      <c r="K1" s="2202"/>
      <c r="L1" s="2202"/>
      <c r="M1" s="220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461083750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1.3317000000000001E-2</v>
      </c>
      <c r="E10" s="333" t="s">
        <v>998</v>
      </c>
      <c r="F10" s="332">
        <v>3.581E-3</v>
      </c>
      <c r="G10" s="333" t="s">
        <v>998</v>
      </c>
      <c r="H10" s="332">
        <v>1.7260000000000001E-3</v>
      </c>
      <c r="I10" s="333" t="s">
        <v>999</v>
      </c>
      <c r="J10" s="1424">
        <f>ROUND(D10+F10+H10,5)</f>
        <v>1.8620000000000001E-2</v>
      </c>
      <c r="K10" s="217"/>
      <c r="L10" s="332">
        <v>4.7199999999999998E-4</v>
      </c>
      <c r="M10" s="217"/>
    </row>
    <row r="11" spans="1:14" ht="7.5" customHeight="1" x14ac:dyDescent="0.2">
      <c r="B11" s="217"/>
      <c r="C11" s="217"/>
      <c r="D11" s="2212" t="str">
        <f>IF(SUM(J10)&lt;=0.0999999,"","Enter the Tax Rates by moving the decimal two places to the left.")</f>
        <v/>
      </c>
      <c r="E11" s="2213"/>
      <c r="F11" s="2213"/>
      <c r="G11" s="2213"/>
      <c r="H11" s="2213"/>
      <c r="I11" s="2213"/>
      <c r="J11" s="221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14186035</v>
      </c>
      <c r="E16" s="1547"/>
      <c r="F16" s="1546">
        <f>SUM('Acct Summary 7-8'!C17,'Acct Summary 7-8'!D17,'Acct Summary 7-8'!F17)</f>
        <v>13167935</v>
      </c>
      <c r="G16" s="1547"/>
      <c r="H16" s="1546">
        <f>SUM(D16-F16)</f>
        <v>1018100</v>
      </c>
      <c r="I16" s="1548"/>
      <c r="J16" s="1546">
        <f>SUM('Acct Summary 7-8'!C81,'Acct Summary 7-8'!D81,'Acct Summary 7-8'!F81,'Acct Summary 7-8'!I81)</f>
        <v>6980048</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2057</v>
      </c>
      <c r="C31" s="344" t="s">
        <v>582</v>
      </c>
      <c r="D31" s="232" t="s">
        <v>1065</v>
      </c>
      <c r="E31" s="217"/>
      <c r="F31" s="217"/>
      <c r="G31" s="340"/>
      <c r="H31" s="1425">
        <f>IF(B31="X",(J7*0.069),IF(B32="X",(J7*0.138),"Enter x in a.or b."))</f>
        <v>31814778.750000004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10526480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3"/>
      <c r="C54" s="2204"/>
      <c r="D54" s="2204"/>
      <c r="E54" s="2204"/>
      <c r="F54" s="2204"/>
      <c r="G54" s="2204"/>
      <c r="H54" s="2204"/>
      <c r="I54" s="2204"/>
      <c r="J54" s="2204"/>
      <c r="K54" s="2204"/>
      <c r="L54" s="2205"/>
      <c r="M54" s="357"/>
    </row>
    <row r="55" spans="1:13" ht="12.75" customHeight="1" x14ac:dyDescent="0.2">
      <c r="B55" s="2206"/>
      <c r="C55" s="2207"/>
      <c r="D55" s="2207"/>
      <c r="E55" s="2207"/>
      <c r="F55" s="2207"/>
      <c r="G55" s="2207"/>
      <c r="H55" s="2207"/>
      <c r="I55" s="2207"/>
      <c r="J55" s="2207"/>
      <c r="K55" s="2207"/>
      <c r="L55" s="2208"/>
      <c r="M55" s="357"/>
    </row>
    <row r="56" spans="1:13" ht="12.75" customHeight="1" x14ac:dyDescent="0.2">
      <c r="B56" s="2206"/>
      <c r="C56" s="2207"/>
      <c r="D56" s="2207"/>
      <c r="E56" s="2207"/>
      <c r="F56" s="2207"/>
      <c r="G56" s="2207"/>
      <c r="H56" s="2207"/>
      <c r="I56" s="2207"/>
      <c r="J56" s="2207"/>
      <c r="K56" s="2207"/>
      <c r="L56" s="2208"/>
      <c r="M56" s="217"/>
    </row>
    <row r="57" spans="1:13" ht="12.75" customHeight="1" x14ac:dyDescent="0.2">
      <c r="B57" s="2206"/>
      <c r="C57" s="2207"/>
      <c r="D57" s="2207"/>
      <c r="E57" s="2207"/>
      <c r="F57" s="2207"/>
      <c r="G57" s="2207"/>
      <c r="H57" s="2207"/>
      <c r="I57" s="2207"/>
      <c r="J57" s="2207"/>
      <c r="K57" s="2207"/>
      <c r="L57" s="2208"/>
      <c r="M57" s="217"/>
    </row>
    <row r="58" spans="1:13" x14ac:dyDescent="0.2">
      <c r="B58" s="2209"/>
      <c r="C58" s="2210"/>
      <c r="D58" s="2210"/>
      <c r="E58" s="2210"/>
      <c r="F58" s="2210"/>
      <c r="G58" s="2210"/>
      <c r="H58" s="2210"/>
      <c r="I58" s="2210"/>
      <c r="J58" s="2210"/>
      <c r="K58" s="2210"/>
      <c r="L58" s="221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4"/>
      <c r="D61" s="221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7"/>
      <c r="B1" s="2218"/>
      <c r="C1" s="2218"/>
      <c r="D1" s="361"/>
      <c r="E1" s="361"/>
      <c r="F1" s="361"/>
      <c r="G1" s="361"/>
      <c r="H1" s="361"/>
      <c r="I1" s="361"/>
      <c r="J1" s="361"/>
      <c r="K1" s="361"/>
      <c r="L1" s="361"/>
      <c r="M1" s="361"/>
      <c r="N1" s="361"/>
      <c r="O1" s="2217"/>
      <c r="P1" s="2218"/>
      <c r="Q1" s="2218"/>
    </row>
    <row r="2" spans="1:18" ht="15" x14ac:dyDescent="0.2">
      <c r="A2" s="2221" t="s">
        <v>552</v>
      </c>
      <c r="B2" s="2221"/>
      <c r="C2" s="2221"/>
      <c r="D2" s="2221"/>
      <c r="E2" s="2221"/>
      <c r="F2" s="2221"/>
      <c r="G2" s="2221"/>
      <c r="H2" s="2221"/>
      <c r="I2" s="2221"/>
      <c r="J2" s="2221"/>
      <c r="K2" s="2221"/>
      <c r="L2" s="2221"/>
      <c r="M2" s="2221"/>
      <c r="N2" s="2221"/>
      <c r="O2" s="2221"/>
      <c r="P2" s="2221"/>
      <c r="Q2" s="2221"/>
      <c r="R2" s="2221"/>
    </row>
    <row r="3" spans="1:18" ht="12.75" x14ac:dyDescent="0.2">
      <c r="A3" s="2222" t="s">
        <v>1399</v>
      </c>
      <c r="B3" s="2222"/>
      <c r="C3" s="2222"/>
      <c r="D3" s="2222"/>
      <c r="E3" s="2222"/>
      <c r="F3" s="2222"/>
      <c r="G3" s="2222"/>
      <c r="H3" s="2222"/>
      <c r="I3" s="2222"/>
      <c r="J3" s="2222"/>
      <c r="K3" s="2222"/>
      <c r="L3" s="2222"/>
      <c r="M3" s="2222"/>
      <c r="N3" s="2222"/>
      <c r="O3" s="2222"/>
      <c r="P3" s="2222"/>
      <c r="Q3" s="2222"/>
      <c r="R3" s="2222"/>
    </row>
    <row r="4" spans="1:18" x14ac:dyDescent="0.2">
      <c r="A4" s="2223" t="s">
        <v>1540</v>
      </c>
      <c r="B4" s="2223"/>
      <c r="C4" s="2223"/>
      <c r="D4" s="2223"/>
      <c r="E4" s="2223"/>
      <c r="F4" s="2223"/>
      <c r="G4" s="2223"/>
      <c r="H4" s="2223"/>
      <c r="I4" s="2223"/>
      <c r="J4" s="2223"/>
      <c r="K4" s="2223"/>
      <c r="L4" s="2223"/>
      <c r="M4" s="2223"/>
      <c r="N4" s="2223"/>
      <c r="O4" s="2223"/>
      <c r="P4" s="2223"/>
      <c r="Q4" s="2223"/>
      <c r="R4" s="222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East Peoria CHSD 309</v>
      </c>
      <c r="E7" s="368"/>
      <c r="G7" s="247"/>
      <c r="H7" s="364"/>
      <c r="I7" s="364"/>
      <c r="J7" s="364"/>
      <c r="K7" s="364"/>
      <c r="L7" s="307"/>
      <c r="M7" s="307"/>
      <c r="N7" s="307"/>
      <c r="O7" s="307"/>
      <c r="P7" s="307"/>
    </row>
    <row r="8" spans="1:18" ht="12.75" x14ac:dyDescent="0.2">
      <c r="A8" s="307"/>
      <c r="B8" s="307"/>
      <c r="C8" s="366" t="s">
        <v>1117</v>
      </c>
      <c r="D8" s="369">
        <f>COVER!A13</f>
        <v>53090309016</v>
      </c>
      <c r="E8" s="370"/>
      <c r="G8" s="307"/>
      <c r="H8" s="307"/>
      <c r="I8" s="307"/>
      <c r="J8" s="307"/>
      <c r="K8" s="307"/>
      <c r="L8" s="307"/>
      <c r="M8" s="307"/>
      <c r="N8" s="307"/>
      <c r="O8" s="307"/>
      <c r="P8" s="307"/>
    </row>
    <row r="9" spans="1:18" ht="12.75" x14ac:dyDescent="0.2">
      <c r="A9" s="307"/>
      <c r="B9" s="307"/>
      <c r="C9" s="366" t="s">
        <v>708</v>
      </c>
      <c r="D9" s="371" t="str">
        <f>COVER!A15</f>
        <v>Tazewell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6980048</v>
      </c>
      <c r="I12" s="380"/>
      <c r="J12" s="380"/>
      <c r="K12" s="1559">
        <f>TRUNC((H12/H13*100000),5)/100000</f>
        <v>0.49203656969999998</v>
      </c>
      <c r="L12" s="381"/>
      <c r="M12" s="337" t="s">
        <v>1136</v>
      </c>
      <c r="N12" s="337"/>
      <c r="O12" s="1562">
        <v>0.35</v>
      </c>
      <c r="P12" s="213"/>
      <c r="Q12" s="213"/>
    </row>
    <row r="13" spans="1:18" s="382" customFormat="1" ht="12.75" x14ac:dyDescent="0.2">
      <c r="A13" s="213"/>
      <c r="B13" s="377"/>
      <c r="C13" s="2219" t="s">
        <v>1315</v>
      </c>
      <c r="D13" s="2220"/>
      <c r="E13" s="213"/>
      <c r="F13" s="383" t="s">
        <v>788</v>
      </c>
      <c r="G13" s="378"/>
      <c r="H13" s="1551">
        <f>SUM('Acct Summary 7-8'!C8+'Acct Summary 7-8'!D8+'Acct Summary 7-8'!F8+'Acct Summary 7-8'!I8)+H14</f>
        <v>14186035</v>
      </c>
      <c r="I13" s="380"/>
      <c r="J13" s="380"/>
      <c r="K13" s="1558"/>
      <c r="L13" s="213"/>
      <c r="M13" s="337" t="s">
        <v>1137</v>
      </c>
      <c r="N13" s="337"/>
      <c r="O13" s="1563">
        <f>(O11*O12)</f>
        <v>1.4</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13167935</v>
      </c>
      <c r="I17" s="380"/>
      <c r="J17" s="389"/>
      <c r="K17" s="1559">
        <f>TRUNC((H17/H18*100000),5)/100000</f>
        <v>0.9282322368</v>
      </c>
      <c r="L17" s="381"/>
      <c r="M17" s="390" t="s">
        <v>1163</v>
      </c>
      <c r="O17" s="1565" t="str">
        <f>IF(AND(O16="2", J20 &gt; 2),"1",IF(AND(O16 = "1", J20 &gt; 2),"2",IF(AND(O16="1", J20 &gt;1),"1","0")))</f>
        <v>0</v>
      </c>
      <c r="P17" s="213"/>
    </row>
    <row r="18" spans="1:18" s="382" customFormat="1" ht="11.25" x14ac:dyDescent="0.2">
      <c r="A18" s="213"/>
      <c r="B18" s="377"/>
      <c r="C18" s="2219" t="s">
        <v>1308</v>
      </c>
      <c r="D18" s="2220"/>
      <c r="E18" s="213"/>
      <c r="F18" s="391" t="s">
        <v>789</v>
      </c>
      <c r="G18" s="378"/>
      <c r="H18" s="1551">
        <f>SUM('Acct Summary 7-8'!C8+'Acct Summary 7-8'!D8+'Acct Summary 7-8'!F8+'Acct Summary 7-8'!I8)+H19</f>
        <v>14186035</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1137</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4</v>
      </c>
      <c r="P23" s="211"/>
      <c r="R23" s="361"/>
    </row>
    <row r="24" spans="1:18" s="382" customFormat="1" ht="11.25" x14ac:dyDescent="0.2">
      <c r="A24" s="213"/>
      <c r="B24" s="377"/>
      <c r="C24" s="2216" t="s">
        <v>1398</v>
      </c>
      <c r="D24" s="2216"/>
      <c r="E24" s="213"/>
      <c r="F24" s="213" t="s">
        <v>442</v>
      </c>
      <c r="G24" s="378"/>
      <c r="H24" s="1551">
        <f>SUM('Assets-Liab 5-6'!C4+'Assets-Liab 5-6'!D4+'Assets-Liab 5-6'!F4+'Assets-Liab 5-6'!I4+'Assets-Liab 5-6'!C5+'Assets-Liab 5-6'!D5+'Assets-Liab 5-6'!F5+'Assets-Liab 5-6'!I5)</f>
        <v>6983014</v>
      </c>
      <c r="I24" s="394"/>
      <c r="J24" s="394"/>
      <c r="K24" s="1555">
        <f>TRUNC(((H24/H25*100000)/100000),2)</f>
        <v>190.9</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36577.597220000003</v>
      </c>
      <c r="I25" s="396"/>
      <c r="J25" s="396"/>
      <c r="K25" s="1558"/>
      <c r="L25" s="213"/>
      <c r="M25" s="337" t="s">
        <v>1137</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7297572.5112500004</v>
      </c>
      <c r="I29" s="397"/>
      <c r="J29" s="397"/>
      <c r="K29" s="1558"/>
      <c r="L29" s="213"/>
      <c r="M29" s="337" t="s">
        <v>1137</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str">
        <f>IF(K32&gt;=75,"4",IF(K32&gt;=50,"3",IF(K32&gt;=25,"2",1)))</f>
        <v>3</v>
      </c>
      <c r="P31" s="211"/>
    </row>
    <row r="32" spans="1:18" s="382" customFormat="1" ht="11.25" x14ac:dyDescent="0.2">
      <c r="A32" s="213"/>
      <c r="B32" s="377"/>
      <c r="C32" s="213" t="s">
        <v>842</v>
      </c>
      <c r="D32" s="213"/>
      <c r="E32" s="213"/>
      <c r="F32" s="213"/>
      <c r="G32" s="378"/>
      <c r="H32" s="1551">
        <f>'FP Info 3'!H37</f>
        <v>10526480</v>
      </c>
      <c r="I32" s="392"/>
      <c r="J32" s="392"/>
      <c r="K32" s="1555">
        <f>TRUNC(100-((((H32/H33*100))*100)/100),2)</f>
        <v>66.91</v>
      </c>
      <c r="L32" s="381"/>
      <c r="M32" s="337" t="s">
        <v>1136</v>
      </c>
      <c r="N32" s="337"/>
      <c r="O32" s="1568">
        <v>0.1</v>
      </c>
    </row>
    <row r="33" spans="1:17" s="382" customFormat="1" ht="11.25" x14ac:dyDescent="0.2">
      <c r="A33" s="213"/>
      <c r="B33" s="377"/>
      <c r="C33" s="213" t="s">
        <v>794</v>
      </c>
      <c r="D33" s="213"/>
      <c r="E33" s="213"/>
      <c r="F33" s="213"/>
      <c r="G33" s="378"/>
      <c r="H33" s="379">
        <f>IF('FP Info 3'!H31="Enter X in a or b"," ",'FP Info 3'!H31)</f>
        <v>31814778.750000004</v>
      </c>
      <c r="I33" s="392"/>
      <c r="J33" s="392"/>
      <c r="K33" s="379"/>
      <c r="L33" s="213"/>
      <c r="M33" s="401" t="s">
        <v>1137</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pane="bottomLeft" activeCell="H39" sqref="H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4"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6" t="s">
        <v>967</v>
      </c>
      <c r="B3" s="2227"/>
      <c r="C3" s="1306"/>
      <c r="D3" s="1307"/>
      <c r="E3" s="1307"/>
      <c r="F3" s="1307"/>
      <c r="G3" s="1307"/>
      <c r="H3" s="1307"/>
      <c r="I3" s="1307"/>
      <c r="J3" s="1307"/>
      <c r="K3" s="1307"/>
      <c r="L3" s="1307"/>
      <c r="M3" s="1308"/>
      <c r="N3" s="1309"/>
    </row>
    <row r="4" spans="1:14" ht="13.5" customHeight="1" x14ac:dyDescent="0.2">
      <c r="A4" s="427" t="s">
        <v>1635</v>
      </c>
      <c r="B4" s="428"/>
      <c r="C4" s="1572">
        <v>2706125</v>
      </c>
      <c r="D4" s="1573">
        <v>1190123</v>
      </c>
      <c r="E4" s="1573">
        <v>1263823</v>
      </c>
      <c r="F4" s="1573">
        <v>1850148</v>
      </c>
      <c r="G4" s="1573">
        <v>599069</v>
      </c>
      <c r="H4" s="1573">
        <v>297778</v>
      </c>
      <c r="I4" s="1573">
        <v>662793</v>
      </c>
      <c r="J4" s="1574"/>
      <c r="K4" s="1573">
        <v>1063897</v>
      </c>
      <c r="L4" s="1573">
        <v>440258</v>
      </c>
      <c r="M4" s="1575"/>
      <c r="N4" s="1576"/>
    </row>
    <row r="5" spans="1:14" x14ac:dyDescent="0.2">
      <c r="A5" s="427" t="s">
        <v>985</v>
      </c>
      <c r="B5" s="429">
        <v>120</v>
      </c>
      <c r="C5" s="1572">
        <v>222935</v>
      </c>
      <c r="D5" s="1573">
        <v>124204</v>
      </c>
      <c r="E5" s="1573">
        <v>31231</v>
      </c>
      <c r="F5" s="1573">
        <v>221127</v>
      </c>
      <c r="G5" s="1573">
        <v>124446</v>
      </c>
      <c r="H5" s="1573"/>
      <c r="I5" s="1573">
        <v>5559</v>
      </c>
      <c r="J5" s="1574"/>
      <c r="K5" s="1577">
        <v>71629</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v>300000</v>
      </c>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2929060</v>
      </c>
      <c r="D13" s="1587">
        <f t="shared" ref="D13:L13" si="0">SUM(D4:D12)</f>
        <v>1314327</v>
      </c>
      <c r="E13" s="1587">
        <f t="shared" si="0"/>
        <v>1295054</v>
      </c>
      <c r="F13" s="1587">
        <f t="shared" si="0"/>
        <v>2071275</v>
      </c>
      <c r="G13" s="1587">
        <f t="shared" si="0"/>
        <v>723515</v>
      </c>
      <c r="H13" s="1587">
        <f t="shared" si="0"/>
        <v>297778</v>
      </c>
      <c r="I13" s="1587">
        <f t="shared" si="0"/>
        <v>968352</v>
      </c>
      <c r="J13" s="1587">
        <f t="shared" si="0"/>
        <v>0</v>
      </c>
      <c r="K13" s="1587">
        <f t="shared" si="0"/>
        <v>1135526</v>
      </c>
      <c r="L13" s="1587">
        <f t="shared" si="0"/>
        <v>440258</v>
      </c>
      <c r="M13" s="1575"/>
      <c r="N13" s="1576"/>
    </row>
    <row r="14" spans="1:14" ht="18" customHeight="1" thickTop="1" x14ac:dyDescent="0.2">
      <c r="A14" s="2228" t="s">
        <v>146</v>
      </c>
      <c r="B14" s="2229"/>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c r="N15" s="1592"/>
    </row>
    <row r="16" spans="1:14" s="433" customFormat="1" ht="12.75" customHeight="1" x14ac:dyDescent="0.2">
      <c r="A16" s="431" t="s">
        <v>1388</v>
      </c>
      <c r="B16" s="432">
        <v>220</v>
      </c>
      <c r="C16" s="1582"/>
      <c r="D16" s="1582"/>
      <c r="E16" s="1582"/>
      <c r="F16" s="1582"/>
      <c r="G16" s="1582"/>
      <c r="H16" s="1582"/>
      <c r="I16" s="1582"/>
      <c r="J16" s="1582"/>
      <c r="K16" s="1582"/>
      <c r="L16" s="1582"/>
      <c r="M16" s="1574">
        <f>+'Cap Outlay Deprec 26'!F5+'Cap Outlay Deprec 26'!F6</f>
        <v>60099</v>
      </c>
      <c r="N16" s="1592"/>
    </row>
    <row r="17" spans="1:14" s="433" customFormat="1" ht="12.75" customHeight="1" x14ac:dyDescent="0.2">
      <c r="A17" s="431" t="s">
        <v>1389</v>
      </c>
      <c r="B17" s="432">
        <v>230</v>
      </c>
      <c r="C17" s="1582"/>
      <c r="D17" s="1582"/>
      <c r="E17" s="1582"/>
      <c r="F17" s="1582"/>
      <c r="G17" s="1582"/>
      <c r="H17" s="1582"/>
      <c r="I17" s="1582"/>
      <c r="J17" s="1582"/>
      <c r="K17" s="1582"/>
      <c r="L17" s="1582"/>
      <c r="M17" s="1574">
        <f>+'Cap Outlay Deprec 26'!F8+'Cap Outlay Deprec 26'!F9</f>
        <v>32065656</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f>+'Cap Outlay Deprec 26'!F10</f>
        <v>1678543</v>
      </c>
      <c r="N18" s="1592"/>
    </row>
    <row r="19" spans="1:14" s="433" customFormat="1" ht="12.75" customHeight="1" x14ac:dyDescent="0.2">
      <c r="A19" s="431" t="s">
        <v>1391</v>
      </c>
      <c r="B19" s="432">
        <v>250</v>
      </c>
      <c r="C19" s="1582"/>
      <c r="D19" s="1582"/>
      <c r="E19" s="1582"/>
      <c r="F19" s="1582"/>
      <c r="G19" s="1582"/>
      <c r="H19" s="1582"/>
      <c r="I19" s="1582"/>
      <c r="J19" s="1582"/>
      <c r="K19" s="1582"/>
      <c r="L19" s="1582"/>
      <c r="M19" s="1574">
        <f>+'Cap Outlay Deprec 26'!F12+'Cap Outlay Deprec 26'!F13+'Cap Outlay Deprec 26'!F14</f>
        <v>3492910</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f>+'Cap Outlay Deprec 26'!F15</f>
        <v>4698683</v>
      </c>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f>+E38+E39</f>
        <v>1295054</v>
      </c>
    </row>
    <row r="22" spans="1:14" s="433" customFormat="1" ht="12.75" customHeight="1" x14ac:dyDescent="0.2">
      <c r="A22" s="431" t="s">
        <v>1394</v>
      </c>
      <c r="B22" s="432">
        <v>350</v>
      </c>
      <c r="C22" s="1582"/>
      <c r="D22" s="1582"/>
      <c r="E22" s="1582"/>
      <c r="F22" s="1582"/>
      <c r="G22" s="1582"/>
      <c r="H22" s="1582"/>
      <c r="I22" s="1582"/>
      <c r="J22" s="1582"/>
      <c r="K22" s="1582"/>
      <c r="L22" s="1582"/>
      <c r="M22" s="1593"/>
      <c r="N22" s="1607">
        <f>'Short-Term Long-Term Debt 24'!J49</f>
        <v>9231426</v>
      </c>
    </row>
    <row r="23" spans="1:14" ht="13.5" customHeight="1" thickBot="1" x14ac:dyDescent="0.25">
      <c r="A23" s="1426" t="s">
        <v>638</v>
      </c>
      <c r="B23" s="1429"/>
      <c r="C23" s="1575"/>
      <c r="D23" s="1575"/>
      <c r="E23" s="1575"/>
      <c r="F23" s="1575"/>
      <c r="G23" s="1575"/>
      <c r="H23" s="1575"/>
      <c r="I23" s="1575"/>
      <c r="J23" s="1575"/>
      <c r="K23" s="1575"/>
      <c r="L23" s="1575"/>
      <c r="M23" s="1594">
        <f>SUM(M15:M22)</f>
        <v>41995891</v>
      </c>
      <c r="N23" s="1594">
        <f>SUM(N21:N22)</f>
        <v>10526480</v>
      </c>
    </row>
    <row r="24" spans="1:14" ht="18" customHeight="1" thickTop="1" x14ac:dyDescent="0.2">
      <c r="A24" s="2230" t="s">
        <v>594</v>
      </c>
      <c r="B24" s="223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v>300000</v>
      </c>
      <c r="I25" s="1575"/>
      <c r="J25" s="1583"/>
      <c r="K25" s="1583"/>
      <c r="L25" s="1575"/>
      <c r="M25" s="1575"/>
      <c r="N25" s="1575"/>
    </row>
    <row r="26" spans="1:14" x14ac:dyDescent="0.2">
      <c r="A26" s="430" t="s">
        <v>641</v>
      </c>
      <c r="B26" s="429">
        <v>420</v>
      </c>
      <c r="C26" s="1574">
        <v>241612</v>
      </c>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v>25050</v>
      </c>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36304</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f>+L13</f>
        <v>440258</v>
      </c>
      <c r="M33" s="1575"/>
      <c r="N33" s="1576"/>
    </row>
    <row r="34" spans="1:14" ht="13.5" customHeight="1" thickBot="1" x14ac:dyDescent="0.25">
      <c r="A34" s="1427" t="s">
        <v>649</v>
      </c>
      <c r="B34" s="1428"/>
      <c r="C34" s="1600">
        <f>SUM(C25:C33)</f>
        <v>277916</v>
      </c>
      <c r="D34" s="1600">
        <f t="shared" ref="D34:K34" si="1">SUM(D25:D33)</f>
        <v>0</v>
      </c>
      <c r="E34" s="1600">
        <f t="shared" si="1"/>
        <v>0</v>
      </c>
      <c r="F34" s="1600">
        <f t="shared" si="1"/>
        <v>25050</v>
      </c>
      <c r="G34" s="1600">
        <f t="shared" si="1"/>
        <v>0</v>
      </c>
      <c r="H34" s="1600">
        <f t="shared" si="1"/>
        <v>300000</v>
      </c>
      <c r="I34" s="1600">
        <f t="shared" si="1"/>
        <v>0</v>
      </c>
      <c r="J34" s="1600">
        <f t="shared" si="1"/>
        <v>0</v>
      </c>
      <c r="K34" s="1600">
        <f t="shared" si="1"/>
        <v>0</v>
      </c>
      <c r="L34" s="1601">
        <f>SUM(L33)</f>
        <v>440258</v>
      </c>
      <c r="M34" s="1575"/>
      <c r="N34" s="1585"/>
    </row>
    <row r="35" spans="1:14" ht="18" customHeight="1" thickTop="1" x14ac:dyDescent="0.2">
      <c r="A35" s="2232" t="s">
        <v>526</v>
      </c>
      <c r="B35" s="223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10526480</v>
      </c>
    </row>
    <row r="37" spans="1:14" ht="13.5" thickBot="1" x14ac:dyDescent="0.25">
      <c r="A37" s="1426" t="s">
        <v>648</v>
      </c>
      <c r="B37" s="1429"/>
      <c r="C37" s="1582"/>
      <c r="D37" s="1582"/>
      <c r="E37" s="1582"/>
      <c r="F37" s="1582"/>
      <c r="G37" s="1582"/>
      <c r="H37" s="1582"/>
      <c r="I37" s="1582"/>
      <c r="J37" s="1582"/>
      <c r="K37" s="1582"/>
      <c r="L37" s="1585"/>
      <c r="M37" s="1575"/>
      <c r="N37" s="1594">
        <f>SUM(N36:N36)</f>
        <v>10526480</v>
      </c>
    </row>
    <row r="38" spans="1:14" s="307" customFormat="1" ht="13.5" customHeight="1" thickTop="1" x14ac:dyDescent="0.2">
      <c r="A38" s="438" t="s">
        <v>417</v>
      </c>
      <c r="B38" s="432">
        <v>714</v>
      </c>
      <c r="C38" s="1573">
        <v>676595</v>
      </c>
      <c r="D38" s="1573">
        <f>50000+796375</f>
        <v>846375</v>
      </c>
      <c r="E38" s="1573"/>
      <c r="F38" s="1573"/>
      <c r="G38" s="1573">
        <v>352790</v>
      </c>
      <c r="H38" s="1573"/>
      <c r="I38" s="1573"/>
      <c r="J38" s="1574"/>
      <c r="K38" s="1573"/>
      <c r="L38" s="1586"/>
      <c r="M38" s="1604"/>
      <c r="N38" s="1604"/>
    </row>
    <row r="39" spans="1:14" s="307" customFormat="1" ht="13.5" customHeight="1" x14ac:dyDescent="0.2">
      <c r="A39" s="438" t="s">
        <v>339</v>
      </c>
      <c r="B39" s="432">
        <v>730</v>
      </c>
      <c r="C39" s="1573">
        <f>+'Acct Summary 7-8'!C81-C38</f>
        <v>1974549</v>
      </c>
      <c r="D39" s="1573">
        <f>+'Acct Summary 7-8'!D81-D38</f>
        <v>467952</v>
      </c>
      <c r="E39" s="1573">
        <f>+'Acct Summary 7-8'!E81-E38</f>
        <v>1295054</v>
      </c>
      <c r="F39" s="1573">
        <f>+'Acct Summary 7-8'!F81-F38</f>
        <v>2046225</v>
      </c>
      <c r="G39" s="1573">
        <f>+'Acct Summary 7-8'!G81-G38</f>
        <v>370725</v>
      </c>
      <c r="H39" s="1573">
        <f>+'Acct Summary 7-8'!H81-H38</f>
        <v>-2222</v>
      </c>
      <c r="I39" s="1573">
        <f>+'Acct Summary 7-8'!I81-I38</f>
        <v>968352</v>
      </c>
      <c r="J39" s="1574">
        <f>+'Acct Summary 7-8'!J81-J38</f>
        <v>0</v>
      </c>
      <c r="K39" s="1573">
        <f>+'Acct Summary 7-8'!K81-K38</f>
        <v>1135526</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41995891</v>
      </c>
      <c r="N40" s="1604"/>
    </row>
    <row r="41" spans="1:14" ht="13.5" customHeight="1" thickBot="1" x14ac:dyDescent="0.25">
      <c r="A41" s="1426" t="s">
        <v>650</v>
      </c>
      <c r="B41" s="1405"/>
      <c r="C41" s="1594">
        <f>(SUM(C34,C37,C38,C39))</f>
        <v>2929060</v>
      </c>
      <c r="D41" s="1594">
        <f t="shared" ref="D41:L41" si="2">SUM(D34,D37,D38:D39)</f>
        <v>1314327</v>
      </c>
      <c r="E41" s="1594">
        <f t="shared" si="2"/>
        <v>1295054</v>
      </c>
      <c r="F41" s="1594">
        <f t="shared" si="2"/>
        <v>2071275</v>
      </c>
      <c r="G41" s="1594">
        <f t="shared" si="2"/>
        <v>723515</v>
      </c>
      <c r="H41" s="1594">
        <f t="shared" si="2"/>
        <v>297778</v>
      </c>
      <c r="I41" s="1594">
        <f t="shared" si="2"/>
        <v>968352</v>
      </c>
      <c r="J41" s="1594">
        <f t="shared" si="2"/>
        <v>0</v>
      </c>
      <c r="K41" s="1594">
        <f t="shared" si="2"/>
        <v>1135526</v>
      </c>
      <c r="L41" s="1594">
        <f t="shared" si="2"/>
        <v>440258</v>
      </c>
      <c r="M41" s="1594">
        <f>SUM(M40)</f>
        <v>41995891</v>
      </c>
      <c r="N41" s="1594">
        <f>SUM(N37)</f>
        <v>10526480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2" activePane="bottomLeft" state="frozen"/>
      <selection pane="bottomLeft" activeCell="C37" sqref="C3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2"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54" t="s">
        <v>1167</v>
      </c>
      <c r="B3" s="2255"/>
      <c r="C3" s="1311"/>
      <c r="D3" s="1312"/>
      <c r="E3" s="1312"/>
      <c r="F3" s="1312"/>
      <c r="G3" s="1312"/>
      <c r="H3" s="1312"/>
      <c r="I3" s="1312"/>
      <c r="J3" s="1312"/>
      <c r="K3" s="1313"/>
      <c r="L3" s="446"/>
    </row>
    <row r="4" spans="1:13" ht="15.75" customHeight="1" x14ac:dyDescent="0.2">
      <c r="A4" s="1537" t="s">
        <v>1485</v>
      </c>
      <c r="B4" s="1538">
        <v>1000</v>
      </c>
      <c r="C4" s="1606">
        <f>'Revenues 9-14'!C109</f>
        <v>8103836</v>
      </c>
      <c r="D4" s="1606">
        <f>'Revenues 9-14'!D109</f>
        <v>1944875</v>
      </c>
      <c r="E4" s="1606">
        <f>'Revenues 9-14'!E109</f>
        <v>919360</v>
      </c>
      <c r="F4" s="1606">
        <f>'Revenues 9-14'!F109</f>
        <v>783033</v>
      </c>
      <c r="G4" s="1606">
        <f>'Revenues 9-14'!G109</f>
        <v>568762</v>
      </c>
      <c r="H4" s="1606">
        <f>'Revenues 9-14'!H109</f>
        <v>35399</v>
      </c>
      <c r="I4" s="1606">
        <f>'Revenues 9-14'!I109</f>
        <v>233173</v>
      </c>
      <c r="J4" s="1606">
        <f>'Revenues 9-14'!J109</f>
        <v>0</v>
      </c>
      <c r="K4" s="1606">
        <f>'Revenues 9-14'!K109</f>
        <v>293251</v>
      </c>
      <c r="L4" s="325"/>
    </row>
    <row r="5" spans="1:13" ht="15.75" customHeight="1" x14ac:dyDescent="0.2">
      <c r="A5" s="1314" t="s">
        <v>1486</v>
      </c>
      <c r="B5" s="1315">
        <v>2000</v>
      </c>
      <c r="C5" s="1607">
        <f>'Revenues 9-14'!C114</f>
        <v>0</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1487</v>
      </c>
      <c r="B6" s="1316">
        <v>3000</v>
      </c>
      <c r="C6" s="1607">
        <f>'Revenues 9-14'!C170</f>
        <v>1630132</v>
      </c>
      <c r="D6" s="1607">
        <f>'Revenues 9-14'!D170</f>
        <v>50000</v>
      </c>
      <c r="E6" s="1607">
        <f>'Revenues 9-14'!E170</f>
        <v>0</v>
      </c>
      <c r="F6" s="1607">
        <f>'Revenues 9-14'!F170</f>
        <v>546347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1488</v>
      </c>
      <c r="B7" s="1316">
        <v>4000</v>
      </c>
      <c r="C7" s="1607">
        <f>'Revenues 9-14'!C267</f>
        <v>894639</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1164</v>
      </c>
      <c r="B8" s="1407"/>
      <c r="C8" s="1594">
        <f>SUM(C4:C7)</f>
        <v>10628607</v>
      </c>
      <c r="D8" s="1594">
        <f t="shared" ref="D8:K8" si="0">SUM(D4:D7)</f>
        <v>1994875</v>
      </c>
      <c r="E8" s="1594">
        <f t="shared" si="0"/>
        <v>919360</v>
      </c>
      <c r="F8" s="1594">
        <f t="shared" si="0"/>
        <v>1329380</v>
      </c>
      <c r="G8" s="1594">
        <f t="shared" si="0"/>
        <v>568762</v>
      </c>
      <c r="H8" s="1594">
        <f t="shared" si="0"/>
        <v>35399</v>
      </c>
      <c r="I8" s="1594">
        <f t="shared" si="0"/>
        <v>233173</v>
      </c>
      <c r="J8" s="1594">
        <f t="shared" si="0"/>
        <v>0</v>
      </c>
      <c r="K8" s="1594">
        <f t="shared" si="0"/>
        <v>293251</v>
      </c>
      <c r="L8" s="325"/>
    </row>
    <row r="9" spans="1:13" ht="15.75" thickTop="1" x14ac:dyDescent="0.2">
      <c r="A9" s="449" t="s">
        <v>1637</v>
      </c>
      <c r="B9" s="450">
        <v>3998</v>
      </c>
      <c r="C9" s="1586">
        <f>4521615+71078</f>
        <v>4592693</v>
      </c>
      <c r="D9" s="1613"/>
      <c r="E9" s="1586"/>
      <c r="F9" s="1586"/>
      <c r="G9" s="1614"/>
      <c r="H9" s="1586"/>
      <c r="I9" s="1609" t="s">
        <v>1161</v>
      </c>
      <c r="J9" s="1583"/>
      <c r="K9" s="1586"/>
      <c r="L9" s="325"/>
    </row>
    <row r="10" spans="1:13" s="452" customFormat="1" ht="13.5" thickBot="1" x14ac:dyDescent="0.25">
      <c r="A10" s="1426" t="s">
        <v>1165</v>
      </c>
      <c r="B10" s="1407"/>
      <c r="C10" s="1594">
        <f>SUM(C8:C9)</f>
        <v>15221300</v>
      </c>
      <c r="D10" s="1594">
        <f t="shared" ref="D10:K10" si="1">SUM(D8:D9)</f>
        <v>1994875</v>
      </c>
      <c r="E10" s="1594">
        <f t="shared" si="1"/>
        <v>919360</v>
      </c>
      <c r="F10" s="1594">
        <f t="shared" si="1"/>
        <v>1329380</v>
      </c>
      <c r="G10" s="1594">
        <f t="shared" si="1"/>
        <v>568762</v>
      </c>
      <c r="H10" s="1594">
        <f t="shared" si="1"/>
        <v>35399</v>
      </c>
      <c r="I10" s="1594">
        <f t="shared" si="1"/>
        <v>233173</v>
      </c>
      <c r="J10" s="1594">
        <f t="shared" si="1"/>
        <v>0</v>
      </c>
      <c r="K10" s="1594">
        <f t="shared" si="1"/>
        <v>293251</v>
      </c>
      <c r="L10" s="451"/>
    </row>
    <row r="11" spans="1:13" s="452" customFormat="1" ht="16.7" customHeight="1" thickTop="1" x14ac:dyDescent="0.2">
      <c r="A11" s="2228" t="s">
        <v>1168</v>
      </c>
      <c r="B11" s="2229"/>
      <c r="C11" s="1602"/>
      <c r="D11" s="1603"/>
      <c r="E11" s="1603"/>
      <c r="F11" s="1603"/>
      <c r="G11" s="1603"/>
      <c r="H11" s="1603"/>
      <c r="I11" s="1603"/>
      <c r="J11" s="1603"/>
      <c r="K11" s="1615"/>
      <c r="L11" s="451"/>
    </row>
    <row r="12" spans="1:13" ht="15.75" customHeight="1" x14ac:dyDescent="0.2">
      <c r="A12" s="1314" t="s">
        <v>453</v>
      </c>
      <c r="B12" s="1316">
        <v>1000</v>
      </c>
      <c r="C12" s="1606">
        <f>'Expenditures 15-22'!K33</f>
        <v>7028864</v>
      </c>
      <c r="D12" s="1616" t="s">
        <v>1161</v>
      </c>
      <c r="E12" s="1575" t="s">
        <v>1161</v>
      </c>
      <c r="F12" s="1575" t="s">
        <v>1161</v>
      </c>
      <c r="G12" s="1606">
        <f>'Expenditures 15-22'!K229</f>
        <v>136734</v>
      </c>
      <c r="H12" s="1617"/>
      <c r="I12" s="1575" t="s">
        <v>1161</v>
      </c>
      <c r="J12" s="1575" t="s">
        <v>1161</v>
      </c>
      <c r="K12" s="1617" t="s">
        <v>1161</v>
      </c>
      <c r="L12" s="325"/>
    </row>
    <row r="13" spans="1:13" ht="15.75" customHeight="1" x14ac:dyDescent="0.2">
      <c r="A13" s="1314" t="s">
        <v>454</v>
      </c>
      <c r="B13" s="1316">
        <v>2000</v>
      </c>
      <c r="C13" s="1607">
        <f>'Expenditures 15-22'!K74</f>
        <v>3247097</v>
      </c>
      <c r="D13" s="1607">
        <f>'Expenditures 15-22'!K129</f>
        <v>1488145</v>
      </c>
      <c r="E13" s="1576" t="s">
        <v>1161</v>
      </c>
      <c r="F13" s="1607">
        <f>'Expenditures 15-22'!K184</f>
        <v>914980</v>
      </c>
      <c r="G13" s="1607">
        <f>'Expenditures 15-22'!K279</f>
        <v>361791</v>
      </c>
      <c r="H13" s="1607">
        <f>'Expenditures 15-22'!K303</f>
        <v>3313921</v>
      </c>
      <c r="I13" s="1575" t="s">
        <v>1161</v>
      </c>
      <c r="J13" s="1607">
        <f>'Expenditures 15-22'!K330</f>
        <v>0</v>
      </c>
      <c r="K13" s="1618">
        <f>'Expenditures 15-22'!K352</f>
        <v>696940</v>
      </c>
      <c r="L13" s="325"/>
    </row>
    <row r="14" spans="1:13" ht="15.75" customHeight="1" x14ac:dyDescent="0.2">
      <c r="A14" s="1314" t="s">
        <v>446</v>
      </c>
      <c r="B14" s="1316">
        <v>3000</v>
      </c>
      <c r="C14" s="1607">
        <f>'Expenditures 15-22'!K75</f>
        <v>284</v>
      </c>
      <c r="D14" s="1607">
        <f>'Expenditures 15-22'!K130</f>
        <v>0</v>
      </c>
      <c r="E14" s="1616" t="s">
        <v>1161</v>
      </c>
      <c r="F14" s="1607">
        <f>'Expenditures 15-22'!K185</f>
        <v>0</v>
      </c>
      <c r="G14" s="1607">
        <f>'Expenditures 15-22'!K280</f>
        <v>0</v>
      </c>
      <c r="H14" s="1612"/>
      <c r="I14" s="1575" t="s">
        <v>1161</v>
      </c>
      <c r="J14" s="1575" t="s">
        <v>1161</v>
      </c>
      <c r="K14" s="1612" t="s">
        <v>1161</v>
      </c>
      <c r="L14" s="325"/>
    </row>
    <row r="15" spans="1:13" ht="15.75" customHeight="1" x14ac:dyDescent="0.2">
      <c r="A15" s="1314" t="s">
        <v>107</v>
      </c>
      <c r="B15" s="1316">
        <v>4000</v>
      </c>
      <c r="C15" s="1607">
        <f>'Expenditures 15-22'!K102</f>
        <v>291998</v>
      </c>
      <c r="D15" s="1607">
        <f>'Expenditures 15-22'!K139</f>
        <v>0</v>
      </c>
      <c r="E15" s="1607">
        <f>'Expenditures 15-22'!K160</f>
        <v>0</v>
      </c>
      <c r="F15" s="1607">
        <f>'Expenditures 15-22'!K196</f>
        <v>0</v>
      </c>
      <c r="G15" s="1607">
        <f>'Expenditures 15-22'!K285</f>
        <v>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892433</v>
      </c>
      <c r="F16" s="1607">
        <f>'Expenditures 15-22'!K208</f>
        <v>196567</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10568243</v>
      </c>
      <c r="D17" s="1594">
        <f t="shared" si="2"/>
        <v>1488145</v>
      </c>
      <c r="E17" s="1594">
        <f t="shared" si="2"/>
        <v>892433</v>
      </c>
      <c r="F17" s="1594">
        <f t="shared" si="2"/>
        <v>1111547</v>
      </c>
      <c r="G17" s="1594">
        <f t="shared" si="2"/>
        <v>498525</v>
      </c>
      <c r="H17" s="1594">
        <f t="shared" si="2"/>
        <v>3313921</v>
      </c>
      <c r="I17" s="1575"/>
      <c r="J17" s="1594">
        <f>SUM(J12:J16)</f>
        <v>0</v>
      </c>
      <c r="K17" s="1594">
        <f>SUM(K12:K16)</f>
        <v>696940</v>
      </c>
      <c r="L17" s="325"/>
    </row>
    <row r="18" spans="1:12" ht="15" customHeight="1" thickTop="1" x14ac:dyDescent="0.2">
      <c r="A18" s="1430" t="s">
        <v>1638</v>
      </c>
      <c r="B18" s="1431">
        <v>4180</v>
      </c>
      <c r="C18" s="1606">
        <f t="shared" ref="C18:H18" si="3">C9</f>
        <v>4592693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15160936</v>
      </c>
      <c r="D19" s="1594">
        <f t="shared" si="4"/>
        <v>1488145</v>
      </c>
      <c r="E19" s="1594">
        <f t="shared" si="4"/>
        <v>892433</v>
      </c>
      <c r="F19" s="1594">
        <f t="shared" si="4"/>
        <v>1111547</v>
      </c>
      <c r="G19" s="1594">
        <f t="shared" si="4"/>
        <v>498525</v>
      </c>
      <c r="H19" s="1594">
        <f t="shared" si="4"/>
        <v>3313921</v>
      </c>
      <c r="I19" s="1575"/>
      <c r="J19" s="1594">
        <f>SUM(J17:J18)</f>
        <v>0</v>
      </c>
      <c r="K19" s="1594">
        <f>SUM(K17:K18)</f>
        <v>696940</v>
      </c>
      <c r="L19" s="325"/>
    </row>
    <row r="20" spans="1:12" ht="16.5" thickTop="1" thickBot="1" x14ac:dyDescent="0.25">
      <c r="A20" s="2244" t="s">
        <v>1639</v>
      </c>
      <c r="B20" s="2245"/>
      <c r="C20" s="1622">
        <f>C8-C17</f>
        <v>60364</v>
      </c>
      <c r="D20" s="1622">
        <f t="shared" ref="D20:K20" si="5">D8-D17</f>
        <v>506730</v>
      </c>
      <c r="E20" s="1622">
        <f t="shared" si="5"/>
        <v>26927</v>
      </c>
      <c r="F20" s="1622">
        <f t="shared" si="5"/>
        <v>217833</v>
      </c>
      <c r="G20" s="1622">
        <f t="shared" si="5"/>
        <v>70237</v>
      </c>
      <c r="H20" s="1622">
        <f t="shared" si="5"/>
        <v>-3278522</v>
      </c>
      <c r="I20" s="1622">
        <f t="shared" si="5"/>
        <v>233173</v>
      </c>
      <c r="J20" s="1622">
        <f t="shared" si="5"/>
        <v>0</v>
      </c>
      <c r="K20" s="1622">
        <f t="shared" si="5"/>
        <v>-403689</v>
      </c>
      <c r="L20" s="325"/>
    </row>
    <row r="21" spans="1:12" ht="16.7" customHeight="1" thickTop="1" x14ac:dyDescent="0.2">
      <c r="A21" s="2256" t="s">
        <v>591</v>
      </c>
      <c r="B21" s="2257"/>
      <c r="C21" s="1602"/>
      <c r="D21" s="1603"/>
      <c r="E21" s="1603"/>
      <c r="F21" s="1603"/>
      <c r="G21" s="1603"/>
      <c r="H21" s="1603"/>
      <c r="I21" s="1603"/>
      <c r="J21" s="1603"/>
      <c r="K21" s="1615"/>
      <c r="L21" s="453"/>
    </row>
    <row r="22" spans="1:12" ht="15.75" customHeight="1" collapsed="1" x14ac:dyDescent="0.2">
      <c r="A22" s="2252" t="s">
        <v>592</v>
      </c>
      <c r="B22" s="2253"/>
      <c r="C22" s="1582"/>
      <c r="D22" s="1582"/>
      <c r="E22" s="1582"/>
      <c r="F22" s="1582"/>
      <c r="G22" s="1582"/>
      <c r="H22" s="1582"/>
      <c r="I22" s="1582"/>
      <c r="J22" s="1582"/>
      <c r="K22" s="1582"/>
      <c r="L22" s="325"/>
    </row>
    <row r="23" spans="1:12" s="433" customFormat="1" ht="15.75" customHeight="1" x14ac:dyDescent="0.2">
      <c r="A23" s="2248" t="s">
        <v>290</v>
      </c>
      <c r="B23" s="2249"/>
      <c r="C23" s="1585"/>
      <c r="D23" s="1582"/>
      <c r="E23" s="1582"/>
      <c r="F23" s="1582"/>
      <c r="G23" s="1582"/>
      <c r="H23" s="1582"/>
      <c r="I23" s="1582"/>
      <c r="J23" s="1582"/>
      <c r="K23" s="1582"/>
      <c r="L23" s="453"/>
    </row>
    <row r="24" spans="1:12" s="433" customFormat="1" ht="13.5" customHeight="1" x14ac:dyDescent="0.2">
      <c r="A24" s="1260" t="s">
        <v>1640</v>
      </c>
      <c r="B24" s="454">
        <v>7110</v>
      </c>
      <c r="C24" s="1574"/>
      <c r="D24" s="1582"/>
      <c r="E24" s="1582"/>
      <c r="F24" s="1582"/>
      <c r="G24" s="1582"/>
      <c r="H24" s="1582"/>
      <c r="I24" s="1582"/>
      <c r="J24" s="1582"/>
      <c r="K24" s="1582"/>
      <c r="L24" s="453"/>
    </row>
    <row r="25" spans="1:12" s="433" customFormat="1" ht="13.5" customHeight="1" x14ac:dyDescent="0.2">
      <c r="A25" s="1260" t="s">
        <v>1641</v>
      </c>
      <c r="B25" s="454">
        <v>7110</v>
      </c>
      <c r="C25" s="1574"/>
      <c r="D25" s="1574"/>
      <c r="E25" s="1574"/>
      <c r="F25" s="1574"/>
      <c r="G25" s="1574"/>
      <c r="H25" s="1574">
        <v>1900000</v>
      </c>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1384</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50" t="s">
        <v>974</v>
      </c>
      <c r="B32" s="225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1642</v>
      </c>
      <c r="B36" s="454">
        <v>7300</v>
      </c>
      <c r="C36" s="1574">
        <v>326</v>
      </c>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58" t="s">
        <v>371</v>
      </c>
      <c r="B44" s="2259"/>
      <c r="C44" s="1624">
        <f>SUM(C24:C43)</f>
        <v>326</v>
      </c>
      <c r="D44" s="1624">
        <f t="shared" ref="D44:K44" si="6">SUM(D24:D43)</f>
        <v>0</v>
      </c>
      <c r="E44" s="1624">
        <f t="shared" si="6"/>
        <v>0</v>
      </c>
      <c r="F44" s="1624">
        <f t="shared" si="6"/>
        <v>0</v>
      </c>
      <c r="G44" s="1624">
        <f t="shared" si="6"/>
        <v>0</v>
      </c>
      <c r="H44" s="1624">
        <f t="shared" si="6"/>
        <v>1900000</v>
      </c>
      <c r="I44" s="1624">
        <f t="shared" si="6"/>
        <v>0</v>
      </c>
      <c r="J44" s="1624">
        <f t="shared" si="6"/>
        <v>0</v>
      </c>
      <c r="K44" s="1624">
        <f t="shared" si="6"/>
        <v>0</v>
      </c>
      <c r="L44" s="453"/>
    </row>
    <row r="45" spans="1:12" ht="15.75" customHeight="1" thickTop="1" x14ac:dyDescent="0.2">
      <c r="A45" s="2252" t="s">
        <v>108</v>
      </c>
      <c r="B45" s="2253"/>
      <c r="C45" s="1625"/>
      <c r="D45" s="1625"/>
      <c r="E45" s="1625"/>
      <c r="F45" s="1625"/>
      <c r="G45" s="1625"/>
      <c r="H45" s="1625"/>
      <c r="I45" s="1625"/>
      <c r="J45" s="1625"/>
      <c r="K45" s="1625"/>
      <c r="L45" s="325"/>
    </row>
    <row r="46" spans="1:12" s="433" customFormat="1" ht="15.75" customHeight="1" x14ac:dyDescent="0.2">
      <c r="A46" s="2260" t="s">
        <v>109</v>
      </c>
      <c r="B46" s="2261"/>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7">
        <f>SUM(C24,C25:H25,J25:K25)</f>
        <v>1900000</v>
      </c>
      <c r="J47" s="1582"/>
      <c r="K47" s="1582"/>
      <c r="L47" s="456"/>
    </row>
    <row r="48" spans="1:12" s="433" customFormat="1" ht="15" x14ac:dyDescent="0.2">
      <c r="A48" s="1261" t="s">
        <v>1644</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1384</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v>24048</v>
      </c>
      <c r="D75" s="1627">
        <v>233301</v>
      </c>
      <c r="E75" s="1626"/>
      <c r="F75" s="1628"/>
      <c r="G75" s="1628"/>
      <c r="H75" s="1628"/>
      <c r="I75" s="1626"/>
      <c r="J75" s="1626"/>
      <c r="K75" s="1628"/>
      <c r="L75" s="453"/>
    </row>
    <row r="76" spans="1:12" s="433" customFormat="1" ht="14.25" thickTop="1" thickBot="1" x14ac:dyDescent="0.25">
      <c r="A76" s="2234" t="s">
        <v>437</v>
      </c>
      <c r="B76" s="2235"/>
      <c r="C76" s="1624">
        <f t="shared" ref="C76:K76" si="7">SUM(C47:C75)</f>
        <v>24048</v>
      </c>
      <c r="D76" s="1624">
        <f t="shared" si="7"/>
        <v>233301</v>
      </c>
      <c r="E76" s="1624">
        <f t="shared" si="7"/>
        <v>0</v>
      </c>
      <c r="F76" s="1624">
        <f t="shared" si="7"/>
        <v>0</v>
      </c>
      <c r="G76" s="1624">
        <f t="shared" si="7"/>
        <v>0</v>
      </c>
      <c r="H76" s="1624">
        <f t="shared" si="7"/>
        <v>0</v>
      </c>
      <c r="I76" s="1624">
        <f t="shared" si="7"/>
        <v>1900000</v>
      </c>
      <c r="J76" s="1624">
        <f t="shared" si="7"/>
        <v>0</v>
      </c>
      <c r="K76" s="1624">
        <f t="shared" si="7"/>
        <v>0</v>
      </c>
      <c r="L76" s="453"/>
    </row>
    <row r="77" spans="1:12" ht="14.25" thickTop="1" thickBot="1" x14ac:dyDescent="0.25">
      <c r="A77" s="2236" t="s">
        <v>1169</v>
      </c>
      <c r="B77" s="2237"/>
      <c r="C77" s="1624">
        <f t="shared" ref="C77:K77" si="8">C44-C76</f>
        <v>-23722</v>
      </c>
      <c r="D77" s="1624">
        <f t="shared" si="8"/>
        <v>-233301</v>
      </c>
      <c r="E77" s="1624">
        <f t="shared" si="8"/>
        <v>0</v>
      </c>
      <c r="F77" s="1624">
        <f t="shared" si="8"/>
        <v>0</v>
      </c>
      <c r="G77" s="1624">
        <f t="shared" si="8"/>
        <v>0</v>
      </c>
      <c r="H77" s="1624">
        <f t="shared" si="8"/>
        <v>1900000</v>
      </c>
      <c r="I77" s="1624">
        <f t="shared" si="8"/>
        <v>-1900000</v>
      </c>
      <c r="J77" s="1624">
        <f t="shared" si="8"/>
        <v>0</v>
      </c>
      <c r="K77" s="1624">
        <f t="shared" si="8"/>
        <v>0</v>
      </c>
      <c r="L77" s="325"/>
    </row>
    <row r="78" spans="1:12" ht="21.75" customHeight="1" thickTop="1" thickBot="1" x14ac:dyDescent="0.25">
      <c r="A78" s="2240" t="s">
        <v>593</v>
      </c>
      <c r="B78" s="2241"/>
      <c r="C78" s="1629">
        <f t="shared" ref="C78:K78" si="9">C20+C77</f>
        <v>36642</v>
      </c>
      <c r="D78" s="1629">
        <f t="shared" si="9"/>
        <v>273429</v>
      </c>
      <c r="E78" s="1629">
        <f t="shared" si="9"/>
        <v>26927</v>
      </c>
      <c r="F78" s="1629">
        <f t="shared" si="9"/>
        <v>217833</v>
      </c>
      <c r="G78" s="1629">
        <f t="shared" si="9"/>
        <v>70237</v>
      </c>
      <c r="H78" s="1629">
        <f t="shared" si="9"/>
        <v>-1378522</v>
      </c>
      <c r="I78" s="1629">
        <f t="shared" si="9"/>
        <v>-1666827</v>
      </c>
      <c r="J78" s="1629">
        <f t="shared" si="9"/>
        <v>0</v>
      </c>
      <c r="K78" s="1629">
        <f t="shared" si="9"/>
        <v>-403689</v>
      </c>
      <c r="L78" s="457"/>
    </row>
    <row r="79" spans="1:12" ht="13.5" thickTop="1" x14ac:dyDescent="0.2">
      <c r="A79" s="1844" t="str">
        <f>"Fund Balances - July 1, "&amp;'AFR20'!E2-1</f>
        <v>Fund Balances - July 1, 2019</v>
      </c>
      <c r="B79" s="458"/>
      <c r="C79" s="1583">
        <v>2614502</v>
      </c>
      <c r="D79" s="1630">
        <v>1040898</v>
      </c>
      <c r="E79" s="1630">
        <v>1268127</v>
      </c>
      <c r="F79" s="1630">
        <v>1828392</v>
      </c>
      <c r="G79" s="1630">
        <v>653278</v>
      </c>
      <c r="H79" s="1630">
        <v>1376300</v>
      </c>
      <c r="I79" s="1630">
        <v>2635179</v>
      </c>
      <c r="J79" s="1630"/>
      <c r="K79" s="1630">
        <v>1539215</v>
      </c>
      <c r="L79" s="325"/>
    </row>
    <row r="80" spans="1:12" x14ac:dyDescent="0.2">
      <c r="A80" s="2246" t="s">
        <v>1772</v>
      </c>
      <c r="B80" s="2247"/>
      <c r="C80" s="1574"/>
      <c r="D80" s="1574"/>
      <c r="E80" s="1574"/>
      <c r="F80" s="1574"/>
      <c r="G80" s="1574"/>
      <c r="H80" s="1574"/>
      <c r="I80" s="1574"/>
      <c r="J80" s="1574"/>
      <c r="K80" s="1574"/>
      <c r="L80" s="325"/>
    </row>
    <row r="81" spans="1:12" ht="13.5" thickBot="1" x14ac:dyDescent="0.25">
      <c r="A81" s="2238" t="str">
        <f>"Fund Balances - June 30, "&amp;'AFR20'!E2</f>
        <v>Fund Balances - June 30, 2020</v>
      </c>
      <c r="B81" s="2239"/>
      <c r="C81" s="1594">
        <f>(SUM(C78:C80))</f>
        <v>2651144</v>
      </c>
      <c r="D81" s="1594">
        <f>SUM(D78:D80)</f>
        <v>1314327</v>
      </c>
      <c r="E81" s="1594">
        <f t="shared" ref="E81:K81" si="10">SUM(E78:E80)</f>
        <v>1295054</v>
      </c>
      <c r="F81" s="1594">
        <f t="shared" si="10"/>
        <v>2046225</v>
      </c>
      <c r="G81" s="1594">
        <f t="shared" si="10"/>
        <v>723515</v>
      </c>
      <c r="H81" s="1594">
        <f t="shared" si="10"/>
        <v>-2222</v>
      </c>
      <c r="I81" s="1594">
        <f t="shared" si="10"/>
        <v>968352</v>
      </c>
      <c r="J81" s="1594">
        <f t="shared" si="10"/>
        <v>0</v>
      </c>
      <c r="K81" s="1594">
        <f t="shared" si="10"/>
        <v>1135526</v>
      </c>
      <c r="L81" s="325"/>
    </row>
    <row r="82" spans="1:12" ht="0.75" customHeight="1" thickTop="1" thickBot="1" x14ac:dyDescent="0.25">
      <c r="A82" s="459" t="s">
        <v>340</v>
      </c>
      <c r="B82" s="460"/>
      <c r="C82" s="461">
        <f>(C81-C79)</f>
        <v>36642</v>
      </c>
      <c r="D82" s="461">
        <f t="shared" ref="D82:K82" si="11">(D81-D79)</f>
        <v>273429</v>
      </c>
      <c r="E82" s="461">
        <f t="shared" si="11"/>
        <v>26927</v>
      </c>
      <c r="F82" s="461">
        <f t="shared" si="11"/>
        <v>217833</v>
      </c>
      <c r="G82" s="461">
        <f t="shared" si="11"/>
        <v>70237</v>
      </c>
      <c r="H82" s="461">
        <f t="shared" si="11"/>
        <v>-1378522</v>
      </c>
      <c r="I82" s="461">
        <f t="shared" si="11"/>
        <v>-1666827</v>
      </c>
      <c r="J82" s="461">
        <f t="shared" si="11"/>
        <v>0</v>
      </c>
      <c r="K82" s="461">
        <f t="shared" si="11"/>
        <v>-403689</v>
      </c>
    </row>
    <row r="83" spans="1:12" ht="14.25" hidden="1" thickTop="1" thickBot="1" x14ac:dyDescent="0.25">
      <c r="A83" s="462" t="s">
        <v>341</v>
      </c>
      <c r="B83" s="428"/>
      <c r="C83" s="463">
        <f>C82/C81</f>
        <v>1.382120322396671E-2</v>
      </c>
      <c r="D83" s="463">
        <f t="shared" ref="D83:K83" si="12">D82/D81</f>
        <v>0.20803726926404159</v>
      </c>
      <c r="E83" s="463">
        <f t="shared" si="12"/>
        <v>2.0792183183095069E-2</v>
      </c>
      <c r="F83" s="463">
        <f t="shared" si="12"/>
        <v>0.10645603489352344</v>
      </c>
      <c r="G83" s="463">
        <f t="shared" si="12"/>
        <v>9.7077462112050206E-2</v>
      </c>
      <c r="H83" s="463">
        <f t="shared" si="12"/>
        <v>620.39693969396944</v>
      </c>
      <c r="I83" s="463">
        <f t="shared" si="12"/>
        <v>-1.7213027907207297</v>
      </c>
      <c r="J83" s="463" t="e">
        <f t="shared" si="12"/>
        <v>#DIV/0!</v>
      </c>
      <c r="K83" s="463">
        <f t="shared" si="12"/>
        <v>-0.35550837233141291</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9" bottom="0.48" header="0.4"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41" activePane="bottomLeft" state="frozen"/>
      <selection pane="bottomLeft" activeCell="C146" sqref="C14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2" t="s">
        <v>1779</v>
      </c>
      <c r="B1" s="416"/>
      <c r="C1" s="417" t="s">
        <v>422</v>
      </c>
      <c r="D1" s="417" t="s">
        <v>423</v>
      </c>
      <c r="E1" s="417" t="s">
        <v>424</v>
      </c>
      <c r="F1" s="417" t="s">
        <v>425</v>
      </c>
      <c r="G1" s="417" t="s">
        <v>426</v>
      </c>
      <c r="H1" s="417" t="s">
        <v>427</v>
      </c>
      <c r="I1" s="417" t="s">
        <v>428</v>
      </c>
      <c r="J1" s="417" t="s">
        <v>429</v>
      </c>
      <c r="K1" s="417" t="s">
        <v>751</v>
      </c>
    </row>
    <row r="2" spans="1:12" ht="36" x14ac:dyDescent="0.2">
      <c r="A2" s="224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6">
        <v>5760487</v>
      </c>
      <c r="D5" s="1586">
        <v>1548760</v>
      </c>
      <c r="E5" s="1573">
        <v>486618</v>
      </c>
      <c r="F5" s="1631">
        <v>746344</v>
      </c>
      <c r="G5" s="1573">
        <v>176011</v>
      </c>
      <c r="H5" s="1573"/>
      <c r="I5" s="1573">
        <v>214154</v>
      </c>
      <c r="J5" s="1574"/>
      <c r="K5" s="1573">
        <v>281771</v>
      </c>
    </row>
    <row r="6" spans="1:12" ht="15" x14ac:dyDescent="0.2">
      <c r="A6" s="427" t="s">
        <v>1646</v>
      </c>
      <c r="B6" s="429">
        <v>1130</v>
      </c>
      <c r="C6" s="1573"/>
      <c r="D6" s="1573">
        <v>280399</v>
      </c>
      <c r="E6" s="1580"/>
      <c r="F6" s="1580"/>
      <c r="G6" s="1575"/>
      <c r="H6" s="1575"/>
      <c r="I6" s="1575"/>
      <c r="J6" s="1575"/>
      <c r="K6" s="1575"/>
    </row>
    <row r="7" spans="1:12" x14ac:dyDescent="0.2">
      <c r="A7" s="427" t="s">
        <v>110</v>
      </c>
      <c r="B7" s="471">
        <v>1140</v>
      </c>
      <c r="C7" s="1573">
        <v>114063</v>
      </c>
      <c r="D7" s="1573"/>
      <c r="E7" s="1575"/>
      <c r="F7" s="1574"/>
      <c r="G7" s="1574"/>
      <c r="H7" s="1574"/>
      <c r="I7" s="1575"/>
      <c r="J7" s="1575"/>
      <c r="K7" s="1575"/>
    </row>
    <row r="8" spans="1:12" x14ac:dyDescent="0.2">
      <c r="A8" s="427" t="s">
        <v>410</v>
      </c>
      <c r="B8" s="429">
        <v>1150</v>
      </c>
      <c r="C8" s="1580"/>
      <c r="D8" s="1580"/>
      <c r="E8" s="1582"/>
      <c r="F8" s="1582"/>
      <c r="G8" s="1586">
        <v>334959</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5874550</v>
      </c>
      <c r="D12" s="1633">
        <f t="shared" si="0"/>
        <v>1829159</v>
      </c>
      <c r="E12" s="1633">
        <f t="shared" si="0"/>
        <v>486618</v>
      </c>
      <c r="F12" s="1633">
        <f t="shared" si="0"/>
        <v>746344</v>
      </c>
      <c r="G12" s="1633">
        <f t="shared" si="0"/>
        <v>510970</v>
      </c>
      <c r="H12" s="1633">
        <f t="shared" si="0"/>
        <v>0</v>
      </c>
      <c r="I12" s="1633">
        <f t="shared" si="0"/>
        <v>214154</v>
      </c>
      <c r="J12" s="1633">
        <f t="shared" si="0"/>
        <v>0</v>
      </c>
      <c r="K12" s="1594">
        <f t="shared" si="0"/>
        <v>281771</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1647</v>
      </c>
      <c r="B16" s="471">
        <v>1230</v>
      </c>
      <c r="C16" s="1632">
        <v>1604145</v>
      </c>
      <c r="D16" s="1573"/>
      <c r="E16" s="1573"/>
      <c r="F16" s="1573"/>
      <c r="G16" s="1573">
        <v>50000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1604145</v>
      </c>
      <c r="D18" s="1635">
        <f t="shared" ref="D18:K18" si="1">SUM(D14:D17)</f>
        <v>0</v>
      </c>
      <c r="E18" s="1635">
        <f t="shared" si="1"/>
        <v>0</v>
      </c>
      <c r="F18" s="1635">
        <f t="shared" si="1"/>
        <v>0</v>
      </c>
      <c r="G18" s="1635">
        <f t="shared" si="1"/>
        <v>50000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1067</v>
      </c>
      <c r="B22" s="429">
        <v>1313</v>
      </c>
      <c r="C22" s="1632"/>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v>1723</v>
      </c>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1723</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43865</v>
      </c>
      <c r="D65" s="1573">
        <v>14902</v>
      </c>
      <c r="E65" s="1573">
        <v>12490</v>
      </c>
      <c r="F65" s="1574">
        <v>18096</v>
      </c>
      <c r="G65" s="1573">
        <v>7792</v>
      </c>
      <c r="H65" s="1573">
        <v>5399</v>
      </c>
      <c r="I65" s="1573">
        <v>19019</v>
      </c>
      <c r="J65" s="1574"/>
      <c r="K65" s="1573">
        <v>11480</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43865</v>
      </c>
      <c r="D67" s="1594">
        <f t="shared" ref="D67:K67" si="2">SUM(D65:D66)</f>
        <v>14902</v>
      </c>
      <c r="E67" s="1594">
        <f t="shared" si="2"/>
        <v>12490</v>
      </c>
      <c r="F67" s="1594">
        <f t="shared" si="2"/>
        <v>18096</v>
      </c>
      <c r="G67" s="1594">
        <f t="shared" si="2"/>
        <v>7792</v>
      </c>
      <c r="H67" s="1594">
        <f t="shared" si="2"/>
        <v>5399</v>
      </c>
      <c r="I67" s="1594">
        <f t="shared" si="2"/>
        <v>19019</v>
      </c>
      <c r="J67" s="1594">
        <f t="shared" si="2"/>
        <v>0</v>
      </c>
      <c r="K67" s="1594">
        <f t="shared" si="2"/>
        <v>11480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101120</v>
      </c>
      <c r="D69" s="1575"/>
      <c r="E69" s="1575"/>
      <c r="F69" s="1575"/>
      <c r="G69" s="1575"/>
      <c r="H69" s="1575"/>
      <c r="I69" s="1575"/>
      <c r="J69" s="1575"/>
      <c r="K69" s="1575"/>
    </row>
    <row r="70" spans="1:11" ht="12.75" customHeight="1" x14ac:dyDescent="0.2">
      <c r="A70" s="427" t="s">
        <v>990</v>
      </c>
      <c r="B70" s="429">
        <v>1612</v>
      </c>
      <c r="C70" s="1632">
        <v>4470</v>
      </c>
      <c r="D70" s="1575"/>
      <c r="E70" s="1575"/>
      <c r="F70" s="1575"/>
      <c r="G70" s="1575"/>
      <c r="H70" s="1575"/>
      <c r="I70" s="1575"/>
      <c r="J70" s="1575"/>
      <c r="K70" s="1575"/>
    </row>
    <row r="71" spans="1:11" ht="12.75" customHeight="1" x14ac:dyDescent="0.2">
      <c r="A71" s="427" t="s">
        <v>271</v>
      </c>
      <c r="B71" s="429">
        <v>1613</v>
      </c>
      <c r="C71" s="1632">
        <v>121123</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2683</v>
      </c>
      <c r="D73" s="1575"/>
      <c r="E73" s="1575"/>
      <c r="F73" s="1575"/>
      <c r="G73" s="1575"/>
      <c r="H73" s="1575"/>
      <c r="I73" s="1575"/>
      <c r="J73" s="1575"/>
      <c r="K73" s="1575"/>
    </row>
    <row r="74" spans="1:11" ht="12.75" customHeight="1" x14ac:dyDescent="0.2">
      <c r="A74" s="427" t="s">
        <v>25</v>
      </c>
      <c r="B74" s="429">
        <v>1690</v>
      </c>
      <c r="C74" s="1632">
        <v>15521</v>
      </c>
      <c r="D74" s="1575"/>
      <c r="E74" s="1575"/>
      <c r="F74" s="1575"/>
      <c r="G74" s="1575"/>
      <c r="H74" s="1575"/>
      <c r="I74" s="1575"/>
      <c r="J74" s="1575"/>
      <c r="K74" s="1575"/>
    </row>
    <row r="75" spans="1:11" ht="12.75" customHeight="1" thickBot="1" x14ac:dyDescent="0.25">
      <c r="A75" s="1406" t="s">
        <v>544</v>
      </c>
      <c r="B75" s="1407"/>
      <c r="C75" s="1594">
        <f>SUM(C69:C74)</f>
        <v>244917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35393</v>
      </c>
      <c r="D77" s="1573"/>
      <c r="E77" s="1575"/>
      <c r="F77" s="1575"/>
      <c r="G77" s="1575"/>
      <c r="H77" s="1575"/>
      <c r="I77" s="1575"/>
      <c r="J77" s="1575"/>
      <c r="K77" s="1575"/>
    </row>
    <row r="78" spans="1:11" ht="12.75" customHeight="1" x14ac:dyDescent="0.2">
      <c r="A78" s="427" t="s">
        <v>76</v>
      </c>
      <c r="B78" s="429">
        <v>1719</v>
      </c>
      <c r="C78" s="1632">
        <v>2870</v>
      </c>
      <c r="D78" s="1573"/>
      <c r="E78" s="1575"/>
      <c r="F78" s="1575"/>
      <c r="G78" s="1575"/>
      <c r="H78" s="1575"/>
      <c r="I78" s="1575"/>
      <c r="J78" s="1575"/>
      <c r="K78" s="1575"/>
    </row>
    <row r="79" spans="1:11" ht="12.75" customHeight="1" x14ac:dyDescent="0.2">
      <c r="A79" s="427" t="s">
        <v>546</v>
      </c>
      <c r="B79" s="429">
        <v>1720</v>
      </c>
      <c r="C79" s="1632">
        <v>317</v>
      </c>
      <c r="D79" s="1573"/>
      <c r="E79" s="1575"/>
      <c r="F79" s="1575"/>
      <c r="G79" s="1575"/>
      <c r="H79" s="1575"/>
      <c r="I79" s="1575"/>
      <c r="J79" s="1575"/>
      <c r="K79" s="1575"/>
    </row>
    <row r="80" spans="1:11" ht="12.75" customHeight="1" x14ac:dyDescent="0.2">
      <c r="A80" s="427" t="s">
        <v>547</v>
      </c>
      <c r="B80" s="429">
        <v>1730</v>
      </c>
      <c r="C80" s="1632">
        <v>1391</v>
      </c>
      <c r="D80" s="1573"/>
      <c r="E80" s="1575"/>
      <c r="F80" s="1575"/>
      <c r="G80" s="1575"/>
      <c r="H80" s="1575"/>
      <c r="I80" s="1575"/>
      <c r="J80" s="1575"/>
      <c r="K80" s="1575"/>
    </row>
    <row r="81" spans="1:11" ht="12.75" customHeight="1" x14ac:dyDescent="0.2">
      <c r="A81" s="427" t="s">
        <v>26</v>
      </c>
      <c r="B81" s="429">
        <v>1790</v>
      </c>
      <c r="C81" s="1632">
        <v>35177</v>
      </c>
      <c r="D81" s="1573"/>
      <c r="E81" s="1575"/>
      <c r="F81" s="1575"/>
      <c r="G81" s="1575"/>
      <c r="H81" s="1575"/>
      <c r="I81" s="1575"/>
      <c r="J81" s="1575"/>
      <c r="K81" s="1575"/>
    </row>
    <row r="82" spans="1:11" ht="12.75" customHeight="1" thickBot="1" x14ac:dyDescent="0.25">
      <c r="A82" s="1406" t="s">
        <v>239</v>
      </c>
      <c r="B82" s="1407"/>
      <c r="C82" s="1633">
        <f>SUM(C77:C81)</f>
        <v>75148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98342</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v>140</v>
      </c>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98482</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c r="D95" s="1632">
        <v>6290</v>
      </c>
      <c r="E95" s="1617"/>
      <c r="F95" s="1617"/>
      <c r="G95" s="1617"/>
      <c r="H95" s="1617"/>
      <c r="I95" s="1617"/>
      <c r="J95" s="1617"/>
      <c r="K95" s="1617"/>
    </row>
    <row r="96" spans="1:11" ht="12.75" customHeight="1" x14ac:dyDescent="0.2">
      <c r="A96" s="427" t="s">
        <v>388</v>
      </c>
      <c r="B96" s="429">
        <v>1920</v>
      </c>
      <c r="C96" s="1632">
        <v>622</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v>87255</v>
      </c>
      <c r="D98" s="1573"/>
      <c r="E98" s="1612"/>
      <c r="F98" s="1573"/>
      <c r="G98" s="1612"/>
      <c r="H98" s="1612"/>
      <c r="I98" s="1610"/>
      <c r="J98" s="1612"/>
      <c r="K98" s="1612"/>
    </row>
    <row r="99" spans="1:12" ht="12.75" customHeight="1" x14ac:dyDescent="0.2">
      <c r="A99" s="427" t="s">
        <v>816</v>
      </c>
      <c r="B99" s="429">
        <v>1950</v>
      </c>
      <c r="C99" s="1598">
        <v>12860</v>
      </c>
      <c r="D99" s="1573"/>
      <c r="E99" s="1573"/>
      <c r="F99" s="1573"/>
      <c r="G99" s="1573"/>
      <c r="H99" s="1573"/>
      <c r="I99" s="1575"/>
      <c r="J99" s="1574"/>
      <c r="K99" s="1573"/>
    </row>
    <row r="100" spans="1:12" ht="12.75" customHeight="1" x14ac:dyDescent="0.2">
      <c r="A100" s="427" t="s">
        <v>243</v>
      </c>
      <c r="B100" s="429">
        <v>1960</v>
      </c>
      <c r="C100" s="1598"/>
      <c r="D100" s="1598">
        <v>36695</v>
      </c>
      <c r="E100" s="1598"/>
      <c r="F100" s="1598"/>
      <c r="G100" s="1598"/>
      <c r="H100" s="1598"/>
      <c r="I100" s="1574"/>
      <c r="J100" s="1598"/>
      <c r="K100" s="1574"/>
    </row>
    <row r="101" spans="1:12" ht="12.75" customHeight="1" x14ac:dyDescent="0.2">
      <c r="A101" s="427" t="s">
        <v>244</v>
      </c>
      <c r="B101" s="429">
        <v>1970</v>
      </c>
      <c r="C101" s="1598">
        <v>2850</v>
      </c>
      <c r="D101" s="1623"/>
      <c r="E101" s="1585"/>
      <c r="F101" s="1623"/>
      <c r="G101" s="1580"/>
      <c r="H101" s="1623"/>
      <c r="I101" s="1575"/>
      <c r="J101" s="1580"/>
      <c r="K101" s="1580"/>
    </row>
    <row r="102" spans="1:12" ht="12.75" customHeight="1" x14ac:dyDescent="0.2">
      <c r="A102" s="427" t="s">
        <v>245</v>
      </c>
      <c r="B102" s="429">
        <v>1980</v>
      </c>
      <c r="C102" s="1598">
        <v>9857</v>
      </c>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v>20940</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1416</v>
      </c>
      <c r="B106" s="429">
        <v>1993</v>
      </c>
      <c r="C106" s="1573"/>
      <c r="D106" s="1598">
        <v>5499</v>
      </c>
      <c r="E106" s="1574"/>
      <c r="F106" s="1574"/>
      <c r="G106" s="1574"/>
      <c r="H106" s="1574"/>
      <c r="I106" s="1617"/>
      <c r="J106" s="1574"/>
      <c r="K106" s="1574"/>
    </row>
    <row r="107" spans="1:12" ht="12.75" customHeight="1" x14ac:dyDescent="0.2">
      <c r="A107" s="427" t="s">
        <v>78</v>
      </c>
      <c r="B107" s="429">
        <v>1999</v>
      </c>
      <c r="C107" s="1632">
        <v>26622</v>
      </c>
      <c r="D107" s="1573">
        <v>52330</v>
      </c>
      <c r="E107" s="1573">
        <v>420252</v>
      </c>
      <c r="F107" s="1573">
        <v>18593</v>
      </c>
      <c r="G107" s="1573"/>
      <c r="H107" s="1573">
        <v>30000</v>
      </c>
      <c r="I107" s="1573"/>
      <c r="J107" s="1574"/>
      <c r="K107" s="1573"/>
    </row>
    <row r="108" spans="1:12" ht="12.75" customHeight="1" thickBot="1" x14ac:dyDescent="0.25">
      <c r="A108" s="1406" t="s">
        <v>484</v>
      </c>
      <c r="B108" s="1408"/>
      <c r="C108" s="1633">
        <f>SUM(C95:C107)</f>
        <v>161006</v>
      </c>
      <c r="D108" s="1633">
        <f t="shared" ref="D108:K108" si="3">SUM(D95:D107)</f>
        <v>100814</v>
      </c>
      <c r="E108" s="1633">
        <f t="shared" si="3"/>
        <v>420252</v>
      </c>
      <c r="F108" s="1633">
        <f t="shared" si="3"/>
        <v>18593</v>
      </c>
      <c r="G108" s="1633">
        <f t="shared" si="3"/>
        <v>0</v>
      </c>
      <c r="H108" s="1633">
        <f t="shared" si="3"/>
        <v>30000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8103836</v>
      </c>
      <c r="D109" s="1641">
        <f t="shared" si="4"/>
        <v>1944875</v>
      </c>
      <c r="E109" s="1641">
        <f t="shared" si="4"/>
        <v>919360</v>
      </c>
      <c r="F109" s="1641">
        <f t="shared" si="4"/>
        <v>783033</v>
      </c>
      <c r="G109" s="1641">
        <f t="shared" si="4"/>
        <v>568762</v>
      </c>
      <c r="H109" s="1641">
        <f t="shared" si="4"/>
        <v>35399</v>
      </c>
      <c r="I109" s="1641">
        <f t="shared" si="4"/>
        <v>233173</v>
      </c>
      <c r="J109" s="1641">
        <f t="shared" si="4"/>
        <v>0</v>
      </c>
      <c r="K109" s="1629">
        <f t="shared" si="4"/>
        <v>293251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1477</v>
      </c>
      <c r="B116" s="1334"/>
      <c r="C116" s="1643"/>
      <c r="D116" s="1617"/>
      <c r="E116" s="1640"/>
      <c r="F116" s="1617"/>
      <c r="G116" s="1617"/>
      <c r="H116" s="1640"/>
      <c r="I116" s="1575"/>
      <c r="J116" s="1617"/>
      <c r="K116" s="1617"/>
    </row>
    <row r="117" spans="1:11" ht="12.75" customHeight="1" x14ac:dyDescent="0.2">
      <c r="A117" s="427" t="s">
        <v>1651</v>
      </c>
      <c r="B117" s="478">
        <v>3001</v>
      </c>
      <c r="C117" s="1613">
        <v>1423568</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1423568</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1476</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59900</v>
      </c>
      <c r="D125" s="1640"/>
      <c r="E125" s="1575"/>
      <c r="F125" s="1631"/>
      <c r="G125" s="1575"/>
      <c r="H125" s="1575"/>
      <c r="I125" s="1575"/>
      <c r="J125" s="1575"/>
      <c r="K125" s="1575"/>
    </row>
    <row r="126" spans="1:11" ht="12.75" customHeight="1" x14ac:dyDescent="0.2">
      <c r="A126" s="427" t="s">
        <v>1432</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50317</v>
      </c>
      <c r="D128" s="1640"/>
      <c r="E128" s="1575"/>
      <c r="F128" s="1573"/>
      <c r="G128" s="1575"/>
      <c r="H128" s="1575"/>
      <c r="I128" s="1575"/>
      <c r="J128" s="1575"/>
      <c r="K128" s="1575"/>
    </row>
    <row r="129" spans="1:11" ht="12.75" customHeight="1" x14ac:dyDescent="0.2">
      <c r="A129" s="427" t="s">
        <v>1433</v>
      </c>
      <c r="B129" s="478">
        <v>3130</v>
      </c>
      <c r="C129" s="1573">
        <v>1641</v>
      </c>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111858</v>
      </c>
      <c r="D132" s="1633">
        <f>SUM(D125:D131)</f>
        <v>0</v>
      </c>
      <c r="E132" s="1576" t="s">
        <v>1161</v>
      </c>
      <c r="F132" s="1633">
        <f>SUM(F125:F131)</f>
        <v>0</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39415</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25564</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64979</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v>2701</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27026</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1434</v>
      </c>
      <c r="B152" s="478">
        <v>3500</v>
      </c>
      <c r="C152" s="1632"/>
      <c r="D152" s="1573"/>
      <c r="E152" s="1640"/>
      <c r="F152" s="1573">
        <v>179048</v>
      </c>
      <c r="G152" s="1574"/>
      <c r="H152" s="1575"/>
      <c r="I152" s="1575"/>
      <c r="J152" s="1575"/>
      <c r="K152" s="1575"/>
    </row>
    <row r="153" spans="1:11" ht="12.75" customHeight="1" x14ac:dyDescent="0.2">
      <c r="A153" s="427" t="s">
        <v>1050</v>
      </c>
      <c r="B153" s="478">
        <v>3510</v>
      </c>
      <c r="C153" s="1632"/>
      <c r="D153" s="1573"/>
      <c r="E153" s="1640"/>
      <c r="F153" s="1573">
        <v>367299</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546347</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1044</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1435</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62" t="s">
        <v>395</v>
      </c>
      <c r="B169" s="2263"/>
      <c r="C169" s="1658">
        <f t="shared" ref="C169:K169" si="6">SUM(C132,C141,C145,C146:C150,C155,C156:C167,C168)</f>
        <v>206564</v>
      </c>
      <c r="D169" s="1658">
        <f t="shared" si="6"/>
        <v>50000</v>
      </c>
      <c r="E169" s="1658">
        <f t="shared" si="6"/>
        <v>0</v>
      </c>
      <c r="F169" s="1658">
        <f t="shared" si="6"/>
        <v>546347</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1630132</v>
      </c>
      <c r="D170" s="1641">
        <f t="shared" si="7"/>
        <v>50000</v>
      </c>
      <c r="E170" s="1641">
        <f t="shared" si="7"/>
        <v>0</v>
      </c>
      <c r="F170" s="1641">
        <f t="shared" si="7"/>
        <v>546347</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64" t="s">
        <v>1478</v>
      </c>
      <c r="B172" s="2265"/>
      <c r="C172" s="1616"/>
      <c r="D172" s="1616"/>
      <c r="E172" s="1609"/>
      <c r="F172" s="1575"/>
      <c r="G172" s="1575"/>
      <c r="H172" s="1575"/>
      <c r="I172" s="1575"/>
      <c r="J172" s="1575"/>
      <c r="K172" s="1575"/>
    </row>
    <row r="173" spans="1:11" ht="12.6" customHeight="1" x14ac:dyDescent="0.2">
      <c r="A173" s="436" t="s">
        <v>1037</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8" t="s">
        <v>1649</v>
      </c>
      <c r="B175" s="226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72" t="s">
        <v>1648</v>
      </c>
      <c r="B176" s="2273"/>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70" t="s">
        <v>780</v>
      </c>
      <c r="B181" s="227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6" t="s">
        <v>1780</v>
      </c>
      <c r="B182" s="2267"/>
      <c r="C182" s="1663"/>
      <c r="D182" s="1645"/>
      <c r="E182" s="1609"/>
      <c r="F182" s="1645"/>
      <c r="G182" s="1645"/>
      <c r="H182" s="1575"/>
      <c r="I182" s="1575"/>
      <c r="J182" s="1575"/>
      <c r="K182" s="1575"/>
    </row>
    <row r="183" spans="1:11" ht="15.75" customHeight="1" x14ac:dyDescent="0.2">
      <c r="A183" s="1341" t="s">
        <v>1588</v>
      </c>
      <c r="B183" s="1342"/>
      <c r="C183" s="1643"/>
      <c r="D183" s="1617"/>
      <c r="E183" s="1609"/>
      <c r="F183" s="1617"/>
      <c r="G183" s="1617"/>
      <c r="H183" s="1575"/>
      <c r="I183" s="1575"/>
      <c r="J183" s="1575"/>
      <c r="K183" s="1575"/>
    </row>
    <row r="184" spans="1:11" ht="12.75" customHeight="1" x14ac:dyDescent="0.2">
      <c r="A184" s="427" t="s">
        <v>1589</v>
      </c>
      <c r="B184" s="429">
        <v>4100</v>
      </c>
      <c r="C184" s="1613"/>
      <c r="D184" s="1586"/>
      <c r="E184" s="1640"/>
      <c r="F184" s="1586"/>
      <c r="G184" s="1586"/>
      <c r="H184" s="1575"/>
      <c r="I184" s="1575"/>
      <c r="J184" s="1575"/>
      <c r="K184" s="1575"/>
    </row>
    <row r="185" spans="1:11" ht="12.75" customHeight="1" x14ac:dyDescent="0.2">
      <c r="A185" s="427" t="s">
        <v>1590</v>
      </c>
      <c r="B185" s="429">
        <v>4105</v>
      </c>
      <c r="C185" s="1632"/>
      <c r="D185" s="1573"/>
      <c r="E185" s="1640"/>
      <c r="F185" s="1573"/>
      <c r="G185" s="1573"/>
      <c r="H185" s="1575"/>
      <c r="I185" s="1575"/>
      <c r="J185" s="1575"/>
      <c r="K185" s="1575"/>
    </row>
    <row r="186" spans="1:11" ht="12.75" customHeight="1" x14ac:dyDescent="0.2">
      <c r="A186" s="427" t="s">
        <v>1592</v>
      </c>
      <c r="B186" s="429">
        <v>4107</v>
      </c>
      <c r="C186" s="1632"/>
      <c r="D186" s="1573"/>
      <c r="E186" s="1640"/>
      <c r="F186" s="1573"/>
      <c r="G186" s="1573"/>
      <c r="H186" s="1575"/>
      <c r="I186" s="1575"/>
      <c r="J186" s="1575"/>
      <c r="K186" s="1575"/>
    </row>
    <row r="187" spans="1:11" ht="12.75" customHeight="1" x14ac:dyDescent="0.2">
      <c r="A187" s="427" t="s">
        <v>1591</v>
      </c>
      <c r="B187" s="429">
        <v>4199</v>
      </c>
      <c r="C187" s="1632"/>
      <c r="D187" s="1573"/>
      <c r="E187" s="1640"/>
      <c r="F187" s="1573"/>
      <c r="G187" s="1573"/>
      <c r="H187" s="1575"/>
      <c r="I187" s="1575"/>
      <c r="J187" s="1575"/>
      <c r="K187" s="1575"/>
    </row>
    <row r="188" spans="1:11" ht="12.75" customHeight="1" thickBot="1" x14ac:dyDescent="0.25">
      <c r="A188" s="1406" t="s">
        <v>1593</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1436</v>
      </c>
      <c r="B190" s="429">
        <v>4200</v>
      </c>
      <c r="C190" s="1574"/>
      <c r="D190" s="1575"/>
      <c r="E190" s="1640"/>
      <c r="F190" s="1634"/>
      <c r="G190" s="1664"/>
      <c r="H190" s="1575"/>
      <c r="I190" s="1575"/>
      <c r="J190" s="1575"/>
      <c r="K190" s="1575"/>
    </row>
    <row r="191" spans="1:11" ht="12.75" customHeight="1" x14ac:dyDescent="0.2">
      <c r="A191" s="427" t="s">
        <v>1051</v>
      </c>
      <c r="B191" s="429">
        <v>4210</v>
      </c>
      <c r="C191" s="1573">
        <v>160510</v>
      </c>
      <c r="D191" s="1575"/>
      <c r="E191" s="1640"/>
      <c r="F191" s="1575"/>
      <c r="G191" s="1664"/>
      <c r="H191" s="1575"/>
      <c r="I191" s="1575"/>
      <c r="J191" s="1575"/>
      <c r="K191" s="1575"/>
    </row>
    <row r="192" spans="1:11" ht="12.75" customHeight="1" x14ac:dyDescent="0.2">
      <c r="A192" s="427" t="s">
        <v>1040</v>
      </c>
      <c r="B192" s="429">
        <v>4215</v>
      </c>
      <c r="C192" s="1632"/>
      <c r="D192" s="1575"/>
      <c r="E192" s="1640"/>
      <c r="F192" s="1575"/>
      <c r="G192" s="1664"/>
      <c r="H192" s="1575"/>
      <c r="I192" s="1575"/>
      <c r="J192" s="1575"/>
      <c r="K192" s="1575"/>
    </row>
    <row r="193" spans="1:11" ht="12.75" customHeight="1" x14ac:dyDescent="0.2">
      <c r="A193" s="427" t="s">
        <v>1052</v>
      </c>
      <c r="B193" s="429">
        <v>4220</v>
      </c>
      <c r="C193" s="1632">
        <v>28655</v>
      </c>
      <c r="D193" s="1575"/>
      <c r="E193" s="1640"/>
      <c r="F193" s="1575"/>
      <c r="G193" s="1664"/>
      <c r="H193" s="1575"/>
      <c r="I193" s="1575"/>
      <c r="J193" s="1575"/>
      <c r="K193" s="1575"/>
    </row>
    <row r="194" spans="1:11" ht="12.75" customHeight="1" x14ac:dyDescent="0.2">
      <c r="A194" s="427" t="s">
        <v>1437</v>
      </c>
      <c r="B194" s="429">
        <v>4225</v>
      </c>
      <c r="C194" s="1632">
        <v>90419</v>
      </c>
      <c r="D194" s="1575"/>
      <c r="E194" s="1640"/>
      <c r="F194" s="1575"/>
      <c r="G194" s="1664"/>
      <c r="H194" s="1575"/>
      <c r="I194" s="1575"/>
      <c r="J194" s="1575"/>
      <c r="K194" s="1575"/>
    </row>
    <row r="195" spans="1:11" ht="12.75" customHeight="1" x14ac:dyDescent="0.2">
      <c r="A195" s="427" t="s">
        <v>1438</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279584</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v>308103</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308103</v>
      </c>
      <c r="D204" s="1633">
        <f>SUM(D200:D203)</f>
        <v>0</v>
      </c>
      <c r="E204" s="1575"/>
      <c r="F204" s="1633">
        <f>SUM(F200:F203)</f>
        <v>0</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1439</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1161</v>
      </c>
      <c r="F209" s="1633">
        <f>SUM(F206:F208)</f>
        <v>0</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1440</v>
      </c>
      <c r="B213" s="475">
        <v>4620</v>
      </c>
      <c r="C213" s="1632">
        <v>109435</v>
      </c>
      <c r="D213" s="1573"/>
      <c r="E213" s="1575"/>
      <c r="F213" s="1573"/>
      <c r="G213" s="1573"/>
      <c r="H213" s="1575"/>
      <c r="I213" s="1575"/>
      <c r="J213" s="1575"/>
      <c r="K213" s="1575"/>
    </row>
    <row r="214" spans="1:11" ht="12.75" customHeight="1" x14ac:dyDescent="0.2">
      <c r="A214" s="427" t="s">
        <v>1047</v>
      </c>
      <c r="B214" s="429">
        <v>4625</v>
      </c>
      <c r="C214" s="1632">
        <v>144489</v>
      </c>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253924</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1441</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1407</v>
      </c>
      <c r="B253" s="487">
        <v>4901</v>
      </c>
      <c r="C253" s="1666"/>
      <c r="D253" s="1576"/>
      <c r="E253" s="1575"/>
      <c r="F253" s="1575"/>
      <c r="G253" s="1575"/>
      <c r="H253" s="1575"/>
      <c r="I253" s="1575"/>
      <c r="J253" s="1575"/>
      <c r="K253" s="1575"/>
    </row>
    <row r="254" spans="1:11" ht="12.75" customHeight="1" thickTop="1" thickBot="1" x14ac:dyDescent="0.25">
      <c r="A254" s="1273" t="s">
        <v>1449</v>
      </c>
      <c r="B254" s="488">
        <v>4902</v>
      </c>
      <c r="C254" s="1667"/>
      <c r="D254" s="1668"/>
      <c r="E254" s="1576"/>
      <c r="F254" s="1668"/>
      <c r="G254" s="1668"/>
      <c r="H254" s="1576"/>
      <c r="I254" s="1575"/>
      <c r="J254" s="1576"/>
      <c r="K254" s="1576"/>
    </row>
    <row r="255" spans="1:11" ht="12.75" customHeight="1" thickTop="1" thickBot="1" x14ac:dyDescent="0.25">
      <c r="A255" s="427" t="s">
        <v>1442</v>
      </c>
      <c r="B255" s="429">
        <v>4905</v>
      </c>
      <c r="C255" s="1649"/>
      <c r="D255" s="1575"/>
      <c r="E255" s="1575"/>
      <c r="F255" s="1653"/>
      <c r="G255" s="1649"/>
      <c r="H255" s="1575"/>
      <c r="I255" s="1575"/>
      <c r="J255" s="1575"/>
      <c r="K255" s="1575"/>
    </row>
    <row r="256" spans="1:11" ht="12.75" customHeight="1" thickTop="1" thickBot="1" x14ac:dyDescent="0.25">
      <c r="A256" s="427" t="s">
        <v>1443</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v>6523</v>
      </c>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13999</v>
      </c>
      <c r="D263" s="1651"/>
      <c r="E263" s="1575"/>
      <c r="F263" s="1651"/>
      <c r="G263" s="1651"/>
      <c r="H263" s="1575"/>
      <c r="I263" s="1575"/>
      <c r="J263" s="1575"/>
      <c r="K263" s="1575"/>
    </row>
    <row r="264" spans="1:11" ht="12.75" customHeight="1" thickTop="1" thickBot="1" x14ac:dyDescent="0.25">
      <c r="A264" s="427" t="s">
        <v>374</v>
      </c>
      <c r="B264" s="429">
        <v>4992</v>
      </c>
      <c r="C264" s="1650">
        <v>32506</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1650</v>
      </c>
      <c r="B266" s="1419"/>
      <c r="C266" s="1641">
        <f t="shared" ref="C266:H266" si="10">SUM(C188,C198,C204,C209,C217,C221,C222,C252:C265)</f>
        <v>894639</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894639</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10628607</v>
      </c>
      <c r="D268" s="1641">
        <f t="shared" si="12"/>
        <v>1994875</v>
      </c>
      <c r="E268" s="1641">
        <f t="shared" si="12"/>
        <v>919360</v>
      </c>
      <c r="F268" s="1641">
        <f t="shared" si="12"/>
        <v>1329380</v>
      </c>
      <c r="G268" s="1641">
        <f t="shared" si="12"/>
        <v>568762</v>
      </c>
      <c r="H268" s="1641">
        <f t="shared" si="12"/>
        <v>35399</v>
      </c>
      <c r="I268" s="1641">
        <f t="shared" si="12"/>
        <v>233173</v>
      </c>
      <c r="J268" s="1641">
        <f t="shared" si="12"/>
        <v>0</v>
      </c>
      <c r="K268" s="1629">
        <f t="shared" si="12"/>
        <v>293251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8" bottom="0.46" header="0.5"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64" activePane="bottomLeft" state="frozen"/>
      <selection pane="bottomLeft" activeCell="H170" sqref="H1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2"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76"/>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82" t="s">
        <v>294</v>
      </c>
      <c r="B3" s="228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2695160</v>
      </c>
      <c r="D5" s="1573">
        <v>721579</v>
      </c>
      <c r="E5" s="1573">
        <v>152009</v>
      </c>
      <c r="F5" s="1573">
        <v>122254</v>
      </c>
      <c r="G5" s="1573">
        <v>13654</v>
      </c>
      <c r="H5" s="1573"/>
      <c r="I5" s="1574"/>
      <c r="J5" s="1574"/>
      <c r="K5" s="1672">
        <f>SUM(C5:J5)</f>
        <v>3704656</v>
      </c>
      <c r="L5" s="1573">
        <v>3750550</v>
      </c>
    </row>
    <row r="6" spans="1:14" x14ac:dyDescent="0.2">
      <c r="A6" s="1274" t="s">
        <v>1419</v>
      </c>
      <c r="B6" s="503" t="s">
        <v>1417</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1362688</v>
      </c>
      <c r="D8" s="1573">
        <v>224740</v>
      </c>
      <c r="E8" s="1573">
        <v>11209</v>
      </c>
      <c r="F8" s="1573">
        <v>12323</v>
      </c>
      <c r="G8" s="1573"/>
      <c r="H8" s="1573"/>
      <c r="I8" s="1574"/>
      <c r="J8" s="1574"/>
      <c r="K8" s="1672">
        <f t="shared" si="0"/>
        <v>1610960</v>
      </c>
      <c r="L8" s="1573">
        <v>1693313</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1850</v>
      </c>
      <c r="D10" s="1573">
        <v>197</v>
      </c>
      <c r="E10" s="1573"/>
      <c r="F10" s="1573"/>
      <c r="G10" s="1573"/>
      <c r="H10" s="1573"/>
      <c r="I10" s="1574"/>
      <c r="J10" s="1574"/>
      <c r="K10" s="1672">
        <f t="shared" si="0"/>
        <v>2047</v>
      </c>
      <c r="L10" s="1573">
        <v>5568</v>
      </c>
    </row>
    <row r="11" spans="1:14" x14ac:dyDescent="0.2">
      <c r="A11" s="1274" t="s">
        <v>1122</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424476</v>
      </c>
      <c r="D13" s="1573">
        <v>90611</v>
      </c>
      <c r="E13" s="1573">
        <v>87</v>
      </c>
      <c r="F13" s="1573">
        <v>27104</v>
      </c>
      <c r="G13" s="1573"/>
      <c r="H13" s="1573"/>
      <c r="I13" s="1574"/>
      <c r="J13" s="1574"/>
      <c r="K13" s="1672">
        <f t="shared" si="0"/>
        <v>542278</v>
      </c>
      <c r="L13" s="1573">
        <v>621947</v>
      </c>
    </row>
    <row r="14" spans="1:14" x14ac:dyDescent="0.2">
      <c r="A14" s="1274" t="s">
        <v>957</v>
      </c>
      <c r="B14" s="503">
        <v>1500</v>
      </c>
      <c r="C14" s="1573">
        <v>472471</v>
      </c>
      <c r="D14" s="1573">
        <v>162</v>
      </c>
      <c r="E14" s="1573">
        <v>33417</v>
      </c>
      <c r="F14" s="1573">
        <v>156706</v>
      </c>
      <c r="G14" s="1573"/>
      <c r="H14" s="1573"/>
      <c r="I14" s="1574"/>
      <c r="J14" s="1574"/>
      <c r="K14" s="1672">
        <f t="shared" si="0"/>
        <v>662756</v>
      </c>
      <c r="L14" s="1573">
        <v>842079</v>
      </c>
    </row>
    <row r="15" spans="1:14" x14ac:dyDescent="0.2">
      <c r="A15" s="1274" t="s">
        <v>958</v>
      </c>
      <c r="B15" s="503">
        <v>1600</v>
      </c>
      <c r="C15" s="1573">
        <v>1857</v>
      </c>
      <c r="D15" s="1573"/>
      <c r="E15" s="1573"/>
      <c r="F15" s="1573"/>
      <c r="G15" s="1573"/>
      <c r="H15" s="1573"/>
      <c r="I15" s="1574"/>
      <c r="J15" s="1574"/>
      <c r="K15" s="1672">
        <f t="shared" si="0"/>
        <v>1857</v>
      </c>
      <c r="L15" s="1573">
        <v>2800</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62613</v>
      </c>
      <c r="D17" s="1574">
        <v>15858</v>
      </c>
      <c r="E17" s="1574">
        <v>10440</v>
      </c>
      <c r="F17" s="1574">
        <v>1133</v>
      </c>
      <c r="G17" s="1574"/>
      <c r="H17" s="1574"/>
      <c r="I17" s="1574"/>
      <c r="J17" s="1574"/>
      <c r="K17" s="1672">
        <f t="shared" si="0"/>
        <v>90044</v>
      </c>
      <c r="L17" s="1573">
        <v>106484</v>
      </c>
    </row>
    <row r="18" spans="1:12" x14ac:dyDescent="0.2">
      <c r="A18" s="1274" t="s">
        <v>1080</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414266</v>
      </c>
      <c r="I22" s="1673"/>
      <c r="J22" s="1582"/>
      <c r="K22" s="1672">
        <f t="shared" si="0"/>
        <v>414266</v>
      </c>
      <c r="L22" s="1577">
        <v>520000</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1121</v>
      </c>
      <c r="B32" s="503" t="s">
        <v>732</v>
      </c>
      <c r="C32" s="1582"/>
      <c r="D32" s="1582"/>
      <c r="E32" s="1582"/>
      <c r="F32" s="1582"/>
      <c r="G32" s="1582"/>
      <c r="H32" s="1579"/>
      <c r="I32" s="1673"/>
      <c r="J32" s="1585"/>
      <c r="K32" s="1672">
        <f t="shared" si="0"/>
        <v>0</v>
      </c>
      <c r="L32" s="1577"/>
    </row>
    <row r="33" spans="1:14" ht="12.75" customHeight="1" thickBot="1" x14ac:dyDescent="0.25">
      <c r="A33" s="1380" t="s">
        <v>1652</v>
      </c>
      <c r="B33" s="1381" t="s">
        <v>566</v>
      </c>
      <c r="C33" s="1674">
        <f>SUM(C5:C32)</f>
        <v>5021115</v>
      </c>
      <c r="D33" s="1674">
        <f t="shared" ref="D33:L33" si="1">SUM(D5:D32)</f>
        <v>1053147</v>
      </c>
      <c r="E33" s="1674">
        <f t="shared" si="1"/>
        <v>207162</v>
      </c>
      <c r="F33" s="1674">
        <f t="shared" si="1"/>
        <v>319520</v>
      </c>
      <c r="G33" s="1674">
        <f t="shared" si="1"/>
        <v>13654</v>
      </c>
      <c r="H33" s="1674">
        <f t="shared" si="1"/>
        <v>414266</v>
      </c>
      <c r="I33" s="1674">
        <f t="shared" si="1"/>
        <v>0</v>
      </c>
      <c r="J33" s="1674">
        <f t="shared" si="1"/>
        <v>0</v>
      </c>
      <c r="K33" s="1674">
        <f t="shared" si="1"/>
        <v>7028864</v>
      </c>
      <c r="L33" s="1674">
        <f t="shared" si="1"/>
        <v>7542741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v>399426</v>
      </c>
      <c r="D36" s="1586">
        <v>65592</v>
      </c>
      <c r="E36" s="1586">
        <v>140988</v>
      </c>
      <c r="F36" s="1586">
        <v>5677</v>
      </c>
      <c r="G36" s="1586"/>
      <c r="H36" s="1586">
        <v>299</v>
      </c>
      <c r="I36" s="1574"/>
      <c r="J36" s="1574"/>
      <c r="K36" s="1672">
        <f t="shared" ref="K36:K41" si="2">SUM(C36:J36)</f>
        <v>611982</v>
      </c>
      <c r="L36" s="1573">
        <v>639782</v>
      </c>
    </row>
    <row r="37" spans="1:14" x14ac:dyDescent="0.2">
      <c r="A37" s="1274" t="s">
        <v>1083</v>
      </c>
      <c r="B37" s="503">
        <v>2120</v>
      </c>
      <c r="C37" s="1573">
        <v>382028</v>
      </c>
      <c r="D37" s="1573">
        <v>69615</v>
      </c>
      <c r="E37" s="1573">
        <v>2321</v>
      </c>
      <c r="F37" s="1573">
        <v>12817</v>
      </c>
      <c r="G37" s="1573"/>
      <c r="H37" s="1573"/>
      <c r="I37" s="1574"/>
      <c r="J37" s="1574"/>
      <c r="K37" s="1672">
        <f t="shared" si="2"/>
        <v>466781</v>
      </c>
      <c r="L37" s="1573">
        <v>471631</v>
      </c>
    </row>
    <row r="38" spans="1:14" x14ac:dyDescent="0.2">
      <c r="A38" s="1274" t="s">
        <v>196</v>
      </c>
      <c r="B38" s="503">
        <v>2130</v>
      </c>
      <c r="C38" s="1573">
        <v>123277</v>
      </c>
      <c r="D38" s="1573">
        <v>15858</v>
      </c>
      <c r="E38" s="1573">
        <v>735</v>
      </c>
      <c r="F38" s="1573">
        <v>1172</v>
      </c>
      <c r="G38" s="1573"/>
      <c r="H38" s="1573"/>
      <c r="I38" s="1574"/>
      <c r="J38" s="1574"/>
      <c r="K38" s="1672">
        <f t="shared" si="2"/>
        <v>141042</v>
      </c>
      <c r="L38" s="1573">
        <v>142266</v>
      </c>
    </row>
    <row r="39" spans="1:14" x14ac:dyDescent="0.2">
      <c r="A39" s="1274" t="s">
        <v>197</v>
      </c>
      <c r="B39" s="503">
        <v>2140</v>
      </c>
      <c r="C39" s="1573"/>
      <c r="D39" s="1573"/>
      <c r="E39" s="1573"/>
      <c r="F39" s="1573">
        <v>102</v>
      </c>
      <c r="G39" s="1573"/>
      <c r="H39" s="1573"/>
      <c r="I39" s="1574"/>
      <c r="J39" s="1574"/>
      <c r="K39" s="1672">
        <f t="shared" si="2"/>
        <v>102</v>
      </c>
      <c r="L39" s="1573">
        <v>500</v>
      </c>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1653</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904731</v>
      </c>
      <c r="D42" s="1674">
        <f t="shared" ref="D42:L42" si="3">SUM(D36:D41)</f>
        <v>151065</v>
      </c>
      <c r="E42" s="1674">
        <f t="shared" si="3"/>
        <v>144044</v>
      </c>
      <c r="F42" s="1674">
        <f t="shared" si="3"/>
        <v>19768</v>
      </c>
      <c r="G42" s="1674">
        <f t="shared" si="3"/>
        <v>0</v>
      </c>
      <c r="H42" s="1674">
        <f t="shared" si="3"/>
        <v>299</v>
      </c>
      <c r="I42" s="1674">
        <f t="shared" si="3"/>
        <v>0</v>
      </c>
      <c r="J42" s="1674">
        <f t="shared" si="3"/>
        <v>0</v>
      </c>
      <c r="K42" s="1674">
        <f t="shared" si="3"/>
        <v>1219907</v>
      </c>
      <c r="L42" s="1674">
        <f t="shared" si="3"/>
        <v>1254179</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125216</v>
      </c>
      <c r="D44" s="1586">
        <v>616</v>
      </c>
      <c r="E44" s="1586">
        <v>14965</v>
      </c>
      <c r="F44" s="1586"/>
      <c r="G44" s="1586"/>
      <c r="H44" s="1586">
        <v>818</v>
      </c>
      <c r="I44" s="1574"/>
      <c r="J44" s="1574"/>
      <c r="K44" s="1678">
        <f>SUM(C44:J44)</f>
        <v>141615</v>
      </c>
      <c r="L44" s="1586">
        <v>150347</v>
      </c>
    </row>
    <row r="45" spans="1:14" x14ac:dyDescent="0.2">
      <c r="A45" s="1274" t="s">
        <v>810</v>
      </c>
      <c r="B45" s="503">
        <v>2220</v>
      </c>
      <c r="C45" s="1573">
        <v>97640</v>
      </c>
      <c r="D45" s="1573">
        <v>8316</v>
      </c>
      <c r="E45" s="1573">
        <v>252</v>
      </c>
      <c r="F45" s="1573">
        <v>31477</v>
      </c>
      <c r="G45" s="1573"/>
      <c r="H45" s="1573"/>
      <c r="I45" s="1574"/>
      <c r="J45" s="1574"/>
      <c r="K45" s="1678">
        <f>SUM(C45:J45)</f>
        <v>137685</v>
      </c>
      <c r="L45" s="1573">
        <v>180331</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222856</v>
      </c>
      <c r="D47" s="1674">
        <f t="shared" ref="D47:K47" si="4">SUM(D44:D46)</f>
        <v>8932</v>
      </c>
      <c r="E47" s="1674">
        <f t="shared" si="4"/>
        <v>15217</v>
      </c>
      <c r="F47" s="1674">
        <f t="shared" si="4"/>
        <v>31477</v>
      </c>
      <c r="G47" s="1674">
        <f t="shared" si="4"/>
        <v>0</v>
      </c>
      <c r="H47" s="1674">
        <f t="shared" si="4"/>
        <v>818</v>
      </c>
      <c r="I47" s="1674">
        <f t="shared" si="4"/>
        <v>0</v>
      </c>
      <c r="J47" s="1674">
        <f t="shared" si="4"/>
        <v>0</v>
      </c>
      <c r="K47" s="1674">
        <f t="shared" si="4"/>
        <v>279300</v>
      </c>
      <c r="L47" s="1674">
        <f>SUM(L44:L46)</f>
        <v>330678</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6120</v>
      </c>
      <c r="D49" s="1586">
        <v>663</v>
      </c>
      <c r="E49" s="1586">
        <v>144795</v>
      </c>
      <c r="F49" s="1586">
        <v>371</v>
      </c>
      <c r="G49" s="1586"/>
      <c r="H49" s="1586">
        <v>9873</v>
      </c>
      <c r="I49" s="1574"/>
      <c r="J49" s="1574"/>
      <c r="K49" s="1678">
        <f>SUM(C49:J49)</f>
        <v>161822</v>
      </c>
      <c r="L49" s="1586">
        <v>232295</v>
      </c>
    </row>
    <row r="50" spans="1:14" x14ac:dyDescent="0.2">
      <c r="A50" s="1274" t="s">
        <v>813</v>
      </c>
      <c r="B50" s="503">
        <v>2320</v>
      </c>
      <c r="C50" s="1573">
        <v>242890</v>
      </c>
      <c r="D50" s="1573">
        <v>16020</v>
      </c>
      <c r="E50" s="1573">
        <v>3913</v>
      </c>
      <c r="F50" s="1573">
        <v>1412</v>
      </c>
      <c r="G50" s="1573"/>
      <c r="H50" s="1573">
        <v>3315</v>
      </c>
      <c r="I50" s="1574"/>
      <c r="J50" s="1574"/>
      <c r="K50" s="1678">
        <f>SUM(C50:J50)</f>
        <v>267550</v>
      </c>
      <c r="L50" s="1573">
        <v>270108</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249010</v>
      </c>
      <c r="D53" s="1674">
        <f t="shared" ref="D53:L53" si="5">SUM(D49:D52)</f>
        <v>16683</v>
      </c>
      <c r="E53" s="1674">
        <f t="shared" si="5"/>
        <v>148708</v>
      </c>
      <c r="F53" s="1674">
        <f t="shared" si="5"/>
        <v>1783</v>
      </c>
      <c r="G53" s="1674">
        <f t="shared" si="5"/>
        <v>0</v>
      </c>
      <c r="H53" s="1674">
        <f t="shared" si="5"/>
        <v>13188</v>
      </c>
      <c r="I53" s="1674">
        <f t="shared" si="5"/>
        <v>0</v>
      </c>
      <c r="J53" s="1674">
        <f t="shared" si="5"/>
        <v>0</v>
      </c>
      <c r="K53" s="1674">
        <f t="shared" si="5"/>
        <v>429372</v>
      </c>
      <c r="L53" s="1674">
        <f t="shared" si="5"/>
        <v>502403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v>372275</v>
      </c>
      <c r="D55" s="1586">
        <v>34514</v>
      </c>
      <c r="E55" s="1586">
        <v>1610</v>
      </c>
      <c r="F55" s="1586">
        <v>9487</v>
      </c>
      <c r="G55" s="1586"/>
      <c r="H55" s="1586">
        <v>698</v>
      </c>
      <c r="I55" s="1574"/>
      <c r="J55" s="1574"/>
      <c r="K55" s="1678">
        <f>SUM(C55:J55)</f>
        <v>418584</v>
      </c>
      <c r="L55" s="1586">
        <v>442146</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372275</v>
      </c>
      <c r="D57" s="1679">
        <f t="shared" ref="D57:K57" si="6">SUM(D55:D56)</f>
        <v>34514</v>
      </c>
      <c r="E57" s="1679">
        <f t="shared" si="6"/>
        <v>1610</v>
      </c>
      <c r="F57" s="1679">
        <f t="shared" si="6"/>
        <v>9487</v>
      </c>
      <c r="G57" s="1679">
        <f t="shared" si="6"/>
        <v>0</v>
      </c>
      <c r="H57" s="1679">
        <f t="shared" si="6"/>
        <v>698</v>
      </c>
      <c r="I57" s="1679">
        <f t="shared" si="6"/>
        <v>0</v>
      </c>
      <c r="J57" s="1679">
        <f t="shared" si="6"/>
        <v>0</v>
      </c>
      <c r="K57" s="1679">
        <f t="shared" si="6"/>
        <v>418584</v>
      </c>
      <c r="L57" s="1674">
        <f>SUM(L55:L56)</f>
        <v>442146</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v>50276</v>
      </c>
      <c r="D59" s="1586">
        <v>17434</v>
      </c>
      <c r="E59" s="1586">
        <v>7702</v>
      </c>
      <c r="F59" s="1586">
        <v>1528</v>
      </c>
      <c r="G59" s="1586"/>
      <c r="H59" s="1586"/>
      <c r="I59" s="1574"/>
      <c r="J59" s="1574"/>
      <c r="K59" s="1678">
        <f t="shared" ref="K59:K64" si="7">SUM(C59:J59)</f>
        <v>76940</v>
      </c>
      <c r="L59" s="1586">
        <v>70918</v>
      </c>
      <c r="M59" s="501"/>
      <c r="N59" s="501"/>
    </row>
    <row r="60" spans="1:14" s="321" customFormat="1" x14ac:dyDescent="0.2">
      <c r="A60" s="1274" t="s">
        <v>460</v>
      </c>
      <c r="B60" s="503">
        <v>2520</v>
      </c>
      <c r="C60" s="1573"/>
      <c r="D60" s="1573"/>
      <c r="E60" s="1573">
        <v>150</v>
      </c>
      <c r="F60" s="1573"/>
      <c r="G60" s="1573"/>
      <c r="H60" s="1573"/>
      <c r="I60" s="1574"/>
      <c r="J60" s="1574"/>
      <c r="K60" s="1678">
        <f t="shared" si="7"/>
        <v>150</v>
      </c>
      <c r="L60" s="1573"/>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250975</v>
      </c>
      <c r="D63" s="1573">
        <v>69768</v>
      </c>
      <c r="E63" s="1573">
        <v>150</v>
      </c>
      <c r="F63" s="1573">
        <v>212460</v>
      </c>
      <c r="G63" s="1573"/>
      <c r="H63" s="1573"/>
      <c r="I63" s="1574"/>
      <c r="J63" s="1574"/>
      <c r="K63" s="1678">
        <f t="shared" si="7"/>
        <v>533353</v>
      </c>
      <c r="L63" s="1573">
        <v>656016</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301251</v>
      </c>
      <c r="D65" s="1674">
        <f t="shared" ref="D65:L65" si="8">SUM(D59:D64)</f>
        <v>87202</v>
      </c>
      <c r="E65" s="1674">
        <f t="shared" si="8"/>
        <v>8002</v>
      </c>
      <c r="F65" s="1674">
        <f t="shared" si="8"/>
        <v>213988</v>
      </c>
      <c r="G65" s="1674">
        <f t="shared" si="8"/>
        <v>0</v>
      </c>
      <c r="H65" s="1674">
        <f t="shared" si="8"/>
        <v>0</v>
      </c>
      <c r="I65" s="1674">
        <f t="shared" si="8"/>
        <v>0</v>
      </c>
      <c r="J65" s="1674">
        <f t="shared" si="8"/>
        <v>0</v>
      </c>
      <c r="K65" s="1674">
        <f t="shared" si="8"/>
        <v>610443</v>
      </c>
      <c r="L65" s="1674">
        <f t="shared" si="8"/>
        <v>726934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1054</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v>237102</v>
      </c>
      <c r="D71" s="1573">
        <v>40235</v>
      </c>
      <c r="E71" s="1573">
        <v>4448</v>
      </c>
      <c r="F71" s="1573">
        <v>7706</v>
      </c>
      <c r="G71" s="1573"/>
      <c r="H71" s="1573"/>
      <c r="I71" s="1574"/>
      <c r="J71" s="1574"/>
      <c r="K71" s="1678">
        <f>SUM(C71:J71)</f>
        <v>289491</v>
      </c>
      <c r="L71" s="1573">
        <v>361640</v>
      </c>
      <c r="M71" s="501"/>
      <c r="N71" s="501"/>
    </row>
    <row r="72" spans="1:14" s="321" customFormat="1" ht="12.75" customHeight="1" thickBot="1" x14ac:dyDescent="0.25">
      <c r="A72" s="1380" t="s">
        <v>37</v>
      </c>
      <c r="B72" s="1383" t="s">
        <v>36</v>
      </c>
      <c r="C72" s="1674">
        <f>SUM(C67:C71)</f>
        <v>237102</v>
      </c>
      <c r="D72" s="1674">
        <f t="shared" ref="D72:K72" si="9">SUM(D67:D71)</f>
        <v>40235</v>
      </c>
      <c r="E72" s="1674">
        <f t="shared" si="9"/>
        <v>4448</v>
      </c>
      <c r="F72" s="1674">
        <f t="shared" si="9"/>
        <v>7706</v>
      </c>
      <c r="G72" s="1674">
        <f t="shared" si="9"/>
        <v>0</v>
      </c>
      <c r="H72" s="1674">
        <f t="shared" si="9"/>
        <v>0</v>
      </c>
      <c r="I72" s="1674">
        <f t="shared" si="9"/>
        <v>0</v>
      </c>
      <c r="J72" s="1674">
        <f t="shared" si="9"/>
        <v>0</v>
      </c>
      <c r="K72" s="1674">
        <f t="shared" si="9"/>
        <v>289491</v>
      </c>
      <c r="L72" s="1674">
        <f>SUM(L67:L71)</f>
        <v>361640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2287225</v>
      </c>
      <c r="D74" s="1681">
        <f t="shared" ref="D74:K74" si="10">SUM(D42,D47,D53,D57,D65,D72,D73)</f>
        <v>338631</v>
      </c>
      <c r="E74" s="1681">
        <f t="shared" si="10"/>
        <v>322029</v>
      </c>
      <c r="F74" s="1681">
        <f t="shared" si="10"/>
        <v>284209</v>
      </c>
      <c r="G74" s="1681">
        <f t="shared" si="10"/>
        <v>0</v>
      </c>
      <c r="H74" s="1681">
        <f t="shared" si="10"/>
        <v>15003</v>
      </c>
      <c r="I74" s="1681">
        <f t="shared" si="10"/>
        <v>0</v>
      </c>
      <c r="J74" s="1681">
        <f t="shared" si="10"/>
        <v>0</v>
      </c>
      <c r="K74" s="1681">
        <f t="shared" si="10"/>
        <v>3247097</v>
      </c>
      <c r="L74" s="1681">
        <f>SUM(L42,L47,L53,L57,L65,L72,L73)</f>
        <v>3617980</v>
      </c>
    </row>
    <row r="75" spans="1:14" s="254" customFormat="1" ht="15.75" customHeight="1" thickTop="1" thickBot="1" x14ac:dyDescent="0.25">
      <c r="A75" s="1348" t="s">
        <v>47</v>
      </c>
      <c r="B75" s="1349" t="s">
        <v>571</v>
      </c>
      <c r="C75" s="1649"/>
      <c r="D75" s="1649"/>
      <c r="E75" s="1649">
        <v>284</v>
      </c>
      <c r="F75" s="1649"/>
      <c r="G75" s="1649"/>
      <c r="H75" s="1649"/>
      <c r="I75" s="1627"/>
      <c r="J75" s="1627"/>
      <c r="K75" s="1674">
        <f>SUM(C75:J75)</f>
        <v>284</v>
      </c>
      <c r="L75" s="1651">
        <v>2500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v>2310</v>
      </c>
      <c r="I78" s="1582"/>
      <c r="J78" s="1582"/>
      <c r="K78" s="1672">
        <f t="shared" ref="K78:K83" si="11">SUM(C78:J78)</f>
        <v>2310</v>
      </c>
      <c r="L78" s="1586">
        <v>8000</v>
      </c>
    </row>
    <row r="79" spans="1:14" x14ac:dyDescent="0.2">
      <c r="A79" s="1274" t="s">
        <v>301</v>
      </c>
      <c r="B79" s="503">
        <v>4120</v>
      </c>
      <c r="C79" s="1673"/>
      <c r="D79" s="1673"/>
      <c r="E79" s="1573"/>
      <c r="F79" s="1673"/>
      <c r="G79" s="1673"/>
      <c r="H79" s="1573">
        <v>254627</v>
      </c>
      <c r="I79" s="1582"/>
      <c r="J79" s="1582"/>
      <c r="K79" s="1672">
        <f t="shared" si="11"/>
        <v>254627</v>
      </c>
      <c r="L79" s="1573">
        <v>300500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v>25745</v>
      </c>
      <c r="I81" s="1582"/>
      <c r="J81" s="1582"/>
      <c r="K81" s="1672">
        <f t="shared" si="11"/>
        <v>25745</v>
      </c>
      <c r="L81" s="1573">
        <v>40000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1471</v>
      </c>
      <c r="B84" s="1385">
        <v>4100</v>
      </c>
      <c r="C84" s="1673"/>
      <c r="D84" s="1673"/>
      <c r="E84" s="1674">
        <f>SUM(E78:E83)</f>
        <v>0</v>
      </c>
      <c r="F84" s="1673"/>
      <c r="G84" s="1673"/>
      <c r="H84" s="1674">
        <f>SUM(H78:H83)</f>
        <v>282682</v>
      </c>
      <c r="I84" s="1582"/>
      <c r="J84" s="1582"/>
      <c r="K84" s="1674">
        <f>SUM(K78:K83)</f>
        <v>282682</v>
      </c>
      <c r="L84" s="1674">
        <f>SUM(L78:L83)</f>
        <v>348500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v>9316</v>
      </c>
      <c r="I90" s="1582"/>
      <c r="J90" s="1582"/>
      <c r="K90" s="1681">
        <f t="shared" si="12"/>
        <v>9316</v>
      </c>
      <c r="L90" s="1626">
        <v>7000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1546</v>
      </c>
      <c r="B92" s="1385">
        <v>4200</v>
      </c>
      <c r="C92" s="1673"/>
      <c r="D92" s="1673"/>
      <c r="E92" s="1684"/>
      <c r="F92" s="1673"/>
      <c r="G92" s="1673"/>
      <c r="H92" s="1674">
        <f>SUM(H85:H91)</f>
        <v>9316</v>
      </c>
      <c r="I92" s="1582"/>
      <c r="J92" s="1582"/>
      <c r="K92" s="1681">
        <f t="shared" si="12"/>
        <v>9316</v>
      </c>
      <c r="L92" s="1674">
        <f>SUM(L85:L91)</f>
        <v>7000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1474</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1472</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1475</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1473</v>
      </c>
      <c r="B102" s="1385">
        <v>4000</v>
      </c>
      <c r="C102" s="1673"/>
      <c r="D102" s="1673"/>
      <c r="E102" s="1681">
        <f>SUM(E84,E92,E100,E101)</f>
        <v>0</v>
      </c>
      <c r="F102" s="1673"/>
      <c r="G102" s="1673"/>
      <c r="H102" s="1681">
        <f>SUM(H84,H92,H100,H101)</f>
        <v>291998</v>
      </c>
      <c r="I102" s="1582"/>
      <c r="J102" s="1582"/>
      <c r="K102" s="1681">
        <f>SUM(K84,K92,K100,K101)</f>
        <v>291998</v>
      </c>
      <c r="L102" s="1681">
        <f>SUM(L84,L92,L100,L101)</f>
        <v>355500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7308340</v>
      </c>
      <c r="D114" s="1674">
        <f t="shared" ref="D114:K114" si="13">SUM(D33,D74,D75,D102,D112,D113)</f>
        <v>1391778</v>
      </c>
      <c r="E114" s="1674">
        <f t="shared" si="13"/>
        <v>529475</v>
      </c>
      <c r="F114" s="1674">
        <f t="shared" si="13"/>
        <v>603729</v>
      </c>
      <c r="G114" s="1674">
        <f t="shared" si="13"/>
        <v>13654</v>
      </c>
      <c r="H114" s="1674">
        <f>SUM(H33,H74,H75,H102,H112,H113)</f>
        <v>721267</v>
      </c>
      <c r="I114" s="1674">
        <f t="shared" si="13"/>
        <v>0</v>
      </c>
      <c r="J114" s="1674">
        <f t="shared" si="13"/>
        <v>0</v>
      </c>
      <c r="K114" s="1674">
        <f t="shared" si="13"/>
        <v>10568243</v>
      </c>
      <c r="L114" s="1674">
        <f>SUM(L33,L74,L75,L102,L112,L113)</f>
        <v>11518721</v>
      </c>
    </row>
    <row r="115" spans="1:14" ht="13.5" thickTop="1" x14ac:dyDescent="0.2">
      <c r="A115" s="2274" t="s">
        <v>989</v>
      </c>
      <c r="B115" s="2275"/>
      <c r="C115" s="1675"/>
      <c r="D115" s="1675"/>
      <c r="E115" s="1675"/>
      <c r="F115" s="1675"/>
      <c r="G115" s="1675"/>
      <c r="H115" s="1675"/>
      <c r="I115" s="1675"/>
      <c r="J115" s="1675"/>
      <c r="K115" s="1689">
        <f>'Revenues 9-14'!C268-'Expenditures 15-22'!K114</f>
        <v>60364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9" t="s">
        <v>293</v>
      </c>
      <c r="B117" s="228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v>26166</v>
      </c>
      <c r="F123" s="1573"/>
      <c r="G123" s="1573"/>
      <c r="H123" s="1573"/>
      <c r="I123" s="1574"/>
      <c r="J123" s="1574"/>
      <c r="K123" s="1674">
        <f>SUM(C123:J123)</f>
        <v>26166</v>
      </c>
      <c r="L123" s="1573">
        <v>80000</v>
      </c>
    </row>
    <row r="124" spans="1:14" ht="14.25" thickTop="1" thickBot="1" x14ac:dyDescent="0.25">
      <c r="A124" s="1274" t="s">
        <v>195</v>
      </c>
      <c r="B124" s="503">
        <v>2540</v>
      </c>
      <c r="C124" s="1573">
        <v>563031</v>
      </c>
      <c r="D124" s="1573">
        <v>98662</v>
      </c>
      <c r="E124" s="1573">
        <v>400111</v>
      </c>
      <c r="F124" s="1573">
        <v>329006</v>
      </c>
      <c r="G124" s="1573">
        <v>71109</v>
      </c>
      <c r="H124" s="1573">
        <v>60</v>
      </c>
      <c r="I124" s="1574"/>
      <c r="J124" s="1574"/>
      <c r="K124" s="1674">
        <f>SUM(C124:J124)</f>
        <v>1461979</v>
      </c>
      <c r="L124" s="1573">
        <v>1740500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563031</v>
      </c>
      <c r="D127" s="1674">
        <f t="shared" ref="D127:L127" si="14">SUM(D122:D126)</f>
        <v>98662</v>
      </c>
      <c r="E127" s="1674">
        <f t="shared" si="14"/>
        <v>426277</v>
      </c>
      <c r="F127" s="1674">
        <f t="shared" si="14"/>
        <v>329006</v>
      </c>
      <c r="G127" s="1674">
        <f t="shared" si="14"/>
        <v>71109</v>
      </c>
      <c r="H127" s="1674">
        <f t="shared" si="14"/>
        <v>60</v>
      </c>
      <c r="I127" s="1674">
        <f t="shared" si="14"/>
        <v>0</v>
      </c>
      <c r="J127" s="1674">
        <f t="shared" si="14"/>
        <v>0</v>
      </c>
      <c r="K127" s="1674">
        <f t="shared" si="14"/>
        <v>1488145</v>
      </c>
      <c r="L127" s="1674">
        <f t="shared" si="14"/>
        <v>1820500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563031</v>
      </c>
      <c r="D129" s="1681">
        <f t="shared" ref="D129:L129" si="15">SUM(D120,D127,D128)</f>
        <v>98662</v>
      </c>
      <c r="E129" s="1681">
        <f t="shared" si="15"/>
        <v>426277</v>
      </c>
      <c r="F129" s="1681">
        <f t="shared" si="15"/>
        <v>329006</v>
      </c>
      <c r="G129" s="1681">
        <f t="shared" si="15"/>
        <v>71109</v>
      </c>
      <c r="H129" s="1681">
        <f t="shared" si="15"/>
        <v>60</v>
      </c>
      <c r="I129" s="1681">
        <f t="shared" si="15"/>
        <v>0</v>
      </c>
      <c r="J129" s="1681">
        <f t="shared" si="15"/>
        <v>0</v>
      </c>
      <c r="K129" s="1681">
        <f t="shared" si="15"/>
        <v>1488145</v>
      </c>
      <c r="L129" s="1681">
        <f t="shared" si="15"/>
        <v>1820500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1473</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1162</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91" t="s">
        <v>616</v>
      </c>
      <c r="B151" s="2271"/>
      <c r="C151" s="1674">
        <f>SUM(C129,C130,C139,C149,C150)</f>
        <v>563031</v>
      </c>
      <c r="D151" s="1674">
        <f t="shared" ref="D151:K151" si="16">SUM(D129,D130,D139,D149,D150)</f>
        <v>98662</v>
      </c>
      <c r="E151" s="1674">
        <f t="shared" si="16"/>
        <v>426277</v>
      </c>
      <c r="F151" s="1674">
        <f t="shared" si="16"/>
        <v>329006</v>
      </c>
      <c r="G151" s="1674">
        <f t="shared" si="16"/>
        <v>71109</v>
      </c>
      <c r="H151" s="1674">
        <f t="shared" si="16"/>
        <v>60</v>
      </c>
      <c r="I151" s="1674">
        <f t="shared" si="16"/>
        <v>0</v>
      </c>
      <c r="J151" s="1674">
        <f t="shared" si="16"/>
        <v>0</v>
      </c>
      <c r="K151" s="1674">
        <f t="shared" si="16"/>
        <v>1488145</v>
      </c>
      <c r="L151" s="1674">
        <f>SUM(L129,L130,L139,L149,L150)</f>
        <v>1820500</v>
      </c>
    </row>
    <row r="152" spans="1:14" ht="12.75" customHeight="1" thickTop="1" x14ac:dyDescent="0.2">
      <c r="A152" s="2294" t="s">
        <v>1170</v>
      </c>
      <c r="B152" s="2295"/>
      <c r="C152" s="1675"/>
      <c r="D152" s="1675"/>
      <c r="E152" s="1675"/>
      <c r="F152" s="1675"/>
      <c r="G152" s="1675"/>
      <c r="H152" s="1675"/>
      <c r="I152" s="1675"/>
      <c r="J152" s="1673"/>
      <c r="K152" s="1689">
        <f>'Revenues 9-14'!D268-'Expenditures 15-22'!K151</f>
        <v>506730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9" t="s">
        <v>617</v>
      </c>
      <c r="B154" s="228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1162</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242033</v>
      </c>
      <c r="I169" s="1673"/>
      <c r="J169" s="1673"/>
      <c r="K169" s="1672">
        <f>SUM(C169:H169)</f>
        <v>242033</v>
      </c>
      <c r="L169" s="1695">
        <v>242033</v>
      </c>
    </row>
    <row r="170" spans="1:14" ht="33.75" customHeight="1" x14ac:dyDescent="0.2">
      <c r="A170" s="543" t="s">
        <v>1654</v>
      </c>
      <c r="B170" s="545" t="s">
        <v>31</v>
      </c>
      <c r="C170" s="1673"/>
      <c r="D170" s="1673"/>
      <c r="E170" s="1673"/>
      <c r="F170" s="1673"/>
      <c r="G170" s="1673"/>
      <c r="H170" s="1646">
        <v>649000</v>
      </c>
      <c r="I170" s="1673"/>
      <c r="J170" s="1673"/>
      <c r="K170" s="1672">
        <f>SUM(C170:J170)</f>
        <v>649000</v>
      </c>
      <c r="L170" s="1646">
        <v>649000</v>
      </c>
    </row>
    <row r="171" spans="1:14" ht="15.75" customHeight="1" x14ac:dyDescent="0.2">
      <c r="A171" s="507" t="s">
        <v>761</v>
      </c>
      <c r="B171" s="546" t="s">
        <v>84</v>
      </c>
      <c r="C171" s="1673"/>
      <c r="D171" s="1673"/>
      <c r="E171" s="1573"/>
      <c r="F171" s="1673"/>
      <c r="G171" s="1673"/>
      <c r="H171" s="1646">
        <v>1400</v>
      </c>
      <c r="I171" s="1582"/>
      <c r="J171" s="1673"/>
      <c r="K171" s="1672">
        <f>SUM(C171:J171)</f>
        <v>1400</v>
      </c>
      <c r="L171" s="1646"/>
    </row>
    <row r="172" spans="1:14" ht="12.75" customHeight="1" thickBot="1" x14ac:dyDescent="0.25">
      <c r="A172" s="1380" t="s">
        <v>633</v>
      </c>
      <c r="B172" s="1381" t="s">
        <v>489</v>
      </c>
      <c r="C172" s="1673"/>
      <c r="D172" s="1673"/>
      <c r="E172" s="1681">
        <f>SUM(E168,E169,E170,E171)</f>
        <v>0</v>
      </c>
      <c r="F172" s="1673"/>
      <c r="G172" s="1673"/>
      <c r="H172" s="1681">
        <f>SUM(H168,H169,H170,H171)</f>
        <v>892433</v>
      </c>
      <c r="I172" s="1684"/>
      <c r="J172" s="1673"/>
      <c r="K172" s="1681">
        <f>SUM(K168,K169,K170,K171)</f>
        <v>892433</v>
      </c>
      <c r="L172" s="1681">
        <f>SUM(L168,L169,L170,L171)</f>
        <v>891033</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892433</v>
      </c>
      <c r="I174" s="1684"/>
      <c r="J174" s="1673"/>
      <c r="K174" s="1681">
        <f>SUM(K160,K172,K173)</f>
        <v>892433</v>
      </c>
      <c r="L174" s="1681">
        <f>SUM(L160,L172,L173)</f>
        <v>891033</v>
      </c>
    </row>
    <row r="175" spans="1:14" ht="13.5" thickTop="1" x14ac:dyDescent="0.2">
      <c r="A175" s="2274" t="s">
        <v>989</v>
      </c>
      <c r="B175" s="2275"/>
      <c r="C175" s="1673"/>
      <c r="D175" s="1673"/>
      <c r="E175" s="1673"/>
      <c r="F175" s="1673"/>
      <c r="G175" s="1673"/>
      <c r="H175" s="1675"/>
      <c r="I175" s="1673"/>
      <c r="J175" s="1673"/>
      <c r="K175" s="1689">
        <f>'Revenues 9-14'!E268-'Expenditures 15-22'!K174</f>
        <v>26927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600872</v>
      </c>
      <c r="D182" s="1573">
        <v>31858</v>
      </c>
      <c r="E182" s="1573">
        <v>136463</v>
      </c>
      <c r="F182" s="1573">
        <v>58236</v>
      </c>
      <c r="G182" s="1573">
        <v>87551</v>
      </c>
      <c r="H182" s="1573"/>
      <c r="I182" s="1574"/>
      <c r="J182" s="1574"/>
      <c r="K182" s="1672">
        <f>SUM(C182:J182)</f>
        <v>914980</v>
      </c>
      <c r="L182" s="1573">
        <v>1062036</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600872</v>
      </c>
      <c r="D184" s="1681">
        <f t="shared" ref="D184:J184" si="17">SUM(D180,D182,D183)</f>
        <v>31858</v>
      </c>
      <c r="E184" s="1681">
        <f t="shared" si="17"/>
        <v>136463</v>
      </c>
      <c r="F184" s="1681">
        <f t="shared" si="17"/>
        <v>58236</v>
      </c>
      <c r="G184" s="1681">
        <f t="shared" si="17"/>
        <v>87551</v>
      </c>
      <c r="H184" s="1681">
        <f t="shared" si="17"/>
        <v>0</v>
      </c>
      <c r="I184" s="1681">
        <f t="shared" si="17"/>
        <v>0</v>
      </c>
      <c r="J184" s="1681">
        <f t="shared" si="17"/>
        <v>0</v>
      </c>
      <c r="K184" s="1681">
        <f>SUM(K180,K182,K183)</f>
        <v>914980</v>
      </c>
      <c r="L184" s="1681">
        <f>SUM(L180, L182:L183)</f>
        <v>1062036</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1132</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1473</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1162</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62674</v>
      </c>
      <c r="I205" s="1673"/>
      <c r="J205" s="1673"/>
      <c r="K205" s="1696">
        <f>SUM(H205)</f>
        <v>62674</v>
      </c>
      <c r="L205" s="1630">
        <v>62674</v>
      </c>
    </row>
    <row r="206" spans="1:14" ht="30" customHeight="1" x14ac:dyDescent="0.2">
      <c r="A206" s="555" t="s">
        <v>1655</v>
      </c>
      <c r="B206" s="546" t="s">
        <v>31</v>
      </c>
      <c r="C206" s="1673"/>
      <c r="D206" s="1673"/>
      <c r="E206" s="1673"/>
      <c r="F206" s="1673"/>
      <c r="G206" s="1673"/>
      <c r="H206" s="1573">
        <v>133893</v>
      </c>
      <c r="I206" s="1673"/>
      <c r="J206" s="1673"/>
      <c r="K206" s="1672">
        <f>SUM(H206)</f>
        <v>133893</v>
      </c>
      <c r="L206" s="1573">
        <v>133893</v>
      </c>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196567</v>
      </c>
      <c r="I208" s="1673"/>
      <c r="J208" s="1673"/>
      <c r="K208" s="1681">
        <f>SUM(K204,K205,K206,K207)</f>
        <v>196567</v>
      </c>
      <c r="L208" s="1681">
        <f>SUM(L204,L205,L206,L207)</f>
        <v>196567</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600872</v>
      </c>
      <c r="D210" s="1674">
        <f>SUM(D184,D185)</f>
        <v>31858</v>
      </c>
      <c r="E210" s="1674">
        <f>SUM(E184,E185,E196)</f>
        <v>136463</v>
      </c>
      <c r="F210" s="1674">
        <f>SUM(F184,F185)</f>
        <v>58236</v>
      </c>
      <c r="G210" s="1674">
        <f>SUM(G184,G185)</f>
        <v>87551</v>
      </c>
      <c r="H210" s="1674">
        <f>SUM(H184,H185,H196,H208,H209)</f>
        <v>196567</v>
      </c>
      <c r="I210" s="1674">
        <f>SUM(I184,I185)</f>
        <v>0</v>
      </c>
      <c r="J210" s="1674">
        <f>SUM(J184,J185)</f>
        <v>0</v>
      </c>
      <c r="K210" s="1672">
        <f>SUM(K184,K185,K196,K208,K209)</f>
        <v>1111547</v>
      </c>
      <c r="L210" s="1674">
        <f>SUM(L184,L185,L196,L208,L209)</f>
        <v>1258603</v>
      </c>
    </row>
    <row r="211" spans="1:14" ht="13.5" thickTop="1" x14ac:dyDescent="0.2">
      <c r="A211" s="2274" t="s">
        <v>989</v>
      </c>
      <c r="B211" s="2275"/>
      <c r="C211" s="1675"/>
      <c r="D211" s="1675"/>
      <c r="E211" s="1675"/>
      <c r="F211" s="1675"/>
      <c r="G211" s="1675"/>
      <c r="H211" s="1675"/>
      <c r="I211" s="1673"/>
      <c r="J211" s="1673"/>
      <c r="K211" s="1689">
        <f>'Revenues 9-14'!F268-'Expenditures 15-22'!K210</f>
        <v>217833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6" t="s">
        <v>959</v>
      </c>
      <c r="B213" s="229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45919</v>
      </c>
      <c r="E215" s="1673"/>
      <c r="F215" s="1673"/>
      <c r="G215" s="1673"/>
      <c r="H215" s="1673"/>
      <c r="I215" s="1673"/>
      <c r="J215" s="1673"/>
      <c r="K215" s="1672">
        <f>D215</f>
        <v>45919</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v>47070</v>
      </c>
    </row>
    <row r="217" spans="1:14" x14ac:dyDescent="0.2">
      <c r="A217" s="1274" t="s">
        <v>163</v>
      </c>
      <c r="B217" s="503">
        <v>1200</v>
      </c>
      <c r="C217" s="1673"/>
      <c r="D217" s="1573">
        <f>65397-220</f>
        <v>65177</v>
      </c>
      <c r="E217" s="1673"/>
      <c r="F217" s="1673"/>
      <c r="G217" s="1673"/>
      <c r="H217" s="1673"/>
      <c r="I217" s="1673"/>
      <c r="J217" s="1673"/>
      <c r="K217" s="1672">
        <f t="shared" si="19"/>
        <v>65177</v>
      </c>
      <c r="L217" s="1573">
        <v>79910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25</v>
      </c>
      <c r="E219" s="1673"/>
      <c r="F219" s="1673"/>
      <c r="G219" s="1673"/>
      <c r="H219" s="1673"/>
      <c r="I219" s="1673"/>
      <c r="J219" s="1673"/>
      <c r="K219" s="1672">
        <f t="shared" si="19"/>
        <v>25</v>
      </c>
      <c r="L219" s="1573">
        <v>533</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5730</v>
      </c>
      <c r="E222" s="1673"/>
      <c r="F222" s="1673"/>
      <c r="G222" s="1673"/>
      <c r="H222" s="1673"/>
      <c r="I222" s="1673"/>
      <c r="J222" s="1673"/>
      <c r="K222" s="1672">
        <f t="shared" si="19"/>
        <v>5730</v>
      </c>
      <c r="L222" s="1573">
        <v>7200</v>
      </c>
    </row>
    <row r="223" spans="1:14" x14ac:dyDescent="0.2">
      <c r="A223" s="1274" t="s">
        <v>957</v>
      </c>
      <c r="B223" s="503">
        <v>1500</v>
      </c>
      <c r="C223" s="1673"/>
      <c r="D223" s="1573">
        <v>18782</v>
      </c>
      <c r="E223" s="1673"/>
      <c r="F223" s="1673"/>
      <c r="G223" s="1673"/>
      <c r="H223" s="1673"/>
      <c r="I223" s="1673"/>
      <c r="J223" s="1673"/>
      <c r="K223" s="1672">
        <f t="shared" si="19"/>
        <v>18782</v>
      </c>
      <c r="L223" s="1573">
        <v>23885</v>
      </c>
    </row>
    <row r="224" spans="1:14" x14ac:dyDescent="0.2">
      <c r="A224" s="1274" t="s">
        <v>958</v>
      </c>
      <c r="B224" s="503">
        <v>1600</v>
      </c>
      <c r="C224" s="1673"/>
      <c r="D224" s="1573">
        <v>251</v>
      </c>
      <c r="E224" s="1673"/>
      <c r="F224" s="1673"/>
      <c r="G224" s="1673"/>
      <c r="H224" s="1673"/>
      <c r="I224" s="1673"/>
      <c r="J224" s="1673"/>
      <c r="K224" s="1672">
        <f t="shared" si="19"/>
        <v>251</v>
      </c>
      <c r="L224" s="1573">
        <v>325</v>
      </c>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850</v>
      </c>
      <c r="E226" s="1673"/>
      <c r="F226" s="1673"/>
      <c r="G226" s="1673"/>
      <c r="H226" s="1673"/>
      <c r="I226" s="1673"/>
      <c r="J226" s="1673"/>
      <c r="K226" s="1672">
        <f t="shared" si="19"/>
        <v>850</v>
      </c>
      <c r="L226" s="1573">
        <v>860</v>
      </c>
    </row>
    <row r="227" spans="1:12" x14ac:dyDescent="0.2">
      <c r="A227" s="1274" t="s">
        <v>1080</v>
      </c>
      <c r="B227" s="503">
        <v>1800</v>
      </c>
      <c r="C227" s="1673"/>
      <c r="D227" s="1573"/>
      <c r="E227" s="1673"/>
      <c r="F227" s="1673"/>
      <c r="G227" s="1673"/>
      <c r="H227" s="1673"/>
      <c r="I227" s="1673"/>
      <c r="J227" s="1673"/>
      <c r="K227" s="1672">
        <f t="shared" si="19"/>
        <v>0</v>
      </c>
      <c r="L227" s="1573"/>
    </row>
    <row r="228" spans="1:12" x14ac:dyDescent="0.2">
      <c r="A228" s="1274" t="s">
        <v>1081</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136734</v>
      </c>
      <c r="E229" s="1673"/>
      <c r="F229" s="1673"/>
      <c r="G229" s="1673"/>
      <c r="H229" s="1673"/>
      <c r="I229" s="1673"/>
      <c r="J229" s="1673"/>
      <c r="K229" s="1674">
        <f>SUM(K215:K228)</f>
        <v>136734</v>
      </c>
      <c r="L229" s="1674">
        <f>SUM(L215:L228)</f>
        <v>159783</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v>29130</v>
      </c>
      <c r="E232" s="1673"/>
      <c r="F232" s="1673"/>
      <c r="G232" s="1673"/>
      <c r="H232" s="1673"/>
      <c r="I232" s="1673"/>
      <c r="J232" s="1673"/>
      <c r="K232" s="1672">
        <f t="shared" ref="K232:K237" si="20">D232</f>
        <v>29130</v>
      </c>
      <c r="L232" s="1573">
        <v>34385</v>
      </c>
    </row>
    <row r="233" spans="1:12" x14ac:dyDescent="0.2">
      <c r="A233" s="1274" t="s">
        <v>1083</v>
      </c>
      <c r="B233" s="503">
        <v>2120</v>
      </c>
      <c r="C233" s="1673"/>
      <c r="D233" s="1573">
        <v>14960</v>
      </c>
      <c r="E233" s="1673"/>
      <c r="F233" s="1673"/>
      <c r="G233" s="1673"/>
      <c r="H233" s="1673"/>
      <c r="I233" s="1673"/>
      <c r="J233" s="1673"/>
      <c r="K233" s="1672">
        <f t="shared" si="20"/>
        <v>14960</v>
      </c>
      <c r="L233" s="1573">
        <v>15565</v>
      </c>
    </row>
    <row r="234" spans="1:12" x14ac:dyDescent="0.2">
      <c r="A234" s="1274" t="s">
        <v>196</v>
      </c>
      <c r="B234" s="503">
        <v>2130</v>
      </c>
      <c r="C234" s="1673"/>
      <c r="D234" s="1573">
        <v>7509</v>
      </c>
      <c r="E234" s="1673"/>
      <c r="F234" s="1673"/>
      <c r="G234" s="1673"/>
      <c r="H234" s="1673"/>
      <c r="I234" s="1673"/>
      <c r="J234" s="1673"/>
      <c r="K234" s="1672">
        <f t="shared" si="20"/>
        <v>7509</v>
      </c>
      <c r="L234" s="1573">
        <v>7810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51599</v>
      </c>
      <c r="E238" s="1673"/>
      <c r="F238" s="1673"/>
      <c r="G238" s="1673"/>
      <c r="H238" s="1673"/>
      <c r="I238" s="1673"/>
      <c r="J238" s="1673"/>
      <c r="K238" s="1674">
        <f>SUM(K232:K237)</f>
        <v>51599</v>
      </c>
      <c r="L238" s="1674">
        <f>SUM(L232:L237)</f>
        <v>57760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1682</v>
      </c>
      <c r="E240" s="1673"/>
      <c r="F240" s="1673"/>
      <c r="G240" s="1673"/>
      <c r="H240" s="1673"/>
      <c r="I240" s="1673"/>
      <c r="J240" s="1673"/>
      <c r="K240" s="1678">
        <f>D240</f>
        <v>1682</v>
      </c>
      <c r="L240" s="1586">
        <v>1963</v>
      </c>
    </row>
    <row r="241" spans="1:12" x14ac:dyDescent="0.2">
      <c r="A241" s="1274" t="s">
        <v>810</v>
      </c>
      <c r="B241" s="503">
        <v>2220</v>
      </c>
      <c r="C241" s="1673"/>
      <c r="D241" s="1573">
        <v>6904</v>
      </c>
      <c r="E241" s="1673"/>
      <c r="F241" s="1673"/>
      <c r="G241" s="1673"/>
      <c r="H241" s="1673"/>
      <c r="I241" s="1673"/>
      <c r="J241" s="1673"/>
      <c r="K241" s="1678">
        <f>D241</f>
        <v>6904</v>
      </c>
      <c r="L241" s="1573">
        <v>7010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8586</v>
      </c>
      <c r="E243" s="1673"/>
      <c r="F243" s="1673"/>
      <c r="G243" s="1673"/>
      <c r="H243" s="1673"/>
      <c r="I243" s="1673"/>
      <c r="J243" s="1673"/>
      <c r="K243" s="1674">
        <f>SUM(K240:K242)</f>
        <v>8586</v>
      </c>
      <c r="L243" s="1674">
        <f>SUM(L240:L242)</f>
        <v>8973</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468</v>
      </c>
      <c r="E245" s="1673"/>
      <c r="F245" s="1673"/>
      <c r="G245" s="1673"/>
      <c r="H245" s="1673"/>
      <c r="I245" s="1673"/>
      <c r="J245" s="1673"/>
      <c r="K245" s="1678">
        <f>D245</f>
        <v>468</v>
      </c>
      <c r="L245" s="1586">
        <v>470</v>
      </c>
    </row>
    <row r="246" spans="1:12" x14ac:dyDescent="0.2">
      <c r="A246" s="1274" t="s">
        <v>813</v>
      </c>
      <c r="B246" s="503">
        <v>2320</v>
      </c>
      <c r="C246" s="1673"/>
      <c r="D246" s="1573">
        <v>12565</v>
      </c>
      <c r="E246" s="1673"/>
      <c r="F246" s="1673"/>
      <c r="G246" s="1673"/>
      <c r="H246" s="1673"/>
      <c r="I246" s="1673"/>
      <c r="J246" s="1673"/>
      <c r="K246" s="1678">
        <f t="shared" ref="K246:K256" si="21">D246</f>
        <v>12565</v>
      </c>
      <c r="L246" s="1573">
        <v>13500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13033</v>
      </c>
      <c r="E257" s="1673"/>
      <c r="F257" s="1673"/>
      <c r="G257" s="1673"/>
      <c r="H257" s="1673"/>
      <c r="I257" s="1673"/>
      <c r="J257" s="1673"/>
      <c r="K257" s="1674">
        <f>SUM(K245:K256)</f>
        <v>13033</v>
      </c>
      <c r="L257" s="1674">
        <f>SUM(L245:L256)</f>
        <v>13970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v>24393</v>
      </c>
      <c r="E259" s="1673"/>
      <c r="F259" s="1673"/>
      <c r="G259" s="1673"/>
      <c r="H259" s="1673"/>
      <c r="I259" s="1673"/>
      <c r="J259" s="1673"/>
      <c r="K259" s="1678">
        <f>D259</f>
        <v>24393</v>
      </c>
      <c r="L259" s="1586">
        <v>28000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24393</v>
      </c>
      <c r="E261" s="1673"/>
      <c r="F261" s="1673"/>
      <c r="G261" s="1673"/>
      <c r="H261" s="1673"/>
      <c r="I261" s="1673"/>
      <c r="J261" s="1673"/>
      <c r="K261" s="1674">
        <f>SUM(K259:K260)</f>
        <v>24393</v>
      </c>
      <c r="L261" s="1674">
        <f>SUM(L259:L260)</f>
        <v>28000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v>8245</v>
      </c>
      <c r="E263" s="1673"/>
      <c r="F263" s="1673"/>
      <c r="G263" s="1673"/>
      <c r="H263" s="1673"/>
      <c r="I263" s="1673"/>
      <c r="J263" s="1673"/>
      <c r="K263" s="1678">
        <f>D263</f>
        <v>8245</v>
      </c>
      <c r="L263" s="1586">
        <v>8500</v>
      </c>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91537</v>
      </c>
      <c r="E266" s="1673"/>
      <c r="F266" s="1673"/>
      <c r="G266" s="1673"/>
      <c r="H266" s="1673"/>
      <c r="I266" s="1673"/>
      <c r="J266" s="1673"/>
      <c r="K266" s="1678">
        <f t="shared" si="22"/>
        <v>91537</v>
      </c>
      <c r="L266" s="1573">
        <v>100000</v>
      </c>
    </row>
    <row r="267" spans="1:14" x14ac:dyDescent="0.2">
      <c r="A267" s="1274" t="s">
        <v>947</v>
      </c>
      <c r="B267" s="503">
        <v>2550</v>
      </c>
      <c r="C267" s="1673"/>
      <c r="D267" s="1573">
        <v>87356</v>
      </c>
      <c r="E267" s="1673"/>
      <c r="F267" s="1673"/>
      <c r="G267" s="1673"/>
      <c r="H267" s="1673"/>
      <c r="I267" s="1673"/>
      <c r="J267" s="1673"/>
      <c r="K267" s="1678">
        <f t="shared" si="22"/>
        <v>87356</v>
      </c>
      <c r="L267" s="1573">
        <v>93500</v>
      </c>
    </row>
    <row r="268" spans="1:14" x14ac:dyDescent="0.2">
      <c r="A268" s="1274" t="s">
        <v>100</v>
      </c>
      <c r="B268" s="503">
        <v>2560</v>
      </c>
      <c r="C268" s="1673"/>
      <c r="D268" s="1573">
        <v>37472</v>
      </c>
      <c r="E268" s="1673"/>
      <c r="F268" s="1673"/>
      <c r="G268" s="1673"/>
      <c r="H268" s="1673"/>
      <c r="I268" s="1673"/>
      <c r="J268" s="1673"/>
      <c r="K268" s="1678">
        <f t="shared" si="22"/>
        <v>37472</v>
      </c>
      <c r="L268" s="1573">
        <v>45000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224610</v>
      </c>
      <c r="E270" s="1673"/>
      <c r="F270" s="1673"/>
      <c r="G270" s="1673"/>
      <c r="H270" s="1673"/>
      <c r="I270" s="1673"/>
      <c r="J270" s="1673"/>
      <c r="K270" s="1674">
        <f>SUM(K263:K269)</f>
        <v>224610</v>
      </c>
      <c r="L270" s="1674">
        <f>SUM(L263:L269)</f>
        <v>247000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1054</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v>39570</v>
      </c>
      <c r="E276" s="1673"/>
      <c r="F276" s="1673"/>
      <c r="G276" s="1673"/>
      <c r="H276" s="1673"/>
      <c r="I276" s="1673"/>
      <c r="J276" s="1673"/>
      <c r="K276" s="1678">
        <f>D276</f>
        <v>39570</v>
      </c>
      <c r="L276" s="1573">
        <v>42500</v>
      </c>
    </row>
    <row r="277" spans="1:12" ht="12.75" customHeight="1" thickBot="1" x14ac:dyDescent="0.25">
      <c r="A277" s="1393" t="s">
        <v>37</v>
      </c>
      <c r="B277" s="1381" t="s">
        <v>36</v>
      </c>
      <c r="C277" s="1673"/>
      <c r="D277" s="1674">
        <f>SUM(D272:D276)</f>
        <v>39570</v>
      </c>
      <c r="E277" s="1673"/>
      <c r="F277" s="1673"/>
      <c r="G277" s="1673"/>
      <c r="H277" s="1673"/>
      <c r="I277" s="1673"/>
      <c r="J277" s="1673"/>
      <c r="K277" s="1674">
        <f>SUM(K272:K276)</f>
        <v>39570</v>
      </c>
      <c r="L277" s="1674">
        <f>SUM(L272:L276)</f>
        <v>42500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361791</v>
      </c>
      <c r="E279" s="1673"/>
      <c r="F279" s="1673"/>
      <c r="G279" s="1673"/>
      <c r="H279" s="1673"/>
      <c r="I279" s="1673"/>
      <c r="J279" s="1673"/>
      <c r="K279" s="1681">
        <f>SUM(K238,K243,K257,K261,K270,K277,K278)</f>
        <v>361791</v>
      </c>
      <c r="L279" s="1681">
        <f>SUM(L238,L243,L257,L261,L270,L277,L278)</f>
        <v>398203</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1473</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1162</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92" t="s">
        <v>502</v>
      </c>
      <c r="B295" s="2293"/>
      <c r="C295" s="1673"/>
      <c r="D295" s="1674">
        <f>SUM(D229,D279,D280,D285)</f>
        <v>498525</v>
      </c>
      <c r="E295" s="1673"/>
      <c r="F295" s="1673"/>
      <c r="G295" s="1673"/>
      <c r="H295" s="1674">
        <f>H293</f>
        <v>0</v>
      </c>
      <c r="I295" s="1673"/>
      <c r="J295" s="1673"/>
      <c r="K295" s="1674">
        <f>SUM(K229,K279,K280,K285,K293,K294)</f>
        <v>498525</v>
      </c>
      <c r="L295" s="1674">
        <f>SUM(L229,L279,L280,L285,L293,L294)</f>
        <v>557986</v>
      </c>
    </row>
    <row r="296" spans="1:14" ht="13.5" thickTop="1" x14ac:dyDescent="0.2">
      <c r="A296" s="2274" t="s">
        <v>989</v>
      </c>
      <c r="B296" s="2275"/>
      <c r="C296" s="1673"/>
      <c r="D296" s="1675"/>
      <c r="E296" s="1673"/>
      <c r="F296" s="1673"/>
      <c r="G296" s="1673"/>
      <c r="H296" s="1707"/>
      <c r="I296" s="1673"/>
      <c r="J296" s="1673"/>
      <c r="K296" s="1689">
        <f>'Revenues 9-14'!G268-'Expenditures 15-22'!K295</f>
        <v>70237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84" t="s">
        <v>142</v>
      </c>
      <c r="B298" s="227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64646</v>
      </c>
      <c r="F301" s="1573"/>
      <c r="G301" s="1573">
        <v>3249275</v>
      </c>
      <c r="H301" s="1573"/>
      <c r="I301" s="1574"/>
      <c r="J301" s="1574"/>
      <c r="K301" s="1672">
        <f>SUM(C301:J301)</f>
        <v>3313921</v>
      </c>
      <c r="L301" s="1574">
        <v>3316370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64646</v>
      </c>
      <c r="F303" s="1681">
        <f t="shared" si="23"/>
        <v>0</v>
      </c>
      <c r="G303" s="1681">
        <f t="shared" si="23"/>
        <v>3249275</v>
      </c>
      <c r="H303" s="1681">
        <f t="shared" si="23"/>
        <v>0</v>
      </c>
      <c r="I303" s="1681">
        <f t="shared" si="23"/>
        <v>0</v>
      </c>
      <c r="J303" s="1681">
        <f t="shared" si="23"/>
        <v>0</v>
      </c>
      <c r="K303" s="1681">
        <f t="shared" si="23"/>
        <v>3313921</v>
      </c>
      <c r="L303" s="1681">
        <f t="shared" si="23"/>
        <v>3316370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1473</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89" t="s">
        <v>275</v>
      </c>
      <c r="B312" s="2290"/>
      <c r="C312" s="1674">
        <f>SUM(C303)</f>
        <v>0</v>
      </c>
      <c r="D312" s="1674">
        <f>SUM(D303)</f>
        <v>0</v>
      </c>
      <c r="E312" s="1674">
        <f>SUM(E303,E310)</f>
        <v>64646</v>
      </c>
      <c r="F312" s="1674">
        <f>SUM(F303)</f>
        <v>0</v>
      </c>
      <c r="G312" s="1674">
        <f>SUM(G303)</f>
        <v>3249275</v>
      </c>
      <c r="H312" s="1674">
        <f>SUM(H303,H310)</f>
        <v>0</v>
      </c>
      <c r="I312" s="1674">
        <f>SUM(I303)</f>
        <v>0</v>
      </c>
      <c r="J312" s="1674">
        <f>SUM(J303)</f>
        <v>0</v>
      </c>
      <c r="K312" s="1674">
        <f>SUM(K303,K310,K311)</f>
        <v>3313921</v>
      </c>
      <c r="L312" s="1674">
        <f>SUM(L303,L310,L311)</f>
        <v>3316370</v>
      </c>
      <c r="M312" s="539"/>
      <c r="N312" s="539"/>
    </row>
    <row r="313" spans="1:14" ht="13.5" thickTop="1" x14ac:dyDescent="0.2">
      <c r="A313" s="2285" t="s">
        <v>989</v>
      </c>
      <c r="B313" s="2286"/>
      <c r="C313" s="1677"/>
      <c r="D313" s="1677"/>
      <c r="E313" s="1677"/>
      <c r="F313" s="1677"/>
      <c r="G313" s="1677"/>
      <c r="H313" s="1677"/>
      <c r="I313" s="1677"/>
      <c r="J313" s="1677"/>
      <c r="K313" s="1696">
        <f>'Revenues 9-14'!H268-'Expenditures 15-22'!K312</f>
        <v>-3278522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8" t="s">
        <v>148</v>
      </c>
      <c r="B315" s="229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00" t="s">
        <v>892</v>
      </c>
      <c r="B317" s="229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1124</v>
      </c>
      <c r="C328" s="1579"/>
      <c r="D328" s="1579"/>
      <c r="E328" s="1579"/>
      <c r="F328" s="1579"/>
      <c r="G328" s="1579"/>
      <c r="H328" s="1579"/>
      <c r="I328" s="1579"/>
      <c r="J328" s="1579"/>
      <c r="K328" s="1713">
        <f>SUM(C328:J328)</f>
        <v>0</v>
      </c>
      <c r="L328" s="1579"/>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1162</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87" t="s">
        <v>989</v>
      </c>
      <c r="B343" s="2288"/>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7" t="s">
        <v>960</v>
      </c>
      <c r="B345" s="227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v>696940</v>
      </c>
      <c r="H348" s="1573"/>
      <c r="I348" s="1574"/>
      <c r="J348" s="1574"/>
      <c r="K348" s="1672">
        <f>SUM(C348:J348)</f>
        <v>696940</v>
      </c>
      <c r="L348" s="1573">
        <v>702718</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696940</v>
      </c>
      <c r="H350" s="1674">
        <f t="shared" si="26"/>
        <v>0</v>
      </c>
      <c r="I350" s="1674">
        <f t="shared" si="26"/>
        <v>0</v>
      </c>
      <c r="J350" s="1674">
        <f t="shared" si="26"/>
        <v>0</v>
      </c>
      <c r="K350" s="1674">
        <f t="shared" si="26"/>
        <v>696940</v>
      </c>
      <c r="L350" s="1674">
        <f t="shared" si="26"/>
        <v>702718</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696940</v>
      </c>
      <c r="H352" s="1674">
        <f t="shared" si="27"/>
        <v>0</v>
      </c>
      <c r="I352" s="1674">
        <f t="shared" si="27"/>
        <v>0</v>
      </c>
      <c r="J352" s="1674">
        <f t="shared" si="27"/>
        <v>0</v>
      </c>
      <c r="K352" s="1674">
        <f t="shared" si="27"/>
        <v>696940</v>
      </c>
      <c r="L352" s="1674">
        <f t="shared" si="27"/>
        <v>702718</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1473</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1656</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696940</v>
      </c>
      <c r="H367" s="1674">
        <f t="shared" si="28"/>
        <v>0</v>
      </c>
      <c r="I367" s="1674">
        <f t="shared" si="28"/>
        <v>0</v>
      </c>
      <c r="J367" s="1674">
        <f t="shared" si="28"/>
        <v>0</v>
      </c>
      <c r="K367" s="1674">
        <f t="shared" si="28"/>
        <v>696940</v>
      </c>
      <c r="L367" s="1674">
        <f t="shared" si="28"/>
        <v>702718</v>
      </c>
    </row>
    <row r="368" spans="1:14" ht="13.5" thickTop="1" x14ac:dyDescent="0.2">
      <c r="A368" s="2274" t="s">
        <v>989</v>
      </c>
      <c r="B368" s="2275"/>
      <c r="C368" s="1694"/>
      <c r="D368" s="1694"/>
      <c r="E368" s="1677"/>
      <c r="F368" s="1677"/>
      <c r="G368" s="1677"/>
      <c r="H368" s="1677"/>
      <c r="I368" s="1677"/>
      <c r="J368" s="1676"/>
      <c r="K368" s="1672">
        <f>'Revenues 9-14'!K268-'Expenditures 15-22'!K367</f>
        <v>-403689</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75" bottom="0.35" header="0.5"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purl.org/dc/elements/1.1/"/>
    <ds:schemaRef ds:uri="http://schemas.microsoft.com/sharepoint/v3"/>
    <ds:schemaRef ds:uri="http://purl.org/dc/dcmitype/"/>
    <ds:schemaRef ds:uri="d21dc803-237d-4c68-8692-8d731fd29118"/>
    <ds:schemaRef ds:uri="http://purl.org/dc/terms/"/>
    <ds:schemaRef ds:uri="6ce3111e-7420-4802-b50a-75d4e9a0b980"/>
    <ds:schemaRef ds:uri="4d435f69-8686-490b-bd6d-b153bf22ab50"/>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2020-09-17T21:36:10Z</cp:lastPrinted>
  <dcterms:created xsi:type="dcterms:W3CDTF">2003-10-29T19:06:34Z</dcterms:created>
  <dcterms:modified xsi:type="dcterms:W3CDTF">2020-09-28T13:34:01Z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