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6D12D7D-DCBD-46D3-8F64-C905C431457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Finding 2020-001" sheetId="185" r:id="rId33"/>
    <sheet name="SSPAF" sheetId="177" r:id="rId34"/>
    <sheet name="CAP Finding 001 (2)" sheetId="187" r:id="rId35"/>
  </sheets>
  <definedNames>
    <definedName name="_xlnm._FilterDatabase" localSheetId="23" hidden="1">'AFR20'!$A$1:$F$7884</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4">#REF!</definedName>
    <definedName name="SCHADDRS" localSheetId="14">#REF!</definedName>
    <definedName name="SCHADDRS" localSheetId="21">#REF!</definedName>
    <definedName name="SCHADDRS" localSheetId="4">#REF!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4">#REF!</definedName>
    <definedName name="SCHCTY" localSheetId="14">#REF!</definedName>
    <definedName name="SCHCTY" localSheetId="21">#REF!</definedName>
    <definedName name="SCHCTY" localSheetId="4">#REF!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4">#REF!</definedName>
    <definedName name="SCHNMBR" localSheetId="14">#REF!</definedName>
    <definedName name="SCHNMBR" localSheetId="21">#REF!</definedName>
    <definedName name="SCHNMBR" localSheetId="4">#REF!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4">#REF!</definedName>
    <definedName name="SCHNME" localSheetId="14">#REF!</definedName>
    <definedName name="SCHNME" localSheetId="21">#REF!</definedName>
    <definedName name="SCHNME" localSheetId="4">#REF!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4">#REF!</definedName>
    <definedName name="SUPT" localSheetId="14">#REF!</definedName>
    <definedName name="SUPT" localSheetId="21">#REF!</definedName>
    <definedName name="SUPT" localSheetId="4">#REF!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4" i="8" l="1"/>
  <c r="J33" i="8"/>
  <c r="J31" i="8"/>
  <c r="J32" i="8"/>
  <c r="B4" i="187" l="1"/>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33" i="118"/>
  <c r="D22" i="37"/>
  <c r="L22" i="37"/>
  <c r="B7078" i="106" l="1"/>
  <c r="D7078" i="106" s="1"/>
  <c r="D14" i="4"/>
  <c r="B2570" i="106" s="1"/>
  <c r="D2570" i="106" s="1"/>
  <c r="B2805" i="106"/>
  <c r="D2805" i="106" s="1"/>
  <c r="B2724" i="106"/>
  <c r="D2724" i="106" s="1"/>
  <c r="F52" i="34"/>
  <c r="B7831" i="106" s="1"/>
  <c r="D7831" i="106" s="1"/>
  <c r="G35" i="108"/>
  <c r="C129" i="29"/>
  <c r="D24" i="37"/>
  <c r="B4270" i="106" s="1"/>
  <c r="D4270" i="106" s="1"/>
  <c r="B1868" i="106"/>
  <c r="D1868" i="106" s="1"/>
  <c r="F50" i="34"/>
  <c r="F42" i="34"/>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7" i="4" l="1"/>
  <c r="B4444" i="106" s="1"/>
  <c r="D4444" i="106" s="1"/>
  <c r="J151" i="29"/>
  <c r="B7052" i="106" s="1"/>
  <c r="D7052" i="106" s="1"/>
  <c r="L114" i="29"/>
  <c r="L16" i="11"/>
  <c r="B2061" i="106" s="1"/>
  <c r="D2061"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B3414" i="106"/>
  <c r="D3414" i="106" s="1"/>
  <c r="D34" i="36"/>
  <c r="B1645" i="106"/>
  <c r="D1645" i="106" s="1"/>
  <c r="B3321" i="106"/>
  <c r="D3321" i="106" s="1"/>
  <c r="B1687" i="106"/>
  <c r="D1687" i="106" s="1"/>
  <c r="D35" i="36" l="1"/>
  <c r="D13" i="3"/>
  <c r="B109" i="106" s="1"/>
  <c r="D109" i="106" s="1"/>
  <c r="D36" i="36"/>
  <c r="H24" i="118"/>
  <c r="K24" i="118" s="1"/>
  <c r="O23" i="118" s="1"/>
  <c r="O25" i="118" s="1"/>
  <c r="C13" i="3"/>
  <c r="B77" i="106" s="1"/>
  <c r="D77" i="106" s="1"/>
  <c r="B3411" i="106"/>
  <c r="D3411"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<sst xmlns="http://schemas.openxmlformats.org/spreadsheetml/2006/main" count="5213" uniqueCount="2123">
  <si>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</si>
  <si>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</si>
  <si>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</si>
  <si>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</si>
  <si>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</si>
  <si>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</si>
  <si>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</si>
  <si>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</si>
  <si>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</si>
  <si>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</si>
  <si>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</si>
  <si>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</si>
  <si>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</si>
  <si>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</si>
  <si>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</si>
  <si>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</si>
  <si>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</si>
  <si>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</si>
  <si>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</si>
  <si>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</si>
  <si>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</si>
  <si>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</si>
  <si>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</si>
  <si>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</si>
  <si>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</si>
  <si>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</si>
  <si>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</si>
  <si>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</si>
  <si>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</si>
  <si>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</si>
  <si>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</si>
  <si>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</si>
  <si>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</si>
  <si>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</si>
  <si>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</si>
  <si>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</si>
  <si>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</si>
  <si>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</si>
  <si>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</si>
  <si>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</si>
  <si>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</si>
  <si>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</si>
  <si>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</si>
  <si>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</si>
  <si>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</si>
  <si>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</si>
  <si>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</si>
  <si>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</si>
  <si>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</si>
  <si>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</si>
  <si>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</si>
  <si>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</si>
  <si>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</si>
  <si>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</si>
  <si>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</si>
  <si>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</si>
  <si>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</si>
  <si>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</si>
  <si>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</si>
  <si>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</si>
  <si>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</si>
  <si>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</si>
  <si>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</si>
  <si>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</si>
  <si>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</si>
  <si>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</si>
  <si>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</si>
  <si>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</si>
  <si>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</si>
  <si>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</si>
  <si>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</si>
  <si>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</si>
  <si>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</si>
  <si>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</si>
  <si>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</si>
  <si>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</si>
  <si>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</si>
  <si>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</si>
  <si>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</si>
  <si>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</si>
  <si>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</si>
  <si>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</si>
  <si>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</si>
  <si>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</si>
  <si>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</si>
  <si>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</si>
  <si>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</si>
  <si>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</si>
  <si>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</si>
  <si>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</si>
  <si>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</si>
  <si>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</si>
  <si>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</si>
  <si>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</si>
  <si>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</si>
  <si>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</si>
  <si>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</si>
  <si>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</si>
  <si>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</si>
  <si>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</si>
  <si>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</si>
  <si>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</si>
  <si>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</si>
  <si>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</si>
  <si>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</si>
  <si>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</si>
  <si>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</si>
  <si>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</si>
  <si>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</si>
  <si>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</si>
  <si>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</si>
  <si>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</si>
  <si>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</si>
  <si>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</si>
  <si>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</si>
  <si>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</si>
  <si>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</si>
  <si>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</si>
  <si>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</si>
  <si>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</si>
  <si>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</si>
  <si>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</si>
  <si>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</si>
  <si>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</si>
  <si>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</si>
  <si>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</si>
  <si>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</si>
  <si>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</si>
  <si>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</si>
  <si>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</si>
  <si>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</si>
  <si>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</si>
  <si>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</si>
  <si>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</si>
  <si>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</si>
  <si>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</si>
  <si>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</si>
  <si>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</si>
  <si>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</si>
  <si>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</si>
  <si>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</si>
  <si>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</si>
  <si>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</si>
  <si>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</si>
  <si>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</si>
  <si>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</si>
  <si>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</si>
  <si>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</si>
  <si>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</si>
  <si>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</si>
  <si>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</si>
  <si>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</si>
  <si>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</si>
  <si>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</si>
  <si>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</si>
  <si>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</si>
  <si>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</si>
  <si>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</si>
  <si>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</si>
  <si>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</si>
  <si>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</si>
  <si>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</si>
  <si>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</si>
  <si>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</si>
  <si>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</si>
  <si>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</si>
  <si>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</si>
  <si>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</si>
  <si>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</si>
  <si>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</si>
  <si>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</si>
  <si>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</si>
  <si>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</si>
  <si>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</si>
  <si>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</si>
  <si>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</si>
  <si>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</si>
  <si>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</si>
  <si>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</si>
  <si>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</si>
  <si>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</si>
  <si>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</si>
  <si>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</si>
  <si>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</si>
  <si>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</si>
  <si>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</si>
  <si>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</si>
  <si>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</si>
  <si>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</si>
  <si>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</si>
  <si>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</si>
  <si>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</si>
  <si>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</si>
  <si>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</si>
  <si>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</si>
  <si>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</si>
  <si>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</si>
  <si>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</si>
  <si>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</si>
  <si>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</si>
  <si>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</si>
  <si>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</si>
  <si>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</si>
  <si>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</si>
  <si>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</si>
  <si>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</si>
  <si>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</si>
  <si>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</si>
  <si>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</si>
  <si>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</si>
  <si>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</si>
  <si>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</si>
  <si>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</si>
  <si>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</si>
  <si>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</si>
  <si>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</si>
  <si>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</si>
  <si>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</si>
  <si>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</si>
  <si>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</si>
  <si>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</si>
  <si>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</si>
  <si>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</si>
  <si>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</si>
  <si>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</si>
  <si>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</si>
  <si>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</si>
  <si>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</si>
  <si>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</si>
  <si>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</si>
  <si>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</si>
  <si>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</si>
  <si>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</si>
  <si>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</si>
  <si>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</si>
  <si>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</si>
  <si>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</si>
  <si>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</si>
  <si>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</si>
  <si>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</si>
  <si>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</si>
  <si>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</si>
  <si>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</si>
  <si>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</si>
  <si>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</si>
  <si>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</si>
  <si>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</si>
  <si>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</si>
  <si>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</si>
  <si>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</si>
  <si>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</si>
  <si>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</si>
  <si>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</si>
  <si>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</si>
  <si>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</si>
  <si>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</si>
  <si>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</si>
  <si>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</si>
  <si>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</si>
  <si>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</si>
  <si>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</si>
  <si>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</si>
  <si>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</si>
  <si>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</si>
  <si>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</si>
  <si>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</si>
  <si>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</si>
  <si>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</si>
  <si>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</si>
  <si>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</si>
  <si>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</si>
  <si>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</si>
  <si>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</si>
  <si>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</si>
  <si>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</si>
  <si>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</si>
  <si>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</si>
  <si>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</si>
  <si>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</si>
  <si>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</si>
  <si>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</si>
  <si>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</si>
  <si>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</si>
  <si>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</si>
  <si>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</si>
  <si>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</si>
  <si>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</si>
  <si>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</si>
  <si>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</si>
  <si>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</si>
  <si>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</si>
  <si>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</si>
  <si>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</si>
  <si>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</si>
  <si>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</si>
  <si>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</si>
  <si>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</si>
  <si>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</si>
  <si>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</si>
  <si>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</si>
  <si>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</si>
  <si>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</si>
  <si>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</si>
  <si>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</si>
  <si>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</si>
  <si>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</si>
  <si>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</si>
  <si>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</si>
  <si>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</si>
  <si>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</si>
  <si>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</si>
  <si>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</si>
  <si>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</si>
  <si>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</si>
  <si>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</si>
  <si>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</si>
  <si>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</si>
  <si>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</si>
  <si>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</si>
  <si>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</si>
  <si>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</si>
  <si>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</si>
  <si>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</si>
  <si>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</si>
  <si>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</si>
  <si>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</si>
  <si>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</si>
  <si>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</si>
  <si>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</si>
  <si>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</si>
  <si>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</si>
  <si>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</si>
  <si>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</si>
  <si>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</si>
  <si>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</si>
  <si>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</si>
  <si>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</si>
  <si>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</si>
  <si>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</si>
  <si>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</si>
  <si>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</si>
  <si>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</si>
  <si>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</si>
  <si>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</si>
  <si>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</si>
  <si>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</si>
  <si>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</si>
  <si>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</si>
  <si>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</si>
  <si>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</si>
  <si>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</si>
  <si>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</si>
  <si>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</si>
  <si>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</si>
  <si>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</si>
  <si>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</si>
  <si>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</si>
  <si>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</si>
  <si>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</si>
  <si>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</si>
  <si>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</si>
  <si>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</si>
  <si>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</si>
  <si>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</si>
  <si>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</si>
  <si>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</si>
  <si>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</si>
  <si>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</si>
  <si>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</si>
  <si>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</si>
  <si>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</si>
  <si>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</si>
  <si>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</si>
  <si>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</si>
  <si>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</si>
  <si>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</si>
  <si>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</si>
  <si>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</si>
  <si>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</si>
  <si>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</si>
  <si>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</si>
  <si>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</si>
  <si>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</si>
  <si>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</si>
  <si>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</si>
  <si>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</si>
  <si>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</si>
  <si>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</si>
  <si>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</si>
  <si>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</si>
  <si>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</si>
  <si>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</si>
  <si>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</si>
  <si>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</si>
  <si>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</si>
  <si>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</si>
  <si>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</si>
  <si>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</si>
  <si>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</si>
  <si>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</si>
  <si>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</si>
  <si>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</si>
  <si>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</si>
  <si>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</si>
  <si>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</si>
  <si>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</si>
  <si>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</si>
  <si>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</si>
  <si>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</si>
  <si>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</si>
  <si>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</si>
  <si>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</si>
  <si>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</si>
  <si>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</si>
  <si>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</si>
  <si>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</si>
  <si>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</si>
  <si>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</si>
  <si>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</si>
  <si>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</si>
  <si>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</si>
  <si>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</si>
  <si>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</si>
  <si>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</si>
  <si>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</si>
  <si>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</si>
  <si>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</si>
  <si>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</si>
  <si>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</si>
  <si>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</si>
  <si>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</si>
  <si>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</si>
  <si>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</si>
  <si>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</si>
  <si>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</si>
  <si>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</si>
  <si>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</si>
  <si>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</si>
  <si>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</si>
  <si>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</si>
  <si>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</si>
  <si>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</si>
  <si>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</si>
  <si>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</si>
  <si>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</si>
  <si>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</si>
  <si>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</si>
  <si>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</si>
  <si>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</si>
  <si>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</si>
  <si>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</si>
  <si>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</si>
  <si>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</si>
  <si>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</si>
  <si>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</si>
  <si>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</si>
  <si>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</si>
  <si>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</si>
  <si>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</si>
  <si>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</si>
  <si>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</si>
  <si>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</si>
  <si>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</si>
  <si>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</si>
  <si>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</si>
  <si>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</si>
  <si>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</si>
  <si>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</si>
  <si>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</si>
  <si>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</si>
  <si>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</si>
  <si>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</si>
  <si>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</si>
  <si>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</si>
  <si>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</si>
  <si>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</si>
  <si>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</si>
  <si>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</si>
  <si>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</si>
  <si>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</si>
  <si>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</si>
  <si>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</si>
  <si>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</si>
  <si>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</si>
  <si>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</si>
  <si>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</si>
  <si>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</si>
  <si>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</si>
  <si>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</si>
  <si>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</si>
  <si>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</si>
  <si>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</si>
  <si>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</si>
  <si>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</si>
  <si>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</si>
  <si>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</si>
  <si>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</si>
  <si>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</si>
  <si>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</si>
  <si>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</si>
  <si>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</si>
  <si>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</si>
  <si>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</si>
  <si>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</si>
  <si>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</si>
  <si>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</si>
  <si>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</si>
  <si>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</si>
  <si>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</si>
  <si>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</si>
  <si>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</si>
  <si>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</si>
  <si>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</si>
  <si>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</si>
  <si>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</si>
  <si>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</si>
  <si>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</si>
  <si>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</si>
  <si>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</si>
  <si>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</si>
  <si>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</si>
  <si>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</si>
  <si>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</si>
  <si>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</si>
  <si>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</si>
  <si>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</si>
  <si>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</si>
  <si>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</si>
  <si>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</si>
  <si>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</si>
  <si>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</si>
  <si>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</si>
  <si>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</si>
  <si>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</si>
  <si>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</si>
  <si>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</si>
  <si>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</si>
  <si>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</si>
  <si>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</si>
  <si>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</si>
  <si>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</si>
  <si>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</si>
  <si>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</si>
  <si>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</si>
  <si>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</si>
  <si>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</si>
  <si>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</si>
  <si>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</si>
  <si>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</si>
  <si>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</si>
  <si>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</si>
  <si>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</si>
  <si>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</si>
  <si>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</si>
  <si>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</si>
  <si>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</si>
  <si>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</si>
  <si>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</si>
  <si>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</si>
  <si>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</si>
  <si>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</si>
  <si>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</si>
  <si>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</si>
  <si>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</si>
  <si>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</si>
  <si>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</si>
  <si>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</si>
  <si>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</si>
  <si>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</si>
  <si>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</si>
  <si>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</si>
  <si>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</si>
  <si>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</si>
  <si>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</si>
  <si>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</si>
  <si>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</si>
  <si>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</si>
  <si>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</si>
  <si>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</si>
  <si>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</si>
  <si>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</si>
  <si>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</si>
  <si>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</si>
  <si>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</si>
  <si>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</si>
  <si>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</si>
  <si>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</si>
  <si>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</si>
  <si>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</si>
  <si>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</si>
  <si>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</si>
  <si>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</si>
  <si>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</si>
  <si>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</si>
  <si>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</si>
  <si>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</si>
  <si>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</si>
  <si>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</si>
  <si>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</si>
  <si>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</si>
  <si>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</si>
  <si>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</si>
  <si>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</si>
  <si>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</si>
  <si>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</si>
  <si>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</si>
  <si>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</si>
  <si>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</si>
  <si>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</si>
  <si>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</si>
  <si>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</si>
  <si>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</si>
  <si>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</si>
  <si>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</si>
  <si>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</si>
  <si>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</si>
  <si>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</si>
  <si>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</si>
  <si>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</si>
  <si>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</si>
  <si>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</si>
  <si>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</si>
  <si>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</si>
  <si>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</si>
  <si>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</si>
  <si>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</si>
  <si>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</si>
  <si>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</si>
  <si>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</si>
  <si>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</si>
  <si>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</si>
  <si>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</si>
  <si>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</si>
  <si>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</si>
  <si>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</si>
  <si>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</si>
  <si>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</si>
  <si>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</si>
  <si>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</si>
  <si>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</si>
  <si>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</si>
  <si>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</si>
  <si>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</si>
  <si>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</si>
  <si>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</si>
  <si>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</si>
  <si>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</si>
  <si>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</si>
  <si>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</si>
  <si>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</si>
  <si>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</si>
  <si>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</si>
  <si>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</si>
  <si>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</si>
  <si>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</si>
  <si>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</si>
  <si>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</si>
  <si>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</si>
  <si>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</si>
  <si>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</si>
  <si>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</si>
  <si>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</si>
  <si>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</si>
  <si>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</si>
  <si>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</si>
  <si>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</si>
  <si>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</si>
  <si>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</si>
  <si>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</si>
  <si>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</si>
  <si>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</si>
  <si>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</si>
  <si>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</si>
  <si>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</si>
  <si>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</si>
  <si>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</si>
  <si>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</si>
  <si>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</si>
  <si>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</si>
  <si>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</si>
  <si>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</si>
  <si>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</si>
  <si>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</si>
  <si>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</si>
  <si>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</si>
  <si>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</si>
  <si>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</si>
  <si>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</si>
  <si>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</si>
  <si>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</si>
  <si>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</si>
  <si>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</si>
  <si>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</si>
  <si>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</si>
  <si>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</si>
  <si>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</si>
  <si>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</si>
  <si>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</si>
  <si>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</si>
  <si>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</si>
  <si>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</si>
  <si>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</si>
  <si>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</si>
  <si>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</si>
  <si>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</si>
  <si>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</si>
  <si>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</si>
  <si>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</si>
  <si>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</si>
  <si>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</si>
  <si>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</si>
  <si>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</si>
  <si>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</si>
  <si>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</si>
  <si>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</si>
  <si>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</si>
  <si>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</si>
  <si>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</si>
  <si>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</si>
  <si>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</si>
  <si>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</si>
  <si>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</si>
  <si>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</si>
  <si>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</si>
  <si>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</si>
  <si>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</si>
  <si>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</si>
  <si>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</si>
  <si>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</si>
  <si>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</si>
  <si>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</si>
  <si>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</si>
  <si>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</si>
  <si>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</si>
  <si>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</si>
  <si>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</si>
  <si>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</si>
  <si>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</si>
  <si>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</si>
  <si>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</si>
  <si>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</si>
  <si>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</si>
  <si>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</si>
  <si>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</si>
  <si>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</si>
  <si>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</si>
  <si>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</si>
  <si>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</si>
  <si>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</si>
  <si>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</si>
  <si>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</si>
  <si>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</si>
  <si>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</si>
  <si>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</si>
  <si>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</si>
  <si>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</si>
  <si>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</si>
  <si>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</si>
  <si>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</si>
  <si>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</si>
  <si>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</si>
  <si>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</si>
  <si>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</si>
  <si>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</si>
  <si>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</si>
  <si>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</si>
  <si>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</si>
  <si>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</si>
  <si>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</si>
  <si>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</si>
  <si>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</si>
  <si>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</si>
  <si>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</si>
  <si>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</si>
  <si>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</si>
  <si>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</si>
  <si>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</si>
  <si>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</si>
  <si>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</si>
  <si>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</si>
  <si>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</si>
  <si>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</si>
  <si>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</si>
  <si>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</si>
  <si>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</si>
  <si>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</si>
  <si>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</si>
  <si>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</si>
  <si>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</si>
  <si>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</si>
  <si>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</si>
  <si>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</si>
  <si>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</si>
  <si>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</si>
  <si>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</si>
  <si>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</si>
  <si>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</si>
  <si>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</si>
  <si>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</si>
  <si>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</si>
  <si>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</si>
  <si>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</si>
  <si>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</si>
  <si>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</si>
  <si>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</si>
  <si>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</si>
  <si>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</si>
  <si>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</si>
  <si>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</si>
  <si>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</si>
  <si>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</si>
  <si>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</si>
  <si>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</si>
  <si>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</si>
  <si>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</si>
  <si>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</si>
  <si>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</si>
  <si>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</si>
  <si>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</si>
  <si>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</si>
  <si>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</si>
  <si>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</si>
  <si>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</si>
  <si>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</si>
  <si>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</si>
  <si>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</si>
  <si>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</si>
  <si>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</si>
  <si>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</si>
  <si>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</si>
  <si>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</si>
  <si>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</si>
  <si>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</si>
  <si>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</si>
  <si>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</si>
  <si>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</si>
  <si>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</si>
  <si>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</si>
  <si>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</si>
  <si>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</si>
  <si>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</si>
  <si>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</si>
  <si>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</si>
  <si>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</si>
  <si>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</si>
  <si>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</si>
  <si>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</si>
  <si>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</si>
  <si>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</si>
  <si>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</si>
  <si>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</si>
  <si>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</si>
  <si>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</si>
  <si>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</si>
  <si>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</si>
  <si>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</si>
  <si>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</si>
  <si>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</si>
  <si>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</si>
  <si>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</si>
  <si>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</si>
  <si>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</si>
  <si>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</si>
  <si>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</si>
  <si>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</si>
  <si>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</si>
  <si>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</si>
  <si>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</si>
  <si>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</si>
  <si>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</si>
  <si>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</si>
  <si>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</si>
  <si>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</si>
  <si>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</si>
  <si>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</si>
  <si>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</si>
  <si>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</si>
  <si>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</si>
  <si>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</si>
  <si>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</si>
  <si>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</si>
  <si>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</si>
  <si>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</si>
  <si>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</si>
  <si>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</si>
  <si>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</si>
  <si>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</si>
  <si>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</si>
  <si>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</si>
  <si>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</si>
  <si>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</si>
  <si>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</si>
  <si>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</si>
  <si>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</si>
  <si>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</si>
  <si>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</si>
  <si>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</si>
  <si>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</si>
  <si>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</si>
  <si>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</si>
  <si>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</si>
  <si>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</si>
  <si>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</si>
  <si>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</si>
  <si>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</si>
  <si>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</si>
  <si>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</si>
  <si>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</si>
  <si>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</si>
  <si>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</si>
  <si>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</si>
  <si>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</si>
  <si>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</si>
  <si>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</si>
  <si>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</si>
  <si>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</si>
  <si>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</si>
  <si>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</si>
  <si>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</si>
  <si>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</si>
  <si>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</si>
  <si>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</si>
  <si>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</si>
  <si>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</si>
  <si>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</si>
  <si>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</si>
  <si>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</si>
  <si>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</si>
  <si>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</si>
  <si>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</si>
  <si>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</si>
  <si>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</si>
  <si>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</si>
  <si>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</si>
  <si>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</si>
  <si>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</si>
  <si>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</si>
  <si>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</si>
  <si>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</si>
  <si>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</si>
  <si>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</si>
  <si>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</si>
  <si>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</si>
  <si>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</si>
  <si>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</si>
  <si>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</si>
  <si>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</si>
  <si>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</si>
  <si>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</si>
  <si>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</si>
  <si>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</si>
  <si>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</si>
  <si>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</si>
  <si>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</si>
  <si>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</si>
  <si>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</si>
  <si>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</si>
  <si>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</si>
  <si>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</si>
  <si>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</si>
  <si>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</si>
  <si>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</si>
  <si>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</si>
  <si>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</si>
  <si>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</si>
  <si>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</si>
  <si>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</si>
  <si>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</si>
  <si>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</si>
  <si>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</si>
  <si>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</si>
  <si>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</si>
  <si>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</si>
  <si>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</si>
  <si>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</si>
  <si>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</si>
  <si>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</si>
  <si>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</si>
  <si>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</si>
  <si>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</si>
  <si>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</si>
  <si>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</si>
  <si>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</si>
  <si>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</si>
  <si>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</si>
  <si>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</si>
  <si>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</si>
  <si>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</si>
  <si>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</si>
  <si>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</si>
  <si>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</si>
  <si>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</si>
  <si>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</si>
  <si>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</si>
  <si>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</si>
  <si>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</si>
  <si>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</si>
  <si>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</si>
  <si>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</si>
  <si>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</si>
  <si>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</si>
  <si>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</si>
  <si>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</si>
  <si>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</si>
  <si>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</si>
  <si>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</si>
  <si>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</si>
  <si>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</si>
  <si>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</si>
  <si>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</si>
  <si>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</si>
  <si>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</si>
  <si>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</si>
  <si>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</si>
  <si>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</si>
  <si>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</si>
  <si>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</si>
  <si>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</si>
  <si>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</si>
  <si>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</si>
  <si>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</si>
  <si>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</si>
  <si>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</si>
  <si>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</si>
  <si>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</si>
  <si>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</si>
  <si>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</si>
  <si>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</si>
  <si>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</si>
  <si>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</si>
  <si>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</si>
  <si>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</si>
  <si>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</si>
  <si>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</si>
  <si>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</si>
  <si>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</si>
  <si>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</si>
  <si>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</si>
  <si>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</si>
  <si>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</si>
  <si>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</si>
  <si>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</si>
  <si>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</si>
  <si>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</si>
  <si>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</si>
  <si>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</si>
  <si>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</si>
  <si>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</si>
  <si>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</si>
  <si>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</si>
  <si>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</si>
  <si>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</si>
  <si>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</si>
  <si>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</si>
  <si>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</si>
  <si>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</si>
  <si>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</si>
  <si>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</si>
  <si>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</si>
  <si>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</si>
  <si>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</si>
  <si>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</si>
  <si>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</si>
  <si>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</si>
  <si>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</si>
  <si>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</si>
  <si>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</si>
  <si>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</si>
  <si>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</si>
  <si>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</si>
  <si>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</si>
  <si>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</si>
  <si>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</si>
  <si>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</si>
  <si>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</si>
  <si>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</si>
  <si>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</si>
  <si>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</si>
  <si>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</si>
  <si>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</si>
  <si>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</si>
  <si>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</si>
  <si>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</si>
  <si>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</si>
  <si>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</si>
  <si>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</si>
  <si>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</si>
  <si>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</si>
  <si>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</si>
  <si>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</si>
  <si>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</si>
  <si>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</si>
  <si>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</si>
  <si>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</si>
  <si>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</si>
  <si>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</si>
  <si>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</si>
  <si>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</si>
  <si>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</si>
  <si>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</si>
  <si>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</si>
  <si>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</si>
  <si>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</si>
  <si>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</si>
  <si>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</si>
  <si>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</si>
  <si>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</si>
  <si>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</si>
  <si>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</si>
  <si>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</si>
  <si>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</si>
  <si>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</si>
  <si>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</si>
  <si>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</si>
  <si>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</si>
  <si>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</si>
  <si>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</si>
  <si>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</si>
  <si>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</si>
  <si>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</si>
  <si>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</si>
  <si>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</si>
  <si>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</si>
  <si>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</si>
  <si>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</si>
  <si>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</si>
  <si>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</si>
  <si>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</si>
  <si>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</si>
  <si>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</si>
  <si>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</si>
  <si>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</si>
  <si>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</si>
  <si>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</si>
  <si>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</si>
  <si>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</si>
  <si>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</si>
  <si>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</si>
  <si>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</si>
  <si>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</si>
  <si>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</si>
  <si>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</si>
  <si>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</si>
  <si>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</si>
  <si>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</si>
  <si>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</si>
  <si>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</si>
  <si>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</si>
  <si>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</si>
  <si>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</si>
  <si>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</si>
  <si>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</si>
  <si>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</si>
  <si>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</si>
  <si>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</si>
  <si>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</si>
  <si>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</si>
  <si>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</si>
  <si>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</si>
  <si>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</si>
  <si>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</si>
  <si>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</si>
  <si>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</si>
  <si>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</si>
  <si>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</si>
  <si>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</si>
  <si>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</si>
  <si>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</si>
  <si>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</si>
  <si>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</si>
  <si>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</si>
  <si>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</si>
  <si>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</si>
  <si>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</si>
  <si>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</si>
  <si>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</si>
  <si>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</si>
  <si>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</si>
  <si>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</si>
  <si>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</si>
  <si>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</si>
  <si>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</si>
  <si>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</si>
  <si>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</si>
  <si>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</si>
  <si>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</si>
  <si>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</si>
  <si>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</si>
  <si>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</si>
  <si>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</si>
  <si>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</si>
  <si>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</si>
  <si>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</si>
  <si>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</si>
  <si>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</si>
  <si>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</si>
  <si>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</si>
  <si>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</si>
  <si>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</si>
  <si>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</si>
  <si>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</si>
  <si>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</si>
  <si>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</si>
  <si>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</si>
  <si>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</si>
  <si>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</si>
  <si>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</si>
  <si>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</si>
  <si>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</si>
  <si>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</si>
  <si>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</si>
  <si>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</si>
  <si>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</si>
  <si>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</si>
  <si>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</si>
  <si>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</si>
  <si>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</si>
  <si>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</si>
  <si>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</si>
  <si>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</si>
  <si>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</si>
  <si>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</si>
  <si>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</si>
  <si>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</si>
  <si>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</si>
  <si>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</si>
  <si>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</si>
  <si>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</si>
  <si>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</si>
  <si>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</si>
  <si>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</si>
  <si>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</si>
  <si>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</si>
  <si>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</si>
  <si>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</si>
  <si>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</si>
  <si>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</si>
  <si>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</si>
  <si>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</si>
  <si>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</si>
  <si>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</si>
  <si>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</si>
  <si>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</si>
  <si>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</si>
  <si>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</si>
  <si>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</si>
  <si>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</si>
  <si>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</si>
  <si>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</si>
  <si>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</si>
  <si>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</si>
  <si>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</si>
  <si>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</si>
  <si>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</si>
  <si>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</si>
  <si>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</si>
  <si>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</si>
  <si>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</si>
  <si>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</si>
  <si>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</si>
  <si>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</si>
  <si>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</si>
  <si>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</si>
  <si>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</si>
  <si>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</si>
  <si>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</si>
  <si>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</si>
  <si>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</si>
  <si>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</si>
  <si>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</si>
  <si>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</si>
  <si>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</si>
  <si>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</si>
  <si>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</si>
  <si>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</si>
  <si>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</si>
  <si>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</si>
  <si>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</si>
  <si>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</si>
  <si>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</si>
  <si>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</si>
  <si>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</si>
  <si>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</si>
  <si>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</si>
  <si>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</si>
  <si>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</si>
  <si>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</si>
  <si>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</si>
  <si>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</si>
  <si>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</si>
  <si>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</si>
  <si>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</si>
  <si>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</si>
  <si>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</si>
  <si>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</si>
  <si>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</si>
  <si>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</si>
  <si>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</si>
  <si>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</si>
  <si>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</si>
  <si>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</si>
  <si>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</si>
  <si>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</si>
  <si>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</si>
  <si>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</si>
  <si>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</si>
  <si>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</si>
  <si>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</si>
  <si>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</si>
  <si>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</si>
  <si>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</si>
  <si>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</si>
  <si>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</si>
  <si>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</si>
  <si>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</si>
  <si>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</si>
  <si>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</si>
  <si>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</si>
  <si>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</si>
  <si>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</si>
  <si>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</si>
  <si>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</si>
  <si>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</si>
  <si>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</si>
  <si>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</si>
  <si>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</si>
  <si>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</si>
  <si>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</si>
  <si>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</si>
  <si>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</si>
  <si>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</si>
  <si>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</si>
  <si>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</si>
  <si>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</si>
  <si>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</si>
  <si>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</si>
  <si>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</si>
  <si>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</si>
  <si>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</si>
  <si>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</si>
  <si>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</si>
  <si>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</si>
  <si>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</si>
  <si>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</si>
  <si>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</si>
  <si>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</si>
  <si>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</si>
  <si>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</si>
  <si>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</si>
  <si>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</si>
  <si>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</si>
  <si>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</si>
  <si>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</si>
  <si>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</si>
  <si>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</si>
  <si>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</si>
  <si>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</si>
  <si>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</si>
  <si>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</si>
  <si>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</si>
  <si>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</si>
  <si>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</si>
  <si>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</si>
  <si>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</si>
  <si>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</si>
  <si>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</si>
  <si>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</si>
  <si>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</si>
  <si>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</si>
  <si>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</si>
  <si>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</si>
  <si>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</si>
  <si>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</si>
  <si>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</si>
  <si>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</si>
  <si>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</si>
  <si>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</si>
  <si>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</si>
  <si>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</si>
  <si>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</si>
  <si>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</si>
  <si>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</si>
  <si>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</si>
  <si>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</si>
  <si>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</si>
  <si>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</si>
  <si>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</si>
  <si>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</si>
  <si>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</si>
  <si>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</si>
  <si>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</si>
  <si>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</si>
  <si>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</si>
  <si>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</si>
  <si>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</si>
  <si>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</si>
  <si>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</si>
  <si>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</si>
  <si>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</si>
  <si>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</si>
  <si>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</si>
  <si>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</si>
  <si>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</si>
  <si>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</si>
  <si>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</si>
  <si>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</si>
  <si>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</si>
  <si>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</si>
  <si>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</si>
  <si>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</si>
  <si>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</si>
  <si>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</si>
  <si>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</si>
  <si>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</si>
  <si>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</si>
  <si>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</si>
  <si>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</si>
  <si>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</si>
  <si>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</si>
  <si>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</si>
  <si>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</si>
  <si>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</si>
  <si>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</si>
  <si>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</si>
  <si>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</si>
  <si>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</si>
  <si>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</si>
  <si>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</si>
  <si>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</si>
  <si>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</si>
  <si>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</si>
  <si>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</si>
  <si>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</si>
  <si>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</si>
  <si>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</si>
  <si>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</si>
  <si>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</si>
  <si>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</si>
  <si>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</si>
  <si>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</si>
  <si>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</si>
  <si>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</si>
  <si>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</si>
  <si>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</si>
  <si>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</si>
  <si>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</si>
  <si>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</si>
  <si>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</si>
  <si>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</si>
  <si>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</si>
  <si>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</si>
  <si>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</si>
  <si>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</si>
  <si>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</si>
  <si>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</si>
  <si>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</si>
  <si>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</si>
  <si>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</si>
  <si>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</si>
  <si>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</si>
  <si>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</si>
  <si>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</si>
  <si>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</si>
  <si>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</si>
  <si>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</si>
  <si>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</si>
  <si>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</si>
  <si>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</si>
  <si>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</si>
  <si>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</si>
  <si>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</si>
  <si>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</si>
  <si>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</si>
  <si>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</si>
  <si>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</si>
  <si>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</si>
  <si>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</si>
  <si>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</si>
  <si>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</si>
  <si>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</si>
  <si>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</si>
  <si>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</si>
  <si>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</si>
  <si>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</si>
  <si>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</si>
  <si>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</si>
  <si>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</si>
  <si>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</si>
  <si>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</si>
  <si>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</si>
  <si>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</si>
  <si>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</si>
  <si>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</si>
  <si>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</si>
  <si>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</si>
  <si>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</si>
  <si>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</si>
  <si>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</si>
  <si>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</si>
  <si>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</si>
  <si>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</si>
  <si>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</si>
  <si>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</si>
  <si>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</si>
  <si>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</si>
  <si>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</si>
  <si>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</si>
  <si>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</si>
  <si>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</si>
  <si>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</si>
  <si>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</si>
  <si>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</si>
  <si>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</si>
  <si>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</si>
  <si>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</si>
  <si>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</si>
  <si>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</si>
  <si>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</si>
  <si>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</si>
  <si>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</si>
  <si>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</si>
  <si>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</si>
  <si>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</si>
  <si>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</si>
  <si>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</si>
  <si>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</si>
  <si>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</si>
  <si>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</si>
  <si>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</si>
  <si>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</si>
  <si>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</si>
  <si>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</si>
  <si>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</si>
  <si>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</si>
  <si>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</si>
  <si>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</si>
  <si>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</si>
  <si>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</si>
  <si>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</si>
  <si>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</si>
  <si>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</si>
  <si>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</si>
  <si>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</si>
  <si>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</si>
  <si>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</si>
  <si>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</si>
  <si>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</si>
  <si>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</si>
  <si>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</si>
  <si>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</si>
  <si>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</si>
  <si>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</si>
  <si>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</si>
  <si>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</si>
  <si>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</si>
  <si>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</si>
  <si>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</si>
  <si>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</si>
  <si>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</si>
  <si>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</si>
  <si>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</si>
  <si>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</si>
  <si>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</si>
  <si>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</si>
  <si>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</si>
  <si>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</si>
  <si>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</si>
  <si>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</si>
  <si>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</si>
  <si>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</si>
  <si>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</si>
  <si>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</si>
  <si>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</si>
  <si>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</si>
  <si>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</si>
  <si>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</si>
  <si>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</si>
  <si>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</si>
  <si>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</si>
  <si>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</si>
  <si>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</si>
  <si>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</si>
  <si>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</si>
  <si>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</si>
  <si>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</si>
  <si>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</si>
  <si>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</si>
  <si>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</si>
  <si>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</si>
  <si>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</si>
  <si>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</si>
  <si>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</si>
  <si>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</si>
  <si>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</si>
  <si>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</si>
  <si>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</si>
  <si>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</si>
  <si>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</si>
  <si>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</si>
  <si>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</si>
  <si>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</si>
  <si>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</si>
  <si>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</si>
  <si>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</si>
  <si>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</si>
  <si>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</si>
  <si>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</si>
  <si>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</si>
  <si>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</si>
  <si>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</si>
  <si>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</si>
  <si>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</si>
  <si>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</si>
  <si>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</si>
  <si>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</si>
  <si>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</si>
  <si>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</si>
  <si>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</si>
  <si>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</si>
  <si>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</si>
  <si>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</si>
  <si>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</si>
  <si>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</si>
  <si>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</si>
  <si>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</si>
  <si>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</si>
  <si>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</si>
  <si>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</si>
  <si>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</si>
  <si>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</si>
  <si>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</si>
  <si>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</si>
  <si>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</si>
  <si>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</si>
  <si>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</si>
  <si>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</si>
  <si>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</si>
  <si>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</si>
  <si>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</si>
  <si>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</si>
  <si>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</si>
  <si>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</si>
  <si>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</si>
  <si>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</si>
  <si>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</si>
  <si>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</si>
  <si>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</si>
  <si>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</si>
  <si>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</si>
  <si>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</si>
  <si>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</si>
  <si>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</si>
  <si>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</si>
  <si>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</si>
  <si>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</si>
  <si>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</si>
  <si>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</si>
  <si>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</si>
  <si>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</si>
  <si>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</si>
  <si>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</si>
  <si>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</si>
  <si>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</si>
  <si>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</si>
  <si>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</si>
  <si>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</si>
  <si>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</si>
  <si>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</si>
  <si>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</si>
  <si>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</si>
  <si>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</si>
  <si>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</si>
  <si>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</si>
  <si>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</si>
  <si>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</si>
  <si>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</si>
  <si>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</si>
  <si>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</si>
  <si>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</si>
  <si>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</si>
  <si>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</si>
  <si>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</si>
  <si>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</si>
  <si>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</si>
  <si>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</si>
  <si>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</si>
  <si>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</si>
  <si>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</si>
  <si>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</si>
  <si>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</si>
  <si>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</si>
  <si>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</si>
  <si>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</si>
  <si>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</si>
  <si>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</si>
  <si>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</si>
  <si>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</si>
  <si>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</si>
  <si>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</si>
  <si>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</si>
  <si>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</si>
  <si>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</si>
  <si>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</si>
  <si>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</si>
  <si>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</si>
  <si>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</si>
  <si>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</si>
  <si>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</si>
  <si>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</si>
  <si>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</si>
  <si>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</si>
  <si>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</si>
  <si>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</si>
  <si>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</si>
  <si>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</si>
  <si>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</si>
  <si>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</si>
  <si>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</si>
  <si>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</si>
  <si>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</si>
  <si>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</si>
  <si>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</si>
  <si>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</si>
  <si>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</si>
  <si>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</si>
  <si>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</si>
  <si>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</si>
  <si>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</si>
  <si>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</si>
  <si>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</si>
  <si>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</si>
  <si>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</si>
  <si>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</si>
  <si>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</si>
  <si>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</si>
  <si>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</si>
  <si>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</si>
  <si>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</si>
  <si>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</si>
  <si>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</si>
  <si>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</si>
  <si>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</si>
  <si>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</si>
  <si>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</si>
  <si>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</si>
  <si>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</si>
  <si>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</si>
  <si>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</si>
  <si>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</si>
  <si>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</si>
  <si>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</si>
  <si>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</si>
  <si>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</si>
  <si>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</si>
  <si>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</si>
  <si>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</si>
  <si>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</si>
  <si>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</si>
  <si>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</si>
  <si>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</si>
  <si>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</si>
  <si>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</si>
  <si>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</si>
  <si>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</si>
  <si>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</si>
  <si>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</si>
  <si>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</si>
  <si>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</si>
  <si>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</si>
  <si>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</si>
  <si>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</si>
  <si>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</si>
  <si>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</si>
  <si>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</si>
  <si>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</si>
  <si>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</si>
  <si>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</si>
  <si>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</si>
  <si>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</si>
  <si>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</si>
  <si>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</si>
  <si>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</si>
  <si>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</si>
  <si>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</si>
  <si>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</si>
  <si>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</si>
  <si>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</si>
  <si>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</si>
  <si>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</si>
  <si>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</si>
  <si>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</si>
  <si>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</si>
  <si>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</si>
  <si>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</si>
  <si>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</si>
  <si>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</si>
  <si>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</si>
  <si>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</si>
  <si>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</si>
  <si>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</si>
  <si>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</si>
  <si>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</si>
  <si>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</si>
  <si>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</si>
  <si>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</si>
  <si>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</si>
  <si>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</si>
  <si>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</si>
  <si>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</si>
  <si>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</si>
  <si>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</si>
  <si>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</si>
  <si>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</si>
  <si>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</si>
  <si>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</si>
  <si>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</si>
  <si>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</si>
  <si>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</si>
  <si>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</si>
  <si>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</si>
  <si>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</si>
  <si>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</si>
  <si>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</si>
  <si>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</si>
  <si>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</si>
  <si>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</si>
  <si>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</si>
  <si>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</si>
  <si>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</si>
  <si>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</si>
  <si>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</si>
  <si>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</si>
  <si>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</si>
  <si>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</si>
  <si>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</si>
  <si>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</si>
  <si>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</si>
  <si>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</si>
  <si>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</si>
  <si>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</si>
  <si>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</si>
  <si>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</si>
  <si>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</si>
  <si>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</si>
  <si>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</si>
  <si>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</si>
  <si>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</si>
  <si>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</si>
  <si>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</si>
  <si>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</si>
  <si>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</si>
  <si>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</si>
  <si>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</si>
  <si>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</si>
  <si>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</si>
  <si>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</si>
  <si>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</si>
  <si>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</si>
  <si>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</si>
  <si>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</si>
  <si>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</si>
  <si>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</si>
  <si>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</si>
  <si>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</si>
  <si>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</si>
  <si>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</si>
  <si>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</si>
  <si>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</si>
  <si>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</si>
  <si>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</si>
  <si>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</si>
  <si>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</si>
  <si>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</si>
  <si>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</si>
  <si>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</si>
  <si>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</si>
  <si>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</si>
  <si>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</si>
  <si>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</si>
  <si>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</si>
  <si>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</si>
  <si>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</si>
  <si>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</si>
  <si>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</si>
  <si>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</si>
  <si>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</si>
  <si>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</si>
  <si>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</si>
  <si>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</si>
  <si>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</si>
  <si>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</si>
  <si>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</si>
  <si>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</si>
  <si>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</si>
  <si>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</si>
  <si>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</si>
  <si>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</si>
  <si>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</si>
  <si>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</si>
  <si>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</si>
  <si>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</si>
  <si>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</si>
  <si>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</si>
  <si>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</si>
  <si>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</si>
  <si>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</si>
  <si>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</si>
  <si>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</si>
  <si>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</si>
  <si>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</si>
  <si>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</si>
  <si>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</si>
  <si>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</si>
  <si>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</si>
  <si>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</si>
  <si>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</si>
  <si>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</si>
  <si>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</si>
  <si>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</si>
  <si>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</si>
  <si>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</si>
  <si>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</si>
  <si>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</si>
  <si>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</si>
  <si>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</si>
  <si>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</si>
  <si>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</si>
  <si>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</si>
  <si>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</si>
  <si>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</si>
  <si>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</si>
  <si>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</si>
  <si>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</si>
  <si>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</si>
  <si>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</si>
  <si>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</si>
  <si>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</si>
  <si>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</si>
  <si>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</si>
  <si>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</si>
  <si>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</si>
  <si>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</si>
  <si>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</si>
  <si>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</si>
  <si>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</si>
  <si>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</si>
  <si>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</si>
  <si>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</si>
  <si>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</si>
  <si>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</si>
  <si>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</si>
  <si>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</si>
  <si>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</si>
  <si>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</si>
  <si>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</si>
  <si>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</si>
  <si>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</si>
  <si>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</si>
  <si>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</si>
  <si>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</si>
  <si>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</si>
  <si>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</si>
  <si>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</si>
  <si>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</si>
  <si>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</si>
  <si>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</si>
  <si>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</si>
  <si>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</si>
  <si>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</si>
  <si>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</si>
  <si>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</si>
  <si>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</si>
  <si>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</si>
  <si>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</si>
  <si>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</si>
  <si>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</si>
  <si>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</si>
  <si>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</si>
  <si>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</si>
  <si>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</si>
  <si>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</si>
  <si>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</si>
  <si>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</si>
  <si>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</si>
  <si>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</si>
  <si>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</si>
  <si>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</si>
  <si>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</si>
  <si>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</si>
  <si>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</si>
  <si>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</si>
  <si>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</si>
  <si>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</si>
  <si>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</si>
  <si>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</si>
  <si>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</si>
  <si>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</si>
  <si>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</si>
  <si>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</si>
  <si>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</si>
  <si>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</si>
  <si>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</si>
  <si>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</si>
  <si>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</si>
  <si>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</si>
  <si>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</si>
  <si>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</si>
  <si>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</si>
  <si>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</si>
  <si>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</si>
  <si>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</si>
  <si>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</si>
  <si>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</si>
  <si>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</si>
  <si>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</si>
  <si>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</si>
  <si>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</si>
  <si>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</si>
  <si>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</si>
  <si>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</si>
  <si>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</si>
  <si>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</si>
  <si>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</si>
  <si>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</si>
  <si>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</si>
  <si>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</si>
  <si>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</si>
  <si>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</si>
  <si>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</si>
  <si>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</si>
  <si>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</si>
  <si>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</si>
  <si>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</si>
  <si>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</si>
  <si>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</si>
  <si>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</si>
  <si>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</si>
  <si>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</si>
  <si>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</si>
  <si>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</si>
  <si>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</si>
  <si>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</si>
  <si>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</si>
  <si>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</si>
  <si>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</si>
  <si>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</si>
  <si>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</si>
  <si>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</si>
  <si>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</si>
  <si>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</si>
  <si>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</si>
  <si>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</si>
  <si>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</si>
  <si>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</si>
  <si>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</si>
  <si>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</si>
  <si>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</si>
  <si>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</si>
  <si>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</si>
  <si>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</si>
  <si>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53-090-0980-02</t>
  </si>
  <si>
    <t>Tazewell</t>
  </si>
  <si>
    <t>Rankin Community School District No. 98</t>
  </si>
  <si>
    <t>13716 South 5th Street</t>
  </si>
  <si>
    <t>Pekin</t>
  </si>
  <si>
    <t>mgordon@rankin98.org</t>
  </si>
  <si>
    <t>Matt Gordon</t>
  </si>
  <si>
    <t>mgordon@rankin98,org</t>
  </si>
  <si>
    <t>(309) 346-3182</t>
  </si>
  <si>
    <t>(309) 346-7928</t>
  </si>
  <si>
    <t>Russell J. Rumbold II, CPA</t>
  </si>
  <si>
    <t>rrumbold@gorenzcpa.com</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</si>
  <si>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</si>
  <si>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</si>
  <si>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a limited number of employees.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</si>
  <si>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</si>
  <si>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</si>
  <si>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</si>
  <si>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</si>
  <si>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2020-</t>
  </si>
  <si>
    <t>2019-001</t>
  </si>
  <si>
    <t>2019-002</t>
  </si>
  <si>
    <t>Segregation of Duties</t>
  </si>
  <si>
    <t>Expertise to Prepare Financial Statements</t>
  </si>
  <si>
    <t>Unresolved - See Finding 2020-001</t>
  </si>
  <si>
    <t>Resolved</t>
  </si>
  <si>
    <r>
      <t>CORRECTIVE ACTION PLAN FOR CURRENT YEAR AUDIT FINDINGS</t>
    </r>
    <r>
      <rPr>
        <b/>
        <vertAlign val="superscript"/>
        <sz val="9"/>
        <rFont val="Arial"/>
        <family val="2"/>
      </rPr>
      <t>21</t>
    </r>
  </si>
  <si>
    <t>Corrective Action Plan</t>
  </si>
  <si>
    <t>Finding No.:</t>
  </si>
  <si>
    <t>Condition:</t>
  </si>
  <si>
    <t>A limited number of employees have the primary responsibility for performing most of the accounting and financial duties including key functions of recording, reconciling, and reporting cash transactions. This structure reduces certain aspects of the internal control structure which rely on adequate segregation of duties.</t>
  </si>
  <si>
    <t>Plan:</t>
  </si>
  <si>
    <t>Anticipated Date of Completion:</t>
  </si>
  <si>
    <t>Name of Contact Person:</t>
  </si>
  <si>
    <t>Matt Gordon, Superintendent</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</si>
  <si>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</si>
  <si>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</si>
  <si>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June 30, 2021</t>
  </si>
  <si>
    <t>Part C, #20 - See Finding 2020-001</t>
  </si>
  <si>
    <t>2015 Series A Bond</t>
  </si>
  <si>
    <t>2015 Series B Bond</t>
  </si>
  <si>
    <t>2015 Working Cash Bond</t>
  </si>
  <si>
    <t>2017 Building Bond</t>
  </si>
  <si>
    <t>NONE</t>
  </si>
  <si>
    <t>TMCSEA</t>
  </si>
  <si>
    <t>City of Pekin</t>
  </si>
  <si>
    <t>Wendolin Consulting Group</t>
  </si>
  <si>
    <t>South Pekin Grade School, Spring Lake Grade School</t>
  </si>
  <si>
    <t>Page 12, Line 180: REAP Grant</t>
  </si>
  <si>
    <t>Page 15, Line 41: Academic/Other Awards, Hearing &amp; Vision Screening</t>
  </si>
  <si>
    <t>Page 18, Line 171: Bond Service Fees</t>
  </si>
  <si>
    <t>Page 29, Line 80: "PLEASE ENTER CONTRACT IN THE CURRENT YEAR"</t>
  </si>
  <si>
    <t>For the current fiscal year under audit, the District did not have any qualifying contracts</t>
  </si>
  <si>
    <t>exceeding the $25,000 limit</t>
  </si>
  <si>
    <t xml:space="preserve">    sequence of findings.  For example, findings identified and reported in the audit of fiscal year 2020 would be assigned a reference </t>
  </si>
  <si>
    <t xml:space="preserve">    number of 2020-001, 2020-002, etc.  The sheet is formatted so that only the number need be entered (1, 2, etc.).</t>
  </si>
  <si>
    <t>We understand that our staff size will not allow for complete segregation of duties.</t>
  </si>
  <si>
    <t>We do have mitigating controls in place such as management and Board of Education</t>
  </si>
  <si>
    <t>oversight of the budget and review of monthly financial reports.</t>
  </si>
  <si>
    <t>The assignment of tasks and responsibilities among employees is reviewed on an annual basis.</t>
  </si>
  <si>
    <t>Page 10, Line 107: Refunds and Reimbursements</t>
  </si>
  <si>
    <t>See PDF version</t>
  </si>
  <si>
    <t xml:space="preserve">  Rankin CSD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</si>
</sst>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quotePrefix="1" applyNumberFormat="1" applyAlignment="1" applyProtection="1">
      <alignment horizontal="left" indent="2"/>
      <protection locked="0"/>
    </xf>
    <xf numFmtId="0" fontId="11" fillId="0" borderId="0" xfId="3" applyProtection="1">
      <protection locked="0"/>
    </xf>
    <xf numFmtId="0" fontId="11" fillId="0" borderId="0" xfId="3" applyAlignment="1" applyProtection="1">
      <alignment wrapText="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55" fillId="0" borderId="0" xfId="3" applyFont="1" applyBorder="1" applyAlignment="1" applyProtection="1">
      <alignment vertical="center" wrapText="1"/>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55" fillId="0" borderId="0" xfId="3" applyNumberFormat="1" applyFont="1" applyAlignment="1" applyProtection="1">
      <alignment horizontal="center" vertical="center" wrapText="1"/>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0" fontId="11" fillId="0" borderId="0" xfId="3"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5">
        <f>+'AFR20'!E4</f>
        <v>44119</v>
      </c>
      <c r="C1" s="2085"/>
      <c r="D1" s="2086"/>
      <c r="I1" s="2164" t="s">
        <v>402</v>
      </c>
      <c r="J1" s="2165"/>
      <c r="K1" s="2165"/>
      <c r="L1" s="2165"/>
      <c r="M1" s="2165"/>
      <c r="N1" s="2165"/>
      <c r="O1" s="2165"/>
      <c r="P1" s="2165"/>
      <c r="Q1" s="2165"/>
      <c r="R1" s="2165"/>
      <c r="S1" s="2165"/>
    </row>
    <row r="2" spans="1:32" ht="12" customHeight="1" x14ac:dyDescent="0.2">
      <c r="A2" s="1831" t="str">
        <f>"Due to ISBE on "</f>
        <v xml:space="preserve">Due to ISBE on </v>
      </c>
      <c r="B2" s="2087">
        <f>+'AFR20'!F4</f>
        <v>44151</v>
      </c>
      <c r="C2" s="2087"/>
      <c r="D2" s="2088"/>
      <c r="I2" s="2166" t="s">
        <v>2002</v>
      </c>
      <c r="J2" s="2165"/>
      <c r="K2" s="2165"/>
      <c r="L2" s="2165"/>
      <c r="M2" s="2165"/>
      <c r="N2" s="2165"/>
      <c r="O2" s="2165"/>
      <c r="P2" s="2165"/>
      <c r="Q2" s="2165"/>
      <c r="R2" s="2165"/>
      <c r="S2" s="2165"/>
    </row>
    <row r="3" spans="1:32" ht="12" customHeight="1" x14ac:dyDescent="0.2">
      <c r="A3" s="1834" t="str">
        <f>"SD/JA"&amp;MID('AFR20'!E2,3,2)</f>
        <v>SD/JA20</v>
      </c>
      <c r="B3" s="151"/>
      <c r="C3" s="151"/>
      <c r="D3" s="152"/>
      <c r="I3" s="2166" t="s">
        <v>52</v>
      </c>
      <c r="J3" s="2165"/>
      <c r="K3" s="2165"/>
      <c r="L3" s="2165"/>
      <c r="M3" s="2165"/>
      <c r="N3" s="2165"/>
      <c r="O3" s="2165"/>
      <c r="P3" s="2165"/>
      <c r="Q3" s="2165"/>
      <c r="R3" s="2165"/>
      <c r="S3" s="2165"/>
    </row>
    <row r="4" spans="1:32" ht="12" customHeight="1" x14ac:dyDescent="0.2">
      <c r="A4" s="37"/>
      <c r="I4" s="2166" t="s">
        <v>521</v>
      </c>
      <c r="J4" s="2165"/>
      <c r="K4" s="2165"/>
      <c r="L4" s="2165"/>
      <c r="M4" s="2165"/>
      <c r="N4" s="2165"/>
      <c r="O4" s="2165"/>
      <c r="P4" s="2165"/>
      <c r="Q4" s="2165"/>
      <c r="R4" s="2165"/>
      <c r="S4" s="2165"/>
    </row>
    <row r="5" spans="1:32" ht="14.1" customHeight="1" x14ac:dyDescent="0.2">
      <c r="B5" s="101" t="s">
        <v>2059</v>
      </c>
      <c r="C5" s="26" t="s">
        <v>904</v>
      </c>
      <c r="D5" s="81"/>
      <c r="E5" s="81"/>
      <c r="H5" s="38"/>
      <c r="I5" s="2173" t="s">
        <v>675</v>
      </c>
      <c r="J5" s="2118"/>
      <c r="K5" s="2118"/>
      <c r="L5" s="2118"/>
      <c r="M5" s="2118"/>
      <c r="N5" s="2118"/>
      <c r="O5" s="2118"/>
      <c r="P5" s="2118"/>
      <c r="Q5" s="2118"/>
      <c r="R5" s="2118"/>
      <c r="S5" s="2118"/>
      <c r="AF5" s="1827"/>
    </row>
    <row r="6" spans="1:32" ht="14.1" customHeight="1" x14ac:dyDescent="0.2">
      <c r="B6" s="101"/>
      <c r="C6" s="26" t="s">
        <v>905</v>
      </c>
      <c r="D6" s="81"/>
      <c r="E6" s="81"/>
      <c r="I6" s="2172" t="s">
        <v>877</v>
      </c>
      <c r="J6" s="2118"/>
      <c r="K6" s="2118"/>
      <c r="L6" s="2118"/>
      <c r="M6" s="2118"/>
      <c r="N6" s="2118"/>
      <c r="O6" s="2118"/>
      <c r="P6" s="2118"/>
      <c r="Q6" s="2118"/>
      <c r="R6" s="2118"/>
      <c r="S6" s="2118"/>
    </row>
    <row r="7" spans="1:32" ht="12.2" customHeight="1" x14ac:dyDescent="0.2">
      <c r="I7" s="2167" t="str">
        <f>"June 30, "&amp;'AFR20'!E2</f>
        <v>June 30, 2020</v>
      </c>
      <c r="J7" s="2168"/>
      <c r="K7" s="2168"/>
      <c r="L7" s="2168"/>
      <c r="M7" s="2168"/>
      <c r="N7" s="2168"/>
      <c r="O7" s="2168"/>
      <c r="P7" s="2168"/>
      <c r="Q7" s="2168"/>
      <c r="R7" s="2168"/>
      <c r="S7" s="21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9" t="s">
        <v>669</v>
      </c>
      <c r="J9" s="2170"/>
      <c r="K9" s="2170"/>
      <c r="L9" s="2170"/>
      <c r="M9" s="2170"/>
      <c r="N9" s="2170"/>
      <c r="O9" s="2170"/>
      <c r="P9" s="2170"/>
      <c r="Q9" s="2170"/>
      <c r="R9" s="2170"/>
      <c r="S9" s="2171"/>
      <c r="T9" s="2114" t="s">
        <v>530</v>
      </c>
      <c r="U9" s="2115"/>
      <c r="V9" s="2115"/>
      <c r="W9" s="2115"/>
      <c r="X9" s="2115"/>
      <c r="Y9" s="2115"/>
      <c r="Z9" s="2115"/>
      <c r="AA9" s="2116"/>
    </row>
    <row r="10" spans="1:32" ht="13.5" customHeight="1" x14ac:dyDescent="0.2">
      <c r="A10" s="2123" t="s">
        <v>670</v>
      </c>
      <c r="B10" s="2124"/>
      <c r="C10" s="2124"/>
      <c r="D10" s="2124"/>
      <c r="E10" s="2124"/>
      <c r="F10" s="2124"/>
      <c r="G10" s="2124"/>
      <c r="H10" s="2125"/>
      <c r="I10" s="29"/>
      <c r="J10" s="30"/>
      <c r="K10" s="28"/>
      <c r="R10" s="30"/>
      <c r="S10" s="30"/>
      <c r="T10" s="2117"/>
      <c r="U10" s="2118"/>
      <c r="V10" s="2118"/>
      <c r="W10" s="2118"/>
      <c r="X10" s="2118"/>
      <c r="Y10" s="2118"/>
      <c r="Z10" s="2118"/>
      <c r="AA10" s="2119"/>
    </row>
    <row r="11" spans="1:32" ht="14.25" customHeight="1" x14ac:dyDescent="0.2">
      <c r="A11" s="2126" t="s">
        <v>949</v>
      </c>
      <c r="B11" s="2127"/>
      <c r="C11" s="2127"/>
      <c r="D11" s="2127"/>
      <c r="E11" s="2127"/>
      <c r="F11" s="2127"/>
      <c r="G11" s="2127"/>
      <c r="H11" s="2128"/>
      <c r="I11" s="27"/>
      <c r="J11" s="71"/>
      <c r="K11" s="27"/>
      <c r="O11" s="144" t="s">
        <v>2050</v>
      </c>
      <c r="P11" s="97" t="s">
        <v>199</v>
      </c>
      <c r="Q11" s="30"/>
      <c r="R11" s="28"/>
      <c r="S11" s="27"/>
      <c r="T11" s="2120"/>
      <c r="U11" s="2121"/>
      <c r="V11" s="2121"/>
      <c r="W11" s="2121"/>
      <c r="X11" s="2121"/>
      <c r="Y11" s="2121"/>
      <c r="Z11" s="2121"/>
      <c r="AA11" s="212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4">
        <v>53090098002</v>
      </c>
      <c r="B13" s="2135"/>
      <c r="C13" s="2135"/>
      <c r="D13" s="2135"/>
      <c r="E13" s="2135"/>
      <c r="F13" s="2135"/>
      <c r="G13" s="2135"/>
      <c r="H13" s="2136"/>
      <c r="I13" s="31"/>
      <c r="J13" s="30"/>
      <c r="K13" s="28"/>
      <c r="L13" s="30"/>
      <c r="M13" s="30"/>
      <c r="N13" s="30"/>
      <c r="O13" s="30"/>
      <c r="P13" s="30"/>
      <c r="Q13" s="30"/>
      <c r="R13" s="30"/>
      <c r="S13" s="30"/>
      <c r="T13" s="2139" t="s">
        <v>2051</v>
      </c>
      <c r="U13" s="2140"/>
      <c r="V13" s="2140"/>
      <c r="W13" s="2140"/>
      <c r="X13" s="2140"/>
      <c r="Y13" s="2141"/>
      <c r="Z13" s="2141"/>
      <c r="AA13" s="214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2" t="s">
        <v>2061</v>
      </c>
      <c r="B15" s="2137"/>
      <c r="C15" s="2137"/>
      <c r="D15" s="2137"/>
      <c r="E15" s="2137"/>
      <c r="F15" s="2137"/>
      <c r="G15" s="2137"/>
      <c r="H15" s="2138"/>
      <c r="T15" s="2100" t="s">
        <v>2070</v>
      </c>
      <c r="U15" s="2101"/>
      <c r="V15" s="2101"/>
      <c r="W15" s="2101"/>
      <c r="X15" s="2101"/>
      <c r="Y15" s="2143"/>
      <c r="Z15" s="2143"/>
      <c r="AA15" s="21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2" t="s">
        <v>2122</v>
      </c>
      <c r="B17" s="2162"/>
      <c r="C17" s="2162"/>
      <c r="D17" s="2162"/>
      <c r="E17" s="2162"/>
      <c r="F17" s="2162"/>
      <c r="G17" s="2162"/>
      <c r="H17" s="2163"/>
      <c r="T17" s="2149" t="s">
        <v>2052</v>
      </c>
      <c r="U17" s="2150"/>
      <c r="V17" s="2150"/>
      <c r="W17" s="2150"/>
      <c r="X17" s="2150"/>
      <c r="Y17" s="2150"/>
      <c r="Z17" s="2150"/>
      <c r="AA17" s="2151"/>
    </row>
    <row r="18" spans="1:27" ht="13.5" customHeight="1" x14ac:dyDescent="0.2">
      <c r="A18" s="82" t="s">
        <v>527</v>
      </c>
      <c r="B18" s="73"/>
      <c r="C18" s="69"/>
      <c r="D18" s="73"/>
      <c r="E18" s="73"/>
      <c r="F18" s="73"/>
      <c r="G18" s="73"/>
      <c r="H18" s="53"/>
      <c r="I18" s="2159" t="s">
        <v>671</v>
      </c>
      <c r="J18" s="2160"/>
      <c r="K18" s="2160"/>
      <c r="L18" s="2160"/>
      <c r="M18" s="2160"/>
      <c r="N18" s="2160"/>
      <c r="O18" s="2160"/>
      <c r="P18" s="2160"/>
      <c r="Q18" s="2160"/>
      <c r="R18" s="2160"/>
      <c r="S18" s="2161"/>
      <c r="T18" s="82" t="s">
        <v>706</v>
      </c>
      <c r="U18" s="48"/>
      <c r="V18" s="69"/>
      <c r="W18" s="47"/>
      <c r="X18" s="82" t="s">
        <v>264</v>
      </c>
      <c r="Y18" s="78"/>
      <c r="Z18" s="154" t="s">
        <v>672</v>
      </c>
      <c r="AA18" s="44"/>
    </row>
    <row r="19" spans="1:27" ht="13.5" customHeight="1" x14ac:dyDescent="0.2">
      <c r="A19" s="2132" t="s">
        <v>2063</v>
      </c>
      <c r="B19" s="2133"/>
      <c r="C19" s="2133"/>
      <c r="D19" s="2133"/>
      <c r="E19" s="2133"/>
      <c r="F19" s="2133"/>
      <c r="G19" s="2133"/>
      <c r="H19" s="2131"/>
      <c r="I19" s="30"/>
      <c r="J19" s="96"/>
      <c r="K19" s="40"/>
      <c r="L19" s="38"/>
      <c r="M19" s="109" t="s">
        <v>312</v>
      </c>
      <c r="P19" s="27"/>
      <c r="Q19" s="27"/>
      <c r="R19" s="27"/>
      <c r="S19" s="31"/>
      <c r="T19" s="2132" t="s">
        <v>2053</v>
      </c>
      <c r="U19" s="2130"/>
      <c r="V19" s="2130"/>
      <c r="W19" s="2131"/>
      <c r="X19" s="2147" t="s">
        <v>2054</v>
      </c>
      <c r="Y19" s="2148"/>
      <c r="Z19" s="2145">
        <v>61614</v>
      </c>
      <c r="AA19" s="21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9" t="s">
        <v>2064</v>
      </c>
      <c r="B21" s="2130"/>
      <c r="C21" s="2130"/>
      <c r="D21" s="2130"/>
      <c r="E21" s="2130"/>
      <c r="F21" s="2130"/>
      <c r="G21" s="2130"/>
      <c r="H21" s="2131"/>
      <c r="I21" s="2155" t="s">
        <v>673</v>
      </c>
      <c r="J21" s="2118"/>
      <c r="K21" s="2118"/>
      <c r="L21" s="2118"/>
      <c r="M21" s="2118"/>
      <c r="N21" s="2118"/>
      <c r="O21" s="2118"/>
      <c r="P21" s="2118"/>
      <c r="Q21" s="2118"/>
      <c r="R21" s="2118"/>
      <c r="S21" s="2119"/>
      <c r="T21" s="2097" t="s">
        <v>2055</v>
      </c>
      <c r="U21" s="2098"/>
      <c r="V21" s="2098"/>
      <c r="W21" s="2098"/>
      <c r="X21" s="2111" t="s">
        <v>2056</v>
      </c>
      <c r="Y21" s="2112"/>
      <c r="Z21" s="2112"/>
      <c r="AA21" s="2113"/>
    </row>
    <row r="22" spans="1:27" ht="13.5" customHeight="1" x14ac:dyDescent="0.2">
      <c r="A22" s="84" t="s">
        <v>528</v>
      </c>
      <c r="B22" s="56"/>
      <c r="C22" s="56"/>
      <c r="D22" s="56"/>
      <c r="E22" s="56"/>
      <c r="F22" s="56"/>
      <c r="G22" s="56"/>
      <c r="H22" s="57"/>
      <c r="I22" s="2156" t="s">
        <v>1412</v>
      </c>
      <c r="J22" s="2157"/>
      <c r="K22" s="2157"/>
      <c r="L22" s="2157"/>
      <c r="M22" s="2157"/>
      <c r="N22" s="2157"/>
      <c r="O22" s="2157"/>
      <c r="P22" s="2157"/>
      <c r="Q22" s="2157"/>
      <c r="R22" s="2157"/>
      <c r="S22" s="2158"/>
      <c r="T22" s="82" t="s">
        <v>1499</v>
      </c>
      <c r="U22" s="48"/>
      <c r="V22" s="69"/>
      <c r="W22" s="48"/>
      <c r="X22" s="155" t="s">
        <v>1307</v>
      </c>
      <c r="Z22" s="43"/>
      <c r="AA22" s="44"/>
    </row>
    <row r="23" spans="1:27" ht="13.5" customHeight="1" x14ac:dyDescent="0.2">
      <c r="A23" s="2152" t="s">
        <v>2065</v>
      </c>
      <c r="B23" s="2153"/>
      <c r="C23" s="2153"/>
      <c r="D23" s="2153"/>
      <c r="E23" s="2153"/>
      <c r="F23" s="2153"/>
      <c r="G23" s="2153"/>
      <c r="H23" s="2154"/>
      <c r="T23" s="2092" t="s">
        <v>2057</v>
      </c>
      <c r="U23" s="2093"/>
      <c r="V23" s="2093"/>
      <c r="W23" s="2093"/>
      <c r="X23" s="2108">
        <v>44501</v>
      </c>
      <c r="Y23" s="2109"/>
      <c r="Z23" s="2109"/>
      <c r="AA23" s="2110"/>
    </row>
    <row r="24" spans="1:27" ht="14.1" customHeight="1" x14ac:dyDescent="0.2">
      <c r="A24" s="85" t="s">
        <v>672</v>
      </c>
      <c r="B24" s="46"/>
      <c r="C24" s="46"/>
      <c r="D24" s="46"/>
      <c r="E24" s="46"/>
      <c r="F24" s="46"/>
      <c r="G24" s="46"/>
      <c r="H24" s="58"/>
      <c r="J24" s="2194">
        <f>IF(B5="x",IF(AUDITCHECK!D29="AFR form Incomplete.","",IF(AUDITCHECK!D29="Deficit reduction plan is required.","School District must complete a deficit reduction plan in the 2020-2021 Budget",)),"")</f>
        <v>0</v>
      </c>
      <c r="K24" s="2194"/>
      <c r="L24" s="2194"/>
      <c r="M24" s="2194"/>
      <c r="N24" s="2194"/>
      <c r="O24" s="2194"/>
      <c r="P24" s="2194"/>
      <c r="Q24" s="2194"/>
      <c r="R24" s="2194"/>
      <c r="S24" s="2195"/>
      <c r="T24" s="102" t="s">
        <v>528</v>
      </c>
      <c r="U24" s="103"/>
      <c r="V24" s="103"/>
      <c r="W24" s="103"/>
      <c r="X24" s="104"/>
      <c r="Y24" s="104"/>
      <c r="Z24" s="104"/>
      <c r="AA24" s="105"/>
    </row>
    <row r="25" spans="1:27" ht="14.1" customHeight="1" x14ac:dyDescent="0.2">
      <c r="A25" s="2129">
        <v>61554</v>
      </c>
      <c r="B25" s="2130"/>
      <c r="C25" s="2130"/>
      <c r="D25" s="2130"/>
      <c r="E25" s="2130"/>
      <c r="F25" s="2130"/>
      <c r="G25" s="2130"/>
      <c r="H25" s="2131"/>
      <c r="I25" s="110"/>
      <c r="J25" s="2196"/>
      <c r="K25" s="2196"/>
      <c r="L25" s="2196"/>
      <c r="M25" s="2196"/>
      <c r="N25" s="2196"/>
      <c r="O25" s="2196"/>
      <c r="P25" s="2196"/>
      <c r="Q25" s="2196"/>
      <c r="R25" s="2196"/>
      <c r="S25" s="2197"/>
      <c r="T25" s="2089" t="s">
        <v>2071</v>
      </c>
      <c r="U25" s="2090"/>
      <c r="V25" s="2090"/>
      <c r="W25" s="2090"/>
      <c r="X25" s="2090"/>
      <c r="Y25" s="2090"/>
      <c r="Z25" s="2090"/>
      <c r="AA25" s="20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7" t="s">
        <v>1494</v>
      </c>
      <c r="J27" s="2160"/>
      <c r="K27" s="2160"/>
      <c r="L27" s="2160"/>
      <c r="M27" s="2160"/>
      <c r="N27" s="2160"/>
      <c r="O27" s="2160"/>
      <c r="P27" s="2160"/>
      <c r="Q27" s="2160"/>
      <c r="R27" s="2160"/>
      <c r="S27" s="21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2050</v>
      </c>
      <c r="F29" s="137" t="s">
        <v>1305</v>
      </c>
      <c r="G29" s="111"/>
      <c r="I29" s="51"/>
      <c r="J29" s="99"/>
      <c r="K29" s="28" t="s">
        <v>572</v>
      </c>
      <c r="L29" s="144" t="s">
        <v>2059</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2059</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2059</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3"/>
      <c r="Q35" s="2130"/>
      <c r="R35" s="21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2" t="s">
        <v>2066</v>
      </c>
      <c r="B38" s="2162"/>
      <c r="C38" s="2162"/>
      <c r="D38" s="2162"/>
      <c r="E38" s="2162"/>
      <c r="F38" s="2130"/>
      <c r="G38" s="2130"/>
      <c r="H38" s="2131"/>
      <c r="I38" s="2181"/>
      <c r="J38" s="2101"/>
      <c r="K38" s="2101"/>
      <c r="L38" s="2101"/>
      <c r="M38" s="2101"/>
      <c r="N38" s="2101"/>
      <c r="O38" s="2101"/>
      <c r="P38" s="2102"/>
      <c r="Q38" s="2102"/>
      <c r="R38" s="2102"/>
      <c r="S38" s="2103"/>
      <c r="T38" s="2100"/>
      <c r="U38" s="2101"/>
      <c r="V38" s="2101"/>
      <c r="W38" s="2101"/>
      <c r="X38" s="2102"/>
      <c r="Y38" s="2102"/>
      <c r="Z38" s="2102"/>
      <c r="AA38" s="2103"/>
    </row>
    <row r="39" spans="1:27" ht="12" customHeight="1" x14ac:dyDescent="0.2">
      <c r="A39" s="2185" t="s">
        <v>528</v>
      </c>
      <c r="B39" s="2186"/>
      <c r="C39" s="69"/>
      <c r="D39" s="66"/>
      <c r="E39" s="66"/>
      <c r="F39" s="76"/>
      <c r="G39" s="66"/>
      <c r="H39" s="53"/>
      <c r="I39" s="2185" t="s">
        <v>528</v>
      </c>
      <c r="J39" s="2186"/>
      <c r="K39" s="2186"/>
      <c r="L39" s="2186"/>
      <c r="M39" s="2186"/>
      <c r="N39" s="64"/>
      <c r="O39" s="69"/>
      <c r="P39" s="69"/>
      <c r="Q39" s="75"/>
      <c r="R39" s="69"/>
      <c r="S39" s="53"/>
      <c r="T39" s="69" t="s">
        <v>528</v>
      </c>
      <c r="U39" s="48"/>
      <c r="V39" s="69"/>
      <c r="W39" s="47"/>
      <c r="X39" s="75"/>
      <c r="Y39" s="43"/>
      <c r="Z39" s="43"/>
      <c r="AA39" s="44"/>
    </row>
    <row r="40" spans="1:27" ht="13.5" customHeight="1" x14ac:dyDescent="0.2">
      <c r="A40" s="2188" t="s">
        <v>2067</v>
      </c>
      <c r="B40" s="2189"/>
      <c r="C40" s="2190"/>
      <c r="D40" s="2190"/>
      <c r="E40" s="2190"/>
      <c r="F40" s="2191"/>
      <c r="G40" s="2191"/>
      <c r="H40" s="2192"/>
      <c r="I40" s="2104"/>
      <c r="J40" s="2106"/>
      <c r="K40" s="2106"/>
      <c r="L40" s="2106"/>
      <c r="M40" s="2106"/>
      <c r="N40" s="2106"/>
      <c r="O40" s="2106"/>
      <c r="P40" s="2106"/>
      <c r="Q40" s="2106"/>
      <c r="R40" s="2106"/>
      <c r="S40" s="2107"/>
      <c r="T40" s="2104"/>
      <c r="U40" s="2105"/>
      <c r="V40" s="2106"/>
      <c r="W40" s="2106"/>
      <c r="X40" s="2106"/>
      <c r="Y40" s="2106"/>
      <c r="Z40" s="2106"/>
      <c r="AA40" s="21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8" t="s">
        <v>2068</v>
      </c>
      <c r="B42" s="2179"/>
      <c r="C42" s="2180"/>
      <c r="D42" s="2193" t="s">
        <v>2069</v>
      </c>
      <c r="E42" s="2179"/>
      <c r="F42" s="2179"/>
      <c r="G42" s="2179"/>
      <c r="H42" s="2180"/>
      <c r="I42" s="2099"/>
      <c r="J42" s="2095"/>
      <c r="K42" s="2095"/>
      <c r="L42" s="2095"/>
      <c r="M42" s="2095"/>
      <c r="N42" s="2095"/>
      <c r="O42" s="2096"/>
      <c r="P42" s="2094"/>
      <c r="Q42" s="2095"/>
      <c r="R42" s="2095"/>
      <c r="S42" s="2096"/>
      <c r="T42" s="2099"/>
      <c r="U42" s="2095"/>
      <c r="V42" s="2095"/>
      <c r="W42" s="2096"/>
      <c r="X42" s="2094"/>
      <c r="Y42" s="2095"/>
      <c r="Z42" s="2095"/>
      <c r="AA42" s="20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2"/>
      <c r="B44" s="2183"/>
      <c r="C44" s="2183"/>
      <c r="D44" s="2183"/>
      <c r="E44" s="2183"/>
      <c r="F44" s="2183"/>
      <c r="G44" s="2183"/>
      <c r="H44" s="2184"/>
      <c r="I44" s="2174"/>
      <c r="J44" s="2176"/>
      <c r="K44" s="2176"/>
      <c r="L44" s="2176"/>
      <c r="M44" s="2176"/>
      <c r="N44" s="2176"/>
      <c r="O44" s="2176"/>
      <c r="P44" s="2176"/>
      <c r="Q44" s="2176"/>
      <c r="R44" s="2176"/>
      <c r="S44" s="2177"/>
      <c r="T44" s="2174"/>
      <c r="U44" s="2175"/>
      <c r="V44" s="2175"/>
      <c r="W44" s="2175"/>
      <c r="X44" s="2175"/>
      <c r="Y44" s="2175"/>
      <c r="Z44" s="2176"/>
      <c r="AA44" s="217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6"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7"/>
      <c r="B3" s="1294"/>
      <c r="C3" s="1295"/>
      <c r="D3" s="1296" t="s">
        <v>254</v>
      </c>
      <c r="E3" s="1295"/>
      <c r="F3" s="1296" t="s">
        <v>255</v>
      </c>
    </row>
    <row r="4" spans="1:8" ht="13.7" customHeight="1" x14ac:dyDescent="0.2">
      <c r="A4" s="579" t="s">
        <v>1145</v>
      </c>
      <c r="B4" s="1721">
        <f>'Revenues 9-14'!C5</f>
        <v>1691272</v>
      </c>
      <c r="C4" s="1722"/>
      <c r="D4" s="1723">
        <f>B4-C4</f>
        <v>1691272</v>
      </c>
      <c r="E4" s="1722">
        <v>1818784</v>
      </c>
      <c r="F4" s="1723">
        <f>E4-C4</f>
        <v>1818784</v>
      </c>
    </row>
    <row r="5" spans="1:8" ht="13.7" customHeight="1" x14ac:dyDescent="0.2">
      <c r="A5" s="579" t="s">
        <v>865</v>
      </c>
      <c r="B5" s="1724">
        <f>'Revenues 9-14'!D5</f>
        <v>207397</v>
      </c>
      <c r="C5" s="1664"/>
      <c r="D5" s="1725">
        <f t="shared" ref="D5:D18" si="0">B5-C5</f>
        <v>207397</v>
      </c>
      <c r="E5" s="1664">
        <v>221832</v>
      </c>
      <c r="F5" s="1725">
        <f>E5-C5</f>
        <v>221832</v>
      </c>
    </row>
    <row r="6" spans="1:8" ht="13.7" customHeight="1" x14ac:dyDescent="0.2">
      <c r="A6" s="579" t="s">
        <v>408</v>
      </c>
      <c r="B6" s="1724">
        <f>'Revenues 9-14'!E5</f>
        <v>254784</v>
      </c>
      <c r="C6" s="1664"/>
      <c r="D6" s="1725">
        <f t="shared" si="0"/>
        <v>254784</v>
      </c>
      <c r="E6" s="1664">
        <v>264438</v>
      </c>
      <c r="F6" s="1725">
        <f t="shared" ref="F6:F18" si="1">E6-C6</f>
        <v>264438</v>
      </c>
    </row>
    <row r="7" spans="1:8" ht="13.7" customHeight="1" x14ac:dyDescent="0.2">
      <c r="A7" s="579" t="s">
        <v>154</v>
      </c>
      <c r="B7" s="1724">
        <f>'Revenues 9-14'!F5</f>
        <v>119261</v>
      </c>
      <c r="C7" s="1664"/>
      <c r="D7" s="1725">
        <f t="shared" si="0"/>
        <v>119261</v>
      </c>
      <c r="E7" s="1664">
        <v>127569</v>
      </c>
      <c r="F7" s="1725">
        <f t="shared" si="1"/>
        <v>127569</v>
      </c>
    </row>
    <row r="8" spans="1:8" ht="13.7" customHeight="1" x14ac:dyDescent="0.2">
      <c r="A8" s="579" t="s">
        <v>1169</v>
      </c>
      <c r="B8" s="1724">
        <f>'Revenues 9-14'!G5</f>
        <v>41497</v>
      </c>
      <c r="C8" s="1664"/>
      <c r="D8" s="1725">
        <f t="shared" si="0"/>
        <v>41497</v>
      </c>
      <c r="E8" s="1664">
        <v>40443</v>
      </c>
      <c r="F8" s="1725">
        <f t="shared" si="1"/>
        <v>40443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30078</v>
      </c>
      <c r="C10" s="1664"/>
      <c r="D10" s="1725">
        <f t="shared" si="0"/>
        <v>30078</v>
      </c>
      <c r="E10" s="1664">
        <v>32176</v>
      </c>
      <c r="F10" s="1725">
        <f t="shared" si="1"/>
        <v>32176</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40457</v>
      </c>
      <c r="C12" s="1664"/>
      <c r="D12" s="1725">
        <f t="shared" si="0"/>
        <v>40457</v>
      </c>
      <c r="E12" s="1664">
        <v>43282</v>
      </c>
      <c r="F12" s="1725">
        <f t="shared" si="1"/>
        <v>43282</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15565</v>
      </c>
      <c r="C14" s="1664"/>
      <c r="D14" s="1725">
        <f t="shared" si="0"/>
        <v>15565</v>
      </c>
      <c r="E14" s="1664">
        <v>16656</v>
      </c>
      <c r="F14" s="1725">
        <f t="shared" si="1"/>
        <v>16656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56010</v>
      </c>
      <c r="C16" s="1664"/>
      <c r="D16" s="1725">
        <f t="shared" si="0"/>
        <v>56010</v>
      </c>
      <c r="E16" s="1664">
        <v>53996</v>
      </c>
      <c r="F16" s="1725">
        <f t="shared" si="1"/>
        <v>53996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2456321</v>
      </c>
      <c r="C19" s="1726">
        <f>SUM(C4:C18)</f>
        <v>0</v>
      </c>
      <c r="D19" s="1726">
        <f>SUM(D4:D18)</f>
        <v>2456321</v>
      </c>
      <c r="E19" s="1726">
        <f>SUM(E4:E18)</f>
        <v>2619176</v>
      </c>
      <c r="F19" s="1726">
        <f>SUM(F4:F18)</f>
        <v>2619176</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2" t="s">
        <v>625</v>
      </c>
      <c r="B1" s="2343"/>
      <c r="C1" s="585"/>
    </row>
    <row r="2" spans="1:7" ht="33.75" x14ac:dyDescent="0.2">
      <c r="A2" s="2351" t="s">
        <v>1778</v>
      </c>
      <c r="B2" s="235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5" t="s">
        <v>1104</v>
      </c>
      <c r="B3" s="2356"/>
      <c r="C3" s="2344"/>
      <c r="D3" s="2345"/>
      <c r="E3" s="2345"/>
      <c r="F3" s="2346"/>
    </row>
    <row r="4" spans="1:7" ht="12.75" customHeight="1" thickBot="1" x14ac:dyDescent="0.25">
      <c r="A4" s="2353" t="s">
        <v>626</v>
      </c>
      <c r="B4" s="2354"/>
      <c r="C4" s="1656"/>
      <c r="D4" s="1656"/>
      <c r="E4" s="1656"/>
      <c r="F4" s="1732">
        <f>SUM(C4+D4)-E4</f>
        <v>0</v>
      </c>
    </row>
    <row r="5" spans="1:7" ht="15.75" customHeight="1" thickTop="1" x14ac:dyDescent="0.2">
      <c r="A5" s="2338" t="s">
        <v>1101</v>
      </c>
      <c r="B5" s="2339"/>
      <c r="C5" s="2347"/>
      <c r="D5" s="2348"/>
      <c r="E5" s="2348"/>
      <c r="F5" s="234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0" t="s">
        <v>627</v>
      </c>
      <c r="B15" s="2341"/>
      <c r="C15" s="1732">
        <f>SUM(C6:C14)</f>
        <v>0</v>
      </c>
      <c r="D15" s="1732">
        <f>SUM(D6:D14)</f>
        <v>0</v>
      </c>
      <c r="E15" s="1732">
        <f>SUM(E6:E14)</f>
        <v>0</v>
      </c>
      <c r="F15" s="1732">
        <f>SUM(F6:F14)</f>
        <v>0</v>
      </c>
      <c r="G15" s="473"/>
    </row>
    <row r="16" spans="1:7" s="197" customFormat="1" ht="15.75" customHeight="1" thickTop="1" x14ac:dyDescent="0.2">
      <c r="A16" s="2350" t="s">
        <v>1102</v>
      </c>
      <c r="B16" s="2339"/>
      <c r="C16" s="2347"/>
      <c r="D16" s="2348"/>
      <c r="E16" s="2348"/>
      <c r="F16" s="2349"/>
    </row>
    <row r="17" spans="1:11" ht="12.75" customHeight="1" thickBot="1" x14ac:dyDescent="0.25">
      <c r="A17" s="2363" t="s">
        <v>64</v>
      </c>
      <c r="B17" s="2364"/>
      <c r="C17" s="1733"/>
      <c r="D17" s="1664"/>
      <c r="E17" s="1733"/>
      <c r="F17" s="1732">
        <f>SUM(C17+D17)-E17</f>
        <v>0</v>
      </c>
    </row>
    <row r="18" spans="1:11" ht="12.75" customHeight="1" thickTop="1" thickBot="1" x14ac:dyDescent="0.25">
      <c r="A18" s="2363" t="s">
        <v>6</v>
      </c>
      <c r="B18" s="2364"/>
      <c r="C18" s="1733"/>
      <c r="D18" s="1664"/>
      <c r="E18" s="1733"/>
      <c r="F18" s="1732">
        <f>SUM(C18+D18)-E18</f>
        <v>0</v>
      </c>
    </row>
    <row r="19" spans="1:11" ht="12.75" customHeight="1" thickTop="1" thickBot="1" x14ac:dyDescent="0.25">
      <c r="A19" s="2363" t="s">
        <v>385</v>
      </c>
      <c r="B19" s="2364"/>
      <c r="C19" s="1733"/>
      <c r="D19" s="1664"/>
      <c r="E19" s="1733"/>
      <c r="F19" s="1732">
        <f>SUM(C19+D19)-E19</f>
        <v>0</v>
      </c>
    </row>
    <row r="20" spans="1:11" ht="12.75" customHeight="1" thickTop="1" thickBot="1" x14ac:dyDescent="0.25">
      <c r="A20" s="2363" t="s">
        <v>445</v>
      </c>
      <c r="B20" s="2364"/>
      <c r="C20" s="1733"/>
      <c r="D20" s="1664"/>
      <c r="E20" s="1733"/>
      <c r="F20" s="1732">
        <f>SUM(C20+D20)-E20</f>
        <v>0</v>
      </c>
    </row>
    <row r="21" spans="1:11" ht="14.25" thickTop="1" thickBot="1" x14ac:dyDescent="0.25">
      <c r="A21" s="2340" t="s">
        <v>628</v>
      </c>
      <c r="B21" s="2341"/>
      <c r="C21" s="1732">
        <f>SUM(C17:C20)</f>
        <v>0</v>
      </c>
      <c r="D21" s="1732">
        <f>SUM(D17:D20)</f>
        <v>0</v>
      </c>
      <c r="E21" s="1732">
        <f>SUM(E17:E20)</f>
        <v>0</v>
      </c>
      <c r="F21" s="1732">
        <f>SUM(F17:F20)</f>
        <v>0</v>
      </c>
      <c r="G21" s="473"/>
    </row>
    <row r="22" spans="1:11" ht="15.75" customHeight="1" thickTop="1" x14ac:dyDescent="0.2">
      <c r="A22" s="2365" t="s">
        <v>1103</v>
      </c>
      <c r="B22" s="2339"/>
      <c r="C22" s="2347"/>
      <c r="D22" s="2348"/>
      <c r="E22" s="2348"/>
      <c r="F22" s="2349"/>
    </row>
    <row r="23" spans="1:11" ht="13.5" thickBot="1" x14ac:dyDescent="0.25">
      <c r="A23" s="2353" t="s">
        <v>629</v>
      </c>
      <c r="B23" s="2354"/>
      <c r="C23" s="1656"/>
      <c r="D23" s="1656"/>
      <c r="E23" s="1656"/>
      <c r="F23" s="1732">
        <f>SUM(C23+D23)-E23</f>
        <v>0</v>
      </c>
      <c r="G23" s="473"/>
    </row>
    <row r="24" spans="1:11" ht="15.75" customHeight="1" thickTop="1" x14ac:dyDescent="0.2">
      <c r="A24" s="2365" t="s">
        <v>2005</v>
      </c>
      <c r="B24" s="2339"/>
      <c r="C24" s="2347"/>
      <c r="D24" s="2348"/>
      <c r="E24" s="2348"/>
      <c r="F24" s="2349"/>
    </row>
    <row r="25" spans="1:11" ht="13.5" thickBot="1" x14ac:dyDescent="0.25">
      <c r="A25" s="2353" t="s">
        <v>2006</v>
      </c>
      <c r="B25" s="2354"/>
      <c r="C25" s="1656"/>
      <c r="D25" s="1656"/>
      <c r="E25" s="1656"/>
      <c r="F25" s="1732">
        <f>SUM(C25+D25)-E25</f>
        <v>0</v>
      </c>
      <c r="G25" s="473"/>
    </row>
    <row r="26" spans="1:11" ht="15.75" customHeight="1" thickTop="1" x14ac:dyDescent="0.2">
      <c r="A26" s="2338" t="s">
        <v>652</v>
      </c>
      <c r="B26" s="2339"/>
      <c r="C26" s="589"/>
      <c r="D26" s="589"/>
      <c r="E26" s="589"/>
      <c r="F26" s="590"/>
    </row>
    <row r="27" spans="1:11" ht="13.5" thickBot="1" x14ac:dyDescent="0.25">
      <c r="A27" s="2340" t="s">
        <v>1061</v>
      </c>
      <c r="B27" s="2341"/>
      <c r="C27" s="1664"/>
      <c r="D27" s="1664"/>
      <c r="E27" s="1664"/>
      <c r="F27" s="1732">
        <f>SUM(C27+D27)-E27</f>
        <v>0</v>
      </c>
      <c r="G27" s="473"/>
    </row>
    <row r="28" spans="1:11" ht="7.5" customHeight="1" thickTop="1" x14ac:dyDescent="0.2">
      <c r="A28" s="489"/>
    </row>
    <row r="29" spans="1:11" ht="23.25" customHeight="1" x14ac:dyDescent="0.2">
      <c r="A29" s="2366" t="s">
        <v>578</v>
      </c>
      <c r="B29" s="234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2099</v>
      </c>
      <c r="B31" s="595">
        <v>42073</v>
      </c>
      <c r="C31" s="1734">
        <v>270000</v>
      </c>
      <c r="D31" s="1735">
        <v>4</v>
      </c>
      <c r="E31" s="1734">
        <v>125000</v>
      </c>
      <c r="F31" s="1734"/>
      <c r="G31" s="1734"/>
      <c r="H31" s="1734">
        <v>37000</v>
      </c>
      <c r="I31" s="1736">
        <f>((E31+F31)-H31)+G31</f>
        <v>88000</v>
      </c>
      <c r="J31" s="1734">
        <f>88000-957</f>
        <v>87043</v>
      </c>
      <c r="K31" s="596"/>
    </row>
    <row r="32" spans="1:11" ht="12" customHeight="1" x14ac:dyDescent="0.2">
      <c r="A32" s="594" t="s">
        <v>2100</v>
      </c>
      <c r="B32" s="595">
        <v>42073</v>
      </c>
      <c r="C32" s="1734">
        <v>1040000</v>
      </c>
      <c r="D32" s="1735">
        <v>4</v>
      </c>
      <c r="E32" s="1734">
        <v>775000</v>
      </c>
      <c r="F32" s="1734"/>
      <c r="G32" s="1734"/>
      <c r="H32" s="1734">
        <v>85000</v>
      </c>
      <c r="I32" s="1736">
        <f>((E32+F32)-H32)+G32</f>
        <v>690000</v>
      </c>
      <c r="J32" s="1734">
        <f>690000-3115</f>
        <v>686885</v>
      </c>
      <c r="K32" s="596"/>
    </row>
    <row r="33" spans="1:11" ht="12" customHeight="1" x14ac:dyDescent="0.2">
      <c r="A33" s="594" t="s">
        <v>2101</v>
      </c>
      <c r="B33" s="595">
        <v>42136</v>
      </c>
      <c r="C33" s="1734">
        <v>205000</v>
      </c>
      <c r="D33" s="1735">
        <v>1</v>
      </c>
      <c r="E33" s="1734">
        <v>205000</v>
      </c>
      <c r="F33" s="1734"/>
      <c r="G33" s="1734"/>
      <c r="H33" s="1734"/>
      <c r="I33" s="1736">
        <f t="shared" ref="I33:I48" si="1">((E33+F33)-H33)+G33</f>
        <v>205000</v>
      </c>
      <c r="J33" s="1734">
        <f>205000-9846</f>
        <v>195154</v>
      </c>
      <c r="K33" s="596"/>
    </row>
    <row r="34" spans="1:11" ht="12" customHeight="1" x14ac:dyDescent="0.2">
      <c r="A34" s="594" t="s">
        <v>2102</v>
      </c>
      <c r="B34" s="595">
        <v>42769</v>
      </c>
      <c r="C34" s="1734">
        <v>2250000</v>
      </c>
      <c r="D34" s="1735">
        <v>6</v>
      </c>
      <c r="E34" s="1734">
        <v>2250000</v>
      </c>
      <c r="F34" s="1734"/>
      <c r="G34" s="1734"/>
      <c r="H34" s="1734"/>
      <c r="I34" s="1736">
        <f t="shared" si="1"/>
        <v>2250000</v>
      </c>
      <c r="J34" s="1734">
        <f>2250000-923</f>
        <v>2249077</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3765000</v>
      </c>
      <c r="D49" s="1742"/>
      <c r="E49" s="1736">
        <f t="shared" ref="E49:J49" si="2">SUM(E31:E48)</f>
        <v>3355000</v>
      </c>
      <c r="F49" s="1736">
        <f t="shared" si="2"/>
        <v>0</v>
      </c>
      <c r="G49" s="1736">
        <f t="shared" si="2"/>
        <v>0</v>
      </c>
      <c r="H49" s="1736">
        <f t="shared" si="2"/>
        <v>122000</v>
      </c>
      <c r="I49" s="1736">
        <f t="shared" si="2"/>
        <v>3233000</v>
      </c>
      <c r="J49" s="1736">
        <f t="shared" si="2"/>
        <v>3218159</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57" t="s">
        <v>580</v>
      </c>
      <c r="C52" s="2358"/>
      <c r="D52" s="2358"/>
      <c r="E52" s="603" t="s">
        <v>840</v>
      </c>
      <c r="F52" s="2359"/>
      <c r="G52" s="2360"/>
      <c r="H52" s="596"/>
      <c r="I52" s="596"/>
      <c r="J52" s="600"/>
    </row>
    <row r="53" spans="1:11" ht="11.25" customHeight="1" x14ac:dyDescent="0.2">
      <c r="A53" s="604" t="s">
        <v>907</v>
      </c>
      <c r="B53" s="605" t="s">
        <v>945</v>
      </c>
      <c r="C53" s="600"/>
      <c r="D53" s="597"/>
      <c r="E53" s="603" t="s">
        <v>494</v>
      </c>
      <c r="F53" s="2361"/>
      <c r="G53" s="2362"/>
      <c r="H53" s="596"/>
      <c r="I53" s="596"/>
      <c r="J53" s="600"/>
    </row>
    <row r="54" spans="1:11" ht="11.25" customHeight="1" x14ac:dyDescent="0.2">
      <c r="A54" s="606" t="s">
        <v>908</v>
      </c>
      <c r="B54" s="601" t="s">
        <v>946</v>
      </c>
      <c r="C54" s="600"/>
      <c r="D54" s="597"/>
      <c r="E54" s="603" t="s">
        <v>495</v>
      </c>
      <c r="F54" s="2361"/>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851</v>
      </c>
      <c r="B1" s="2394"/>
      <c r="C1" s="2394"/>
      <c r="D1" s="2394"/>
      <c r="E1" s="2394"/>
      <c r="F1" s="2394"/>
      <c r="G1" s="2395"/>
      <c r="H1" s="1298"/>
      <c r="I1" s="614"/>
      <c r="J1" s="400"/>
    </row>
    <row r="2" spans="1:11" ht="26.25" x14ac:dyDescent="0.2">
      <c r="A2" s="2370" t="s">
        <v>1658</v>
      </c>
      <c r="B2" s="2371"/>
      <c r="C2" s="2371"/>
      <c r="D2" s="2371"/>
      <c r="E2" s="2372"/>
      <c r="F2" s="615" t="s">
        <v>898</v>
      </c>
      <c r="G2" s="616" t="s">
        <v>1655</v>
      </c>
      <c r="H2" s="616" t="s">
        <v>407</v>
      </c>
      <c r="I2" s="616" t="s">
        <v>1148</v>
      </c>
      <c r="J2" s="616" t="s">
        <v>1788</v>
      </c>
      <c r="K2" s="616" t="s">
        <v>137</v>
      </c>
    </row>
    <row r="3" spans="1:11" x14ac:dyDescent="0.2">
      <c r="A3" s="2373" t="str">
        <f>"Cash Basis Fund Balance as of July 1, "&amp;'AFR20'!E2-1</f>
        <v>Cash Basis Fund Balance as of July 1, 2019</v>
      </c>
      <c r="B3" s="2374"/>
      <c r="C3" s="2374"/>
      <c r="D3" s="2374"/>
      <c r="E3" s="2375"/>
      <c r="F3" s="617"/>
      <c r="G3" s="1744"/>
      <c r="H3" s="1744"/>
      <c r="I3" s="1744"/>
      <c r="J3" s="1745"/>
      <c r="K3" s="1745"/>
    </row>
    <row r="4" spans="1:11" x14ac:dyDescent="0.2">
      <c r="A4" s="2376" t="s">
        <v>366</v>
      </c>
      <c r="B4" s="2377"/>
      <c r="C4" s="2377"/>
      <c r="D4" s="2377"/>
      <c r="E4" s="2358"/>
      <c r="F4" s="620"/>
      <c r="G4" s="1746"/>
      <c r="H4" s="1747"/>
      <c r="I4" s="1746"/>
      <c r="J4" s="1748"/>
      <c r="K4" s="1748"/>
    </row>
    <row r="5" spans="1:11" x14ac:dyDescent="0.2">
      <c r="A5" s="2396" t="s">
        <v>1060</v>
      </c>
      <c r="B5" s="2367"/>
      <c r="C5" s="2367"/>
      <c r="D5" s="2367"/>
      <c r="E5" s="2397"/>
      <c r="F5" s="622" t="s">
        <v>843</v>
      </c>
      <c r="G5" s="1749"/>
      <c r="H5" s="1744">
        <v>15565</v>
      </c>
      <c r="I5" s="1750"/>
      <c r="J5" s="1751"/>
      <c r="K5" s="1751"/>
    </row>
    <row r="6" spans="1:11" x14ac:dyDescent="0.2">
      <c r="A6" s="625" t="s">
        <v>715</v>
      </c>
      <c r="B6" s="626"/>
      <c r="C6" s="626"/>
      <c r="D6" s="626"/>
      <c r="E6" s="627"/>
      <c r="F6" s="628" t="s">
        <v>844</v>
      </c>
      <c r="G6" s="1744"/>
      <c r="H6" s="1744">
        <v>22</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96" t="s">
        <v>1789</v>
      </c>
      <c r="B10" s="2367"/>
      <c r="C10" s="2367"/>
      <c r="D10" s="2367"/>
      <c r="E10" s="2398"/>
      <c r="F10" s="633" t="s">
        <v>857</v>
      </c>
      <c r="G10" s="1753"/>
      <c r="H10" s="1754"/>
      <c r="I10" s="1744"/>
      <c r="J10" s="1745"/>
      <c r="K10" s="1745"/>
    </row>
    <row r="11" spans="1:11" x14ac:dyDescent="0.2">
      <c r="A11" s="2396" t="s">
        <v>159</v>
      </c>
      <c r="B11" s="2367"/>
      <c r="C11" s="2367"/>
      <c r="D11" s="2367"/>
      <c r="E11" s="2397"/>
      <c r="F11" s="622" t="s">
        <v>847</v>
      </c>
      <c r="G11" s="1749"/>
      <c r="H11" s="1744"/>
      <c r="I11" s="1744"/>
      <c r="J11" s="1745"/>
      <c r="K11" s="1751"/>
    </row>
    <row r="12" spans="1:11" ht="13.5" thickBot="1" x14ac:dyDescent="0.25">
      <c r="A12" s="2384" t="s">
        <v>899</v>
      </c>
      <c r="B12" s="2385"/>
      <c r="C12" s="2385"/>
      <c r="D12" s="2385"/>
      <c r="E12" s="2386"/>
      <c r="F12" s="1433"/>
      <c r="G12" s="1755">
        <f>SUM(G5:G11)</f>
        <v>0</v>
      </c>
      <c r="H12" s="1755">
        <f>SUM(H5:H11)</f>
        <v>15587</v>
      </c>
      <c r="I12" s="1755">
        <f>SUM(I5:I11)</f>
        <v>0</v>
      </c>
      <c r="J12" s="1755">
        <f>SUM(J5:J11)</f>
        <v>0</v>
      </c>
      <c r="K12" s="1755">
        <f>SUM(K5:K11)</f>
        <v>0</v>
      </c>
    </row>
    <row r="13" spans="1:11" ht="13.5" thickTop="1" x14ac:dyDescent="0.2">
      <c r="A13" s="2378" t="s">
        <v>367</v>
      </c>
      <c r="B13" s="2379"/>
      <c r="C13" s="2379"/>
      <c r="D13" s="2379"/>
      <c r="E13" s="2380"/>
      <c r="F13" s="634"/>
      <c r="G13" s="1756"/>
      <c r="H13" s="1757"/>
      <c r="I13" s="1758"/>
      <c r="J13" s="1758"/>
      <c r="K13" s="1758"/>
    </row>
    <row r="14" spans="1:11" x14ac:dyDescent="0.2">
      <c r="A14" s="2402" t="s">
        <v>453</v>
      </c>
      <c r="B14" s="2402"/>
      <c r="C14" s="2402"/>
      <c r="D14" s="2402"/>
      <c r="E14" s="2403"/>
      <c r="F14" s="635" t="s">
        <v>849</v>
      </c>
      <c r="G14" s="1753"/>
      <c r="H14" s="1744">
        <v>15587</v>
      </c>
      <c r="I14" s="1749"/>
      <c r="J14" s="1751"/>
      <c r="K14" s="1745"/>
    </row>
    <row r="15" spans="1:11" x14ac:dyDescent="0.2">
      <c r="A15" s="2367" t="s">
        <v>4</v>
      </c>
      <c r="B15" s="2367"/>
      <c r="C15" s="2367"/>
      <c r="D15" s="2367"/>
      <c r="E15" s="2397"/>
      <c r="F15" s="635" t="s">
        <v>850</v>
      </c>
      <c r="G15" s="1749"/>
      <c r="H15" s="1744"/>
      <c r="I15" s="1744"/>
      <c r="J15" s="1745"/>
      <c r="K15" s="1745"/>
    </row>
    <row r="16" spans="1:11" x14ac:dyDescent="0.2">
      <c r="A16" s="2367" t="s">
        <v>295</v>
      </c>
      <c r="B16" s="2367"/>
      <c r="C16" s="2367"/>
      <c r="D16" s="2367"/>
      <c r="E16" s="2397"/>
      <c r="F16" s="635" t="s">
        <v>917</v>
      </c>
      <c r="G16" s="1750"/>
      <c r="H16" s="1746"/>
      <c r="I16" s="1746"/>
      <c r="J16" s="1748"/>
      <c r="K16" s="1748"/>
    </row>
    <row r="17" spans="1:15" x14ac:dyDescent="0.2">
      <c r="A17" s="2391" t="s">
        <v>929</v>
      </c>
      <c r="B17" s="2391"/>
      <c r="C17" s="2391"/>
      <c r="D17" s="2391"/>
      <c r="E17" s="2392"/>
      <c r="F17" s="636"/>
      <c r="G17" s="1759"/>
      <c r="H17" s="1760"/>
      <c r="I17" s="1760"/>
      <c r="J17" s="1761"/>
      <c r="K17" s="1762"/>
    </row>
    <row r="18" spans="1:15" x14ac:dyDescent="0.2">
      <c r="A18" s="2381" t="s">
        <v>365</v>
      </c>
      <c r="B18" s="2382"/>
      <c r="C18" s="2382"/>
      <c r="D18" s="2382"/>
      <c r="E18" s="2383"/>
      <c r="F18" s="635" t="s">
        <v>926</v>
      </c>
      <c r="G18" s="1753"/>
      <c r="H18" s="1753"/>
      <c r="I18" s="1753"/>
      <c r="J18" s="1745"/>
      <c r="K18" s="1763"/>
    </row>
    <row r="19" spans="1:15" ht="21.75" customHeight="1" x14ac:dyDescent="0.2">
      <c r="A19" s="2404" t="s">
        <v>1785</v>
      </c>
      <c r="B19" s="2404"/>
      <c r="C19" s="2404"/>
      <c r="D19" s="2404"/>
      <c r="E19" s="2405"/>
      <c r="F19" s="635" t="s">
        <v>927</v>
      </c>
      <c r="G19" s="1753"/>
      <c r="H19" s="1753"/>
      <c r="I19" s="1753"/>
      <c r="J19" s="1745"/>
      <c r="K19" s="1763"/>
    </row>
    <row r="20" spans="1:15" x14ac:dyDescent="0.2">
      <c r="A20" s="2381" t="s">
        <v>1790</v>
      </c>
      <c r="B20" s="2382"/>
      <c r="C20" s="2382"/>
      <c r="D20" s="2382"/>
      <c r="E20" s="2383"/>
      <c r="F20" s="635" t="s">
        <v>928</v>
      </c>
      <c r="G20" s="1753"/>
      <c r="H20" s="1753"/>
      <c r="I20" s="1753"/>
      <c r="J20" s="1745"/>
      <c r="K20" s="1763"/>
    </row>
    <row r="21" spans="1:15" ht="13.5" thickBot="1" x14ac:dyDescent="0.25">
      <c r="A21" s="2387" t="s">
        <v>633</v>
      </c>
      <c r="B21" s="2387"/>
      <c r="C21" s="2387"/>
      <c r="D21" s="2387"/>
      <c r="E21" s="2387"/>
      <c r="F21" s="1434"/>
      <c r="G21" s="1760"/>
      <c r="H21" s="1764"/>
      <c r="I21" s="1764"/>
      <c r="J21" s="1765">
        <f>SUM(J18:J20)</f>
        <v>0</v>
      </c>
      <c r="K21" s="1761"/>
    </row>
    <row r="22" spans="1:15" ht="13.5" thickTop="1" x14ac:dyDescent="0.2">
      <c r="A22" s="2367" t="s">
        <v>1791</v>
      </c>
      <c r="B22" s="2367"/>
      <c r="C22" s="2367"/>
      <c r="D22" s="2367"/>
      <c r="E22" s="2397"/>
      <c r="F22" s="635" t="s">
        <v>857</v>
      </c>
      <c r="G22" s="1753"/>
      <c r="H22" s="1744"/>
      <c r="I22" s="1744"/>
      <c r="J22" s="1766"/>
      <c r="K22" s="1745"/>
    </row>
    <row r="23" spans="1:15" ht="13.5" thickBot="1" x14ac:dyDescent="0.25">
      <c r="A23" s="2388" t="s">
        <v>900</v>
      </c>
      <c r="B23" s="2387"/>
      <c r="C23" s="2387"/>
      <c r="D23" s="2387"/>
      <c r="E23" s="2387"/>
      <c r="F23" s="1436"/>
      <c r="G23" s="1755">
        <f>SUM(G14:G16,G21,G22)</f>
        <v>0</v>
      </c>
      <c r="H23" s="1755">
        <f>SUM(H14:H16,H21,H22)</f>
        <v>15587</v>
      </c>
      <c r="I23" s="1755">
        <f>SUM(I14:I16,I21,I22)</f>
        <v>0</v>
      </c>
      <c r="J23" s="1755">
        <f>SUM(J14:J16,J21,J22)</f>
        <v>0</v>
      </c>
      <c r="K23" s="1755">
        <f>SUM(K14:K16,K21,K22)</f>
        <v>0</v>
      </c>
      <c r="M23" s="1846"/>
      <c r="N23" s="1846"/>
      <c r="O23" s="1846"/>
    </row>
    <row r="24" spans="1:15" ht="14.25" thickTop="1" thickBot="1" x14ac:dyDescent="0.25">
      <c r="A24" s="2389" t="str">
        <f>"Ending Cash Basis Fund Balance as of June 30, "&amp;'AFR20'!E2</f>
        <v>Ending Cash Basis Fund Balance as of June 30, 2020</v>
      </c>
      <c r="B24" s="2390"/>
      <c r="C24" s="2390"/>
      <c r="D24" s="2390"/>
      <c r="E24" s="239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1159</v>
      </c>
      <c r="B33" s="341"/>
      <c r="C33" s="341"/>
      <c r="D33" s="341"/>
      <c r="E33" s="341"/>
      <c r="F33" s="341"/>
      <c r="G33" s="653"/>
      <c r="H33" s="2401"/>
      <c r="I33" s="2400"/>
      <c r="J33" s="2400"/>
      <c r="K33" s="2400"/>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7" t="s">
        <v>538</v>
      </c>
      <c r="B41" s="2368"/>
      <c r="C41" s="2368"/>
      <c r="D41" s="2368"/>
      <c r="E41" s="2368"/>
      <c r="F41" s="23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8" t="s">
        <v>1874</v>
      </c>
      <c r="B1" s="2409"/>
      <c r="C1" s="2410"/>
      <c r="D1" s="666"/>
      <c r="E1" s="667"/>
      <c r="F1" s="667"/>
      <c r="G1" s="668"/>
      <c r="H1" s="669"/>
      <c r="I1" s="670"/>
      <c r="J1" s="2406"/>
      <c r="K1" s="2407"/>
      <c r="L1" s="240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125600</v>
      </c>
      <c r="D5" s="1770"/>
      <c r="E5" s="1770"/>
      <c r="F5" s="1765">
        <f>(C5+D5)-E5</f>
        <v>125600</v>
      </c>
      <c r="G5" s="676"/>
      <c r="H5" s="680"/>
      <c r="I5" s="680"/>
      <c r="J5" s="680"/>
      <c r="K5" s="637"/>
      <c r="L5" s="1442">
        <f>F5-K5</f>
        <v>125600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8095639</v>
      </c>
      <c r="D8" s="1771">
        <v>310575</v>
      </c>
      <c r="E8" s="1771"/>
      <c r="F8" s="1765">
        <f>(C8+D8)-E8</f>
        <v>8406214</v>
      </c>
      <c r="G8" s="681">
        <v>50</v>
      </c>
      <c r="H8" s="619">
        <v>2133635</v>
      </c>
      <c r="I8" s="619">
        <v>163091</v>
      </c>
      <c r="J8" s="619"/>
      <c r="K8" s="1442">
        <f>(H8+I8)-J8</f>
        <v>2296726</v>
      </c>
      <c r="L8" s="1442">
        <f>F8-K8</f>
        <v>6109488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889006</v>
      </c>
      <c r="D10" s="1772">
        <v>1200</v>
      </c>
      <c r="E10" s="1772"/>
      <c r="F10" s="1773">
        <f>(C10+D10)-E10</f>
        <v>890206</v>
      </c>
      <c r="G10" s="681">
        <v>20</v>
      </c>
      <c r="H10" s="683">
        <v>573341</v>
      </c>
      <c r="I10" s="683">
        <v>43088</v>
      </c>
      <c r="J10" s="683"/>
      <c r="K10" s="1442">
        <f>(H10+I10)-J10</f>
        <v>616429</v>
      </c>
      <c r="L10" s="1442">
        <f>F10-K10</f>
        <v>273777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399678</v>
      </c>
      <c r="D12" s="1771">
        <v>47350</v>
      </c>
      <c r="E12" s="1771">
        <v>3005</v>
      </c>
      <c r="F12" s="1765">
        <f>(C12+D12)-E12</f>
        <v>444023</v>
      </c>
      <c r="G12" s="681">
        <v>10</v>
      </c>
      <c r="H12" s="619">
        <v>156617</v>
      </c>
      <c r="I12" s="619">
        <v>44400</v>
      </c>
      <c r="J12" s="619">
        <v>3005</v>
      </c>
      <c r="K12" s="1442">
        <f>(H12+I12)-J12</f>
        <v>198012</v>
      </c>
      <c r="L12" s="1442">
        <f>F12-K12</f>
        <v>246011</v>
      </c>
    </row>
    <row r="13" spans="1:14" ht="14.25" thickTop="1" thickBot="1" x14ac:dyDescent="0.25">
      <c r="A13" s="684" t="s">
        <v>1112</v>
      </c>
      <c r="B13" s="679">
        <v>252</v>
      </c>
      <c r="C13" s="1771">
        <v>23260</v>
      </c>
      <c r="D13" s="1771"/>
      <c r="E13" s="1771"/>
      <c r="F13" s="1765">
        <f>(C13+D13)-E13</f>
        <v>23260</v>
      </c>
      <c r="G13" s="681">
        <v>5</v>
      </c>
      <c r="H13" s="619">
        <v>23260</v>
      </c>
      <c r="I13" s="619"/>
      <c r="J13" s="619"/>
      <c r="K13" s="1442">
        <f>(H13+I13)-J13</f>
        <v>23260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9533183</v>
      </c>
      <c r="D16" s="1765">
        <f>SUM(D3,D5:D6,D8:D10,D12:D15)</f>
        <v>359125</v>
      </c>
      <c r="E16" s="1765">
        <f>SUM(E3,E5:E6,E8:E10,E12:E15)</f>
        <v>3005</v>
      </c>
      <c r="F16" s="1765">
        <f>SUM(F3,F5:F6,F8:F10,F12:F15)</f>
        <v>9889303</v>
      </c>
      <c r="G16" s="681"/>
      <c r="H16" s="1435">
        <f>SUM(H3,H6,H8:H10,H12:H14,)</f>
        <v>2886853</v>
      </c>
      <c r="I16" s="1435">
        <f>SUM(I3,I6,I8:I10,I12:I14,)</f>
        <v>250579</v>
      </c>
      <c r="J16" s="1435">
        <f>SUM(J3,J6,J8:J10,J12:J14,)</f>
        <v>3005</v>
      </c>
      <c r="K16" s="1435">
        <f>(H16+I16)-J16</f>
        <v>3134427</v>
      </c>
      <c r="L16" s="1435">
        <f>F16-K16</f>
        <v>6754876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250579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4" t="str">
        <f>"ESTIMATED OPERATING EXPENSE PER PUPIL (OEPP)/PER CAPITA TUITION CHARGE (PCTC) COMPUTATIONS ("&amp;'AFR20'!E2-1&amp;" - "&amp;'AFR20'!E2&amp;")"</f>
        <v>ESTIMATED OPERATING EXPENSE PER PUPIL (OEPP)/PER CAPITA TUITION CHARGE (PCTC) COMPUTATIONS (2019 - 2020)</v>
      </c>
      <c r="B1" s="2415"/>
      <c r="C1" s="2415"/>
      <c r="D1" s="2415"/>
      <c r="E1" s="2415"/>
      <c r="F1" s="2416"/>
      <c r="G1" s="691"/>
      <c r="I1" s="701"/>
    </row>
    <row r="2" spans="1:9" ht="15" customHeight="1" thickBot="1" x14ac:dyDescent="0.25">
      <c r="A2" s="2417" t="s">
        <v>474</v>
      </c>
      <c r="B2" s="2418"/>
      <c r="C2" s="2418"/>
      <c r="D2" s="2418"/>
      <c r="E2" s="2418"/>
      <c r="F2" s="241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20"/>
      <c r="B5" s="2421"/>
      <c r="C5" s="2421"/>
      <c r="D5" s="2421"/>
      <c r="E5" s="2421"/>
      <c r="F5" s="2421"/>
    </row>
    <row r="6" spans="1:9" ht="13.5" customHeight="1" thickBot="1" x14ac:dyDescent="0.25">
      <c r="A6" s="2411" t="s">
        <v>1095</v>
      </c>
      <c r="B6" s="2412"/>
      <c r="C6" s="2412"/>
      <c r="D6" s="2412"/>
      <c r="E6" s="2412"/>
      <c r="F6" s="241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2484065</v>
      </c>
      <c r="G8" s="701"/>
    </row>
    <row r="9" spans="1:9" x14ac:dyDescent="0.2">
      <c r="A9" s="705" t="s">
        <v>457</v>
      </c>
      <c r="B9" s="706" t="s">
        <v>1847</v>
      </c>
      <c r="C9" s="707"/>
      <c r="D9" s="705" t="s">
        <v>498</v>
      </c>
      <c r="E9" s="704"/>
      <c r="F9" s="1775">
        <f>'Expenditures 15-22'!K151</f>
        <v>304755</v>
      </c>
      <c r="G9" s="708"/>
    </row>
    <row r="10" spans="1:9" x14ac:dyDescent="0.2">
      <c r="A10" s="705" t="s">
        <v>496</v>
      </c>
      <c r="B10" s="706" t="s">
        <v>1848</v>
      </c>
      <c r="C10" s="707"/>
      <c r="D10" s="705" t="s">
        <v>498</v>
      </c>
      <c r="E10" s="704"/>
      <c r="F10" s="1775">
        <f>'Expenditures 15-22'!K174</f>
        <v>254200</v>
      </c>
      <c r="G10" s="708"/>
    </row>
    <row r="11" spans="1:9" x14ac:dyDescent="0.2">
      <c r="A11" s="705" t="s">
        <v>458</v>
      </c>
      <c r="B11" s="706" t="s">
        <v>1849</v>
      </c>
      <c r="C11" s="707"/>
      <c r="D11" s="705" t="s">
        <v>498</v>
      </c>
      <c r="E11" s="704"/>
      <c r="F11" s="1775">
        <f>'Expenditures 15-22'!K210</f>
        <v>148306</v>
      </c>
      <c r="G11" s="708"/>
    </row>
    <row r="12" spans="1:9" x14ac:dyDescent="0.2">
      <c r="A12" s="705" t="s">
        <v>459</v>
      </c>
      <c r="B12" s="706" t="s">
        <v>1850</v>
      </c>
      <c r="C12" s="707"/>
      <c r="D12" s="705" t="s">
        <v>498</v>
      </c>
      <c r="E12" s="704"/>
      <c r="F12" s="1775">
        <f>'Expenditures 15-22'!K295</f>
        <v>79758</v>
      </c>
      <c r="G12" s="708"/>
    </row>
    <row r="13" spans="1:9" x14ac:dyDescent="0.2">
      <c r="A13" s="705" t="s">
        <v>106</v>
      </c>
      <c r="B13" s="706" t="s">
        <v>1851</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3271084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164877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2334</v>
      </c>
      <c r="G52" s="701"/>
    </row>
    <row r="53" spans="1:7" x14ac:dyDescent="0.2">
      <c r="A53" s="705" t="s">
        <v>456</v>
      </c>
      <c r="B53" s="705" t="s">
        <v>1458</v>
      </c>
      <c r="C53" s="724">
        <f>'Expenditures 15-22'!B102</f>
        <v>4000</v>
      </c>
      <c r="D53" s="723" t="str">
        <f>'Expenditures 15-22'!A102</f>
        <v>Total Payments to Other Govt Units</v>
      </c>
      <c r="E53" s="704"/>
      <c r="F53" s="1782">
        <f>'Expenditures 15-22'!K102</f>
        <v>51862</v>
      </c>
      <c r="G53" s="701"/>
    </row>
    <row r="54" spans="1:7" x14ac:dyDescent="0.2">
      <c r="A54" s="705" t="s">
        <v>456</v>
      </c>
      <c r="B54" s="705" t="s">
        <v>1459</v>
      </c>
      <c r="C54" s="724" t="s">
        <v>975</v>
      </c>
      <c r="D54" s="720" t="s">
        <v>1086</v>
      </c>
      <c r="E54" s="704"/>
      <c r="F54" s="1782">
        <f>'Expenditures 15-22'!G114</f>
        <v>26926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30822</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122000</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147361</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546182</v>
      </c>
      <c r="G77" s="701"/>
    </row>
    <row r="78" spans="1:9" s="728" customFormat="1" ht="12" customHeight="1" thickTop="1" thickBot="1" x14ac:dyDescent="0.25">
      <c r="A78" s="1450"/>
      <c r="B78" s="1448"/>
      <c r="C78" s="1445"/>
      <c r="D78" s="1449" t="s">
        <v>2011</v>
      </c>
      <c r="E78" s="1447"/>
      <c r="F78" s="1788">
        <f>(F14-F77)</f>
        <v>2724902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168.1</v>
      </c>
      <c r="G79" s="733"/>
      <c r="H79" s="705"/>
      <c r="I79" s="705"/>
    </row>
    <row r="80" spans="1:9" s="728" customFormat="1" ht="12" customHeight="1" thickBot="1" x14ac:dyDescent="0.25">
      <c r="A80" s="1452"/>
      <c r="B80" s="1448"/>
      <c r="C80" s="1445"/>
      <c r="D80" s="1449" t="s">
        <v>2012</v>
      </c>
      <c r="E80" s="1447" t="s">
        <v>952</v>
      </c>
      <c r="F80" s="1790">
        <f>IF(F79&gt;0,F78/F79," Complete Line 79")</f>
        <v>16210.005948839977</v>
      </c>
      <c r="G80" s="705"/>
    </row>
    <row r="81" spans="1:7" s="728" customFormat="1" ht="8.25" customHeight="1" thickTop="1" x14ac:dyDescent="0.2">
      <c r="A81" s="734"/>
      <c r="B81" s="705"/>
      <c r="C81" s="707"/>
      <c r="D81" s="735"/>
      <c r="E81" s="704"/>
      <c r="F81" s="1791"/>
      <c r="G81" s="705"/>
    </row>
    <row r="82" spans="1:7" s="728" customFormat="1" ht="12" thickBot="1" x14ac:dyDescent="0.25">
      <c r="A82" s="2411" t="s">
        <v>1096</v>
      </c>
      <c r="B82" s="2412"/>
      <c r="C82" s="2412"/>
      <c r="D82" s="2412"/>
      <c r="E82" s="2412"/>
      <c r="F82" s="24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28777</v>
      </c>
      <c r="G95" s="745"/>
    </row>
    <row r="96" spans="1:7" x14ac:dyDescent="0.2">
      <c r="A96" s="741" t="s">
        <v>139</v>
      </c>
      <c r="B96" s="741" t="s">
        <v>174</v>
      </c>
      <c r="C96" s="743">
        <v>1700</v>
      </c>
      <c r="D96" s="751" t="str">
        <f>'Revenues 9-14'!A82</f>
        <v>Total District/School Activity Income</v>
      </c>
      <c r="E96" s="739"/>
      <c r="F96" s="1793">
        <f>SUM('Revenues 9-14'!C82,'Revenues 9-14'!D82)</f>
        <v>6192</v>
      </c>
      <c r="G96" s="745"/>
    </row>
    <row r="97" spans="1:7" x14ac:dyDescent="0.2">
      <c r="A97" s="741" t="s">
        <v>456</v>
      </c>
      <c r="B97" s="741" t="s">
        <v>175</v>
      </c>
      <c r="C97" s="743">
        <f>'Revenues 9-14'!B84</f>
        <v>1811</v>
      </c>
      <c r="D97" s="744" t="str">
        <f>'Revenues 9-14'!A84</f>
        <v>Rentals - Regular Textbooks</v>
      </c>
      <c r="E97" s="739"/>
      <c r="F97" s="1793">
        <f>'Revenues 9-14'!C84</f>
        <v>11738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23017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23777</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300</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0</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95669</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0</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20231</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32211</v>
      </c>
      <c r="G126" s="763"/>
    </row>
    <row r="127" spans="1:7" x14ac:dyDescent="0.2">
      <c r="A127" s="760" t="s">
        <v>663</v>
      </c>
      <c r="B127" s="760" t="s">
        <v>1930</v>
      </c>
      <c r="C127" s="765">
        <v>4300</v>
      </c>
      <c r="D127" s="766" t="str">
        <f>'Revenues 9-14'!A204</f>
        <v>Total Title I</v>
      </c>
      <c r="E127" s="739"/>
      <c r="F127" s="1793">
        <f>SUM('Revenues 9-14'!C204,'Revenues 9-14'!D204,'Revenues 9-14'!F204,'Revenues 9-14'!G204)</f>
        <v>26816</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16740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122449</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3992</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4707</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7002</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66272.41</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489890.41000000003</v>
      </c>
    </row>
    <row r="176" spans="1:7" ht="12" customHeight="1" x14ac:dyDescent="0.2">
      <c r="A176" s="1443"/>
      <c r="B176" s="1453"/>
      <c r="C176" s="1454"/>
      <c r="D176" s="1455" t="s">
        <v>2013</v>
      </c>
      <c r="E176" s="1456"/>
      <c r="F176" s="1793">
        <f>'PCTC-OEPP 27-28'!F78-F175</f>
        <v>2235011.59</v>
      </c>
    </row>
    <row r="177" spans="1:9" ht="12" customHeight="1" x14ac:dyDescent="0.2">
      <c r="A177" s="1443"/>
      <c r="B177" s="1453"/>
      <c r="C177" s="1454"/>
      <c r="D177" s="1455" t="s">
        <v>1793</v>
      </c>
      <c r="E177" s="1456"/>
      <c r="F177" s="1793">
        <f>'Cap Outlay Deprec 26'!I18</f>
        <v>250579</v>
      </c>
    </row>
    <row r="178" spans="1:9" ht="12" customHeight="1" x14ac:dyDescent="0.2">
      <c r="A178" s="1443"/>
      <c r="B178" s="1453"/>
      <c r="C178" s="1454"/>
      <c r="D178" s="1455" t="s">
        <v>2014</v>
      </c>
      <c r="E178" s="1456"/>
      <c r="F178" s="1793">
        <f>F176+F177</f>
        <v>2485590.59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168.1</v>
      </c>
      <c r="G179" s="763"/>
      <c r="I179" s="701"/>
    </row>
    <row r="180" spans="1:9" ht="12" customHeight="1" thickBot="1" x14ac:dyDescent="0.25">
      <c r="A180" s="1443"/>
      <c r="B180" s="1457"/>
      <c r="C180" s="1454"/>
      <c r="D180" s="1455" t="s">
        <v>2016</v>
      </c>
      <c r="E180" s="1456" t="s">
        <v>1528</v>
      </c>
      <c r="F180" s="1798">
        <f>F178/F179</f>
        <v>14786.380666270077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425" t="s">
        <v>1794</v>
      </c>
      <c r="B4" s="2426"/>
      <c r="C4" s="2426"/>
      <c r="D4" s="2426"/>
      <c r="E4" s="2426"/>
      <c r="F4" s="2427"/>
    </row>
    <row r="5" spans="1:6" x14ac:dyDescent="0.25">
      <c r="A5" s="2428"/>
      <c r="B5" s="2429"/>
      <c r="C5" s="2429"/>
      <c r="D5" s="2429"/>
      <c r="E5" s="2429"/>
      <c r="F5" s="2430"/>
    </row>
    <row r="6" spans="1:6" ht="18.75" x14ac:dyDescent="0.25">
      <c r="A6" s="1867" t="s">
        <v>1795</v>
      </c>
      <c r="B6" s="1868"/>
      <c r="C6" s="1869"/>
      <c r="D6" s="1869"/>
      <c r="E6" s="1869"/>
      <c r="F6" s="1870"/>
    </row>
    <row r="7" spans="1:6" ht="47.25" customHeight="1" x14ac:dyDescent="0.25">
      <c r="A7" s="2431" t="s">
        <v>1984</v>
      </c>
      <c r="B7" s="2432"/>
      <c r="C7" s="2432"/>
      <c r="D7" s="2432"/>
      <c r="E7" s="2432"/>
      <c r="F7" s="2433"/>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434" t="s">
        <v>1980</v>
      </c>
      <c r="B10" s="2435"/>
      <c r="C10" s="2435"/>
      <c r="D10" s="2435"/>
      <c r="E10" s="2435"/>
      <c r="F10" s="2436"/>
    </row>
    <row r="11" spans="1:6" ht="33" customHeight="1" x14ac:dyDescent="0.25">
      <c r="A11" s="2431" t="s">
        <v>1985</v>
      </c>
      <c r="B11" s="2432"/>
      <c r="C11" s="2432"/>
      <c r="D11" s="2432"/>
      <c r="E11" s="2432"/>
      <c r="F11" s="2433"/>
    </row>
    <row r="12" spans="1:6" ht="15" customHeight="1" x14ac:dyDescent="0.25">
      <c r="A12" s="1873" t="s">
        <v>1981</v>
      </c>
      <c r="B12" s="1874"/>
      <c r="C12" s="1875"/>
      <c r="D12" s="1875"/>
      <c r="E12" s="1875"/>
      <c r="F12" s="1876"/>
    </row>
    <row r="13" spans="1:6" ht="17.25" customHeight="1" x14ac:dyDescent="0.25">
      <c r="A13" s="2431" t="s">
        <v>1982</v>
      </c>
      <c r="B13" s="2432"/>
      <c r="C13" s="2432"/>
      <c r="D13" s="2432"/>
      <c r="E13" s="2432"/>
      <c r="F13" s="2433"/>
    </row>
    <row r="14" spans="1:6" ht="15" customHeight="1" x14ac:dyDescent="0.25">
      <c r="A14" s="1873" t="s">
        <v>1799</v>
      </c>
      <c r="B14" s="1874"/>
      <c r="C14" s="1875"/>
      <c r="D14" s="1875"/>
      <c r="E14" s="1875"/>
      <c r="F14" s="1876"/>
    </row>
    <row r="15" spans="1:6" ht="32.25" customHeight="1" x14ac:dyDescent="0.25">
      <c r="A15" s="24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3"/>
      <c r="C15" s="2423"/>
      <c r="D15" s="2423"/>
      <c r="E15" s="2423"/>
      <c r="F15" s="2424"/>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84" t="s">
        <v>2103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7" t="s">
        <v>1660</v>
      </c>
      <c r="B5" s="2438"/>
      <c r="C5" s="2438"/>
      <c r="D5" s="2438"/>
      <c r="E5" s="2438"/>
      <c r="F5" s="2438"/>
      <c r="G5" s="243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53904</v>
      </c>
      <c r="F10" s="805"/>
      <c r="G10" s="806"/>
      <c r="H10" s="157"/>
      <c r="I10" s="157"/>
    </row>
    <row r="11" spans="1:13" s="542" customFormat="1" ht="22.5" customHeight="1" x14ac:dyDescent="0.2">
      <c r="A11" s="24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3"/>
      <c r="C11" s="2443"/>
      <c r="D11" s="2444"/>
      <c r="E11" s="1801">
        <v>3443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1613709</v>
      </c>
      <c r="F19" s="1802"/>
      <c r="G19" s="1804">
        <f>'Expenditures 15-22'!K33-SUM('Expenditures 15-22'!G33,'Expenditures 15-22'!I33)+'Expenditures 15-22'!D229</f>
        <v>1613709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147511</v>
      </c>
      <c r="F21" s="1805"/>
      <c r="G21" s="1808">
        <f>'Expenditures 15-22'!K42-SUM('Expenditures 15-22'!G42,'Expenditures 15-22'!I42)+'Expenditures 15-22'!K120-SUM('Expenditures 15-22'!G120,'Expenditures 15-22'!I120)+'Expenditures 15-22'!K180-SUM('Expenditures 15-22'!G180,'Expenditures 15-22'!I180)+'Expenditures 15-22'!D238</f>
        <v>147511</v>
      </c>
      <c r="H21" s="817"/>
      <c r="I21" s="157"/>
    </row>
    <row r="22" spans="1:9" s="542" customFormat="1" ht="12" customHeight="1" x14ac:dyDescent="0.2">
      <c r="A22" s="824" t="s">
        <v>560</v>
      </c>
      <c r="B22" s="825"/>
      <c r="C22" s="823">
        <v>2200</v>
      </c>
      <c r="D22" s="1805"/>
      <c r="E22" s="1807">
        <f>'Expenditures 15-22'!K47-SUM('Expenditures 15-22'!G47,'Expenditures 15-22'!I47)+'Expenditures 15-22'!D243</f>
        <v>11927</v>
      </c>
      <c r="F22" s="1805"/>
      <c r="G22" s="1808">
        <f>'Expenditures 15-22'!K47-SUM('Expenditures 15-22'!G47,'Expenditures 15-22'!I47)+'Expenditures 15-22'!D243</f>
        <v>11927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304459</v>
      </c>
      <c r="F23" s="1805"/>
      <c r="G23" s="1807">
        <f>'Expenditures 15-22'!K53-SUM('Expenditures 15-22'!G53,'Expenditures 15-22'!I53)+'Expenditures 15-22'!D257+'Expenditures 15-22'!K330-SUM('Expenditures 15-22'!G330,'Expenditures 15-22'!I330)</f>
        <v>304459</v>
      </c>
      <c r="H23" s="817"/>
      <c r="I23" s="157"/>
    </row>
    <row r="24" spans="1:9" s="542" customFormat="1" ht="12" customHeight="1" x14ac:dyDescent="0.2">
      <c r="A24" s="824" t="s">
        <v>562</v>
      </c>
      <c r="B24" s="825"/>
      <c r="C24" s="823">
        <v>2400</v>
      </c>
      <c r="D24" s="1805"/>
      <c r="E24" s="1807">
        <f>'Expenditures 15-22'!K57-SUM('Expenditures 15-22'!G57,'Expenditures 15-22'!I57)+'Expenditures 15-22'!D261</f>
        <v>132141</v>
      </c>
      <c r="F24" s="1805"/>
      <c r="G24" s="1808">
        <f>'Expenditures 15-22'!K57-SUM('Expenditures 15-22'!G57,'Expenditures 15-22'!I57)+'Expenditures 15-22'!D261</f>
        <v>132141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91991</v>
      </c>
      <c r="E27" s="1807">
        <f>E8</f>
        <v>0</v>
      </c>
      <c r="F27" s="1807">
        <f>'Expenditures 15-22'!K60-SUM('Expenditures 15-22'!G60,'Expenditures 15-22'!I60)+'Expenditures 15-22'!D264-E8</f>
        <v>91991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368380</v>
      </c>
      <c r="F28" s="1809">
        <f>'Expenditures 15-22'!K61-SUM('Expenditures 15-22'!G61,'Expenditures 15-22'!I61)+'Expenditures 15-22'!K124-SUM('Expenditures 15-22'!G124,'Expenditures 15-22'!I124)+'Expenditures 15-22'!D266-E9</f>
        <v>368380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945</v>
      </c>
      <c r="F29" s="1805"/>
      <c r="G29" s="1808">
        <f>'Expenditures 15-22'!K62-SUM('Expenditures 15-22'!G62,'Expenditures 15-22'!I62)+'Expenditures 15-22'!K125-SUM('Expenditures 15-22'!G125,'Expenditures 15-22'!I125)+'Expenditures 15-22'!K182-SUM('Expenditures 15-22'!G182,'Expenditures 15-22'!I182)+'Expenditures 15-22'!D267</f>
        <v>945</v>
      </c>
      <c r="H29" s="815"/>
    </row>
    <row r="30" spans="1:9" ht="12" customHeight="1" x14ac:dyDescent="0.2">
      <c r="A30" s="824" t="s">
        <v>100</v>
      </c>
      <c r="B30" s="827"/>
      <c r="C30" s="823">
        <v>2560</v>
      </c>
      <c r="D30" s="1805"/>
      <c r="E30" s="1807">
        <f>'Expenditures 15-22'!K63-SUM('Expenditures 15-22'!G63,'Expenditures 15-22'!I63)+'Expenditures 15-22'!D268-E10</f>
        <v>32612</v>
      </c>
      <c r="F30" s="1805"/>
      <c r="G30" s="1807">
        <f>'Expenditures 15-22'!K63-SUM('Expenditures 15-22'!G63,'Expenditures 15-22'!I63)+'Expenditures 15-22'!D268-E10</f>
        <v>32612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2334</v>
      </c>
      <c r="F39" s="1805"/>
      <c r="G39" s="1807">
        <f>'Expenditures 15-22'!K75-SUM('Expenditures 15-22'!G75,'Expenditures 15-22'!I75)+'Expenditures 15-22'!K130-SUM('Expenditures 15-22'!G130,'Expenditures 15-22'!I130)+'Expenditures 15-22'!K185-SUM('Expenditures 15-22'!G185,'Expenditures 15-22'!I185)+'Expenditures 15-22'!D280</f>
        <v>2334</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91991</v>
      </c>
      <c r="E41" s="1809">
        <f>SUM(E19:E40)</f>
        <v>2614018</v>
      </c>
      <c r="F41" s="1809">
        <f>SUM(F19:F39)</f>
        <v>460371</v>
      </c>
      <c r="G41" s="1809">
        <f>SUM(G19:G40)</f>
        <v>2245638</v>
      </c>
    </row>
    <row r="42" spans="1:7" x14ac:dyDescent="0.2">
      <c r="A42" s="817"/>
      <c r="B42" s="157"/>
      <c r="C42" s="831"/>
      <c r="D42" s="2440" t="s">
        <v>519</v>
      </c>
      <c r="E42" s="2441"/>
      <c r="F42" s="832" t="s">
        <v>520</v>
      </c>
      <c r="G42" s="833"/>
    </row>
    <row r="43" spans="1:7" ht="12" customHeight="1" x14ac:dyDescent="0.2">
      <c r="A43" s="817"/>
      <c r="B43" s="157"/>
      <c r="C43" s="831"/>
      <c r="D43" s="1458" t="s">
        <v>470</v>
      </c>
      <c r="E43" s="1810">
        <f>D41</f>
        <v>91991</v>
      </c>
      <c r="F43" s="1458" t="s">
        <v>470</v>
      </c>
      <c r="G43" s="1810">
        <f>F41</f>
        <v>460371</v>
      </c>
    </row>
    <row r="44" spans="1:7" ht="12" customHeight="1" x14ac:dyDescent="0.2">
      <c r="A44" s="817"/>
      <c r="B44" s="157"/>
      <c r="C44" s="831"/>
      <c r="D44" s="1458" t="s">
        <v>471</v>
      </c>
      <c r="E44" s="1810">
        <f>E41</f>
        <v>2614018</v>
      </c>
      <c r="F44" s="1458" t="s">
        <v>471</v>
      </c>
      <c r="G44" s="1810">
        <f>G41</f>
        <v>2245638</v>
      </c>
    </row>
    <row r="45" spans="1:7" ht="12" customHeight="1" x14ac:dyDescent="0.2">
      <c r="A45" s="817"/>
      <c r="B45" s="157"/>
      <c r="C45" s="157"/>
      <c r="D45" s="1459" t="s">
        <v>999</v>
      </c>
      <c r="E45" s="1811">
        <f>(E43/E44)</f>
        <v>3.5191417962691915E-2</v>
      </c>
      <c r="F45" s="1459" t="s">
        <v>999</v>
      </c>
      <c r="G45" s="1811">
        <f>(G43/G44)</f>
        <v>0.20500677313084301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9" width="3" style="1507" bestFit="1" customWidth="1"/>
    <col min="10" max="10" width="2.140625" style="1507" bestFit="1" customWidth="1"/>
    <col min="11" max="11" width="9" style="1507" customWidth="1"/>
    <col min="12" max="16384" width="9.140625" style="1477"/>
  </cols>
  <sheetData>
    <row r="1" spans="1:15" x14ac:dyDescent="0.2">
      <c r="A1" s="2448" t="s">
        <v>1363</v>
      </c>
      <c r="B1" s="2448"/>
      <c r="C1" s="2448"/>
      <c r="D1" s="2448"/>
      <c r="E1" s="2448"/>
      <c r="F1" s="2448"/>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9" t="s">
        <v>1529</v>
      </c>
      <c r="B5" s="2450"/>
      <c r="C5" s="2451"/>
      <c r="D5" s="2451"/>
      <c r="E5" s="2451"/>
      <c r="F5" s="2451"/>
      <c r="G5" s="1507"/>
      <c r="L5" s="1507"/>
      <c r="M5" s="1855"/>
      <c r="N5" s="1855"/>
      <c r="O5" s="1855"/>
    </row>
    <row r="6" spans="1:15" ht="12" customHeight="1" x14ac:dyDescent="0.25">
      <c r="A6" s="1480"/>
      <c r="B6" s="1481"/>
      <c r="C6" s="2452" t="str">
        <f>COVER!A17</f>
        <v xml:space="preserve">  Rankin CSD 98</v>
      </c>
      <c r="D6" s="2452"/>
      <c r="E6" s="2452"/>
      <c r="F6" s="1482"/>
      <c r="G6" s="1507"/>
      <c r="L6" s="1507"/>
      <c r="M6" s="1855"/>
      <c r="N6" s="1855"/>
      <c r="O6" s="1855"/>
    </row>
    <row r="7" spans="1:15" ht="11.25" customHeight="1" thickBot="1" x14ac:dyDescent="0.3">
      <c r="A7" s="1480"/>
      <c r="B7" s="1481"/>
      <c r="C7" s="2453">
        <f>COVER!A13</f>
        <v>53090098002</v>
      </c>
      <c r="D7" s="2453"/>
      <c r="E7" s="2453"/>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2104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t="s">
        <v>2050</v>
      </c>
      <c r="E29" s="1498"/>
      <c r="F29" s="1497" t="s">
        <v>2106</v>
      </c>
      <c r="G29" s="1507"/>
      <c r="H29" s="1507">
        <f t="shared" si="0"/>
        <v>0</v>
      </c>
      <c r="I29" s="1507">
        <f t="shared" si="1"/>
        <v>5</v>
      </c>
      <c r="J29" s="1507">
        <f t="shared" si="2"/>
        <v>0</v>
      </c>
      <c r="L29" s="1507"/>
      <c r="M29" s="1855"/>
      <c r="N29" s="1855"/>
      <c r="O29" s="1855"/>
    </row>
    <row r="30" spans="1:15" ht="12" customHeight="1" x14ac:dyDescent="0.2">
      <c r="A30" s="1493" t="s">
        <v>1521</v>
      </c>
      <c r="B30" s="1494"/>
      <c r="C30" s="1495"/>
      <c r="D30" s="1495" t="s">
        <v>2050</v>
      </c>
      <c r="E30" s="1498"/>
      <c r="F30" s="1497" t="s">
        <v>2105</v>
      </c>
      <c r="G30" s="1507"/>
      <c r="H30" s="1507">
        <f t="shared" si="0"/>
        <v>0</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2050</v>
      </c>
      <c r="D32" s="1495" t="s">
        <v>2050</v>
      </c>
      <c r="E32" s="1498"/>
      <c r="F32" s="1497" t="s">
        <v>2107</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20</v>
      </c>
      <c r="J34" s="1507">
        <f>SUM(J11:J32)</f>
        <v>0</v>
      </c>
      <c r="K34" s="1507">
        <f>SUM(H34:J34)</f>
        <v>30</v>
      </c>
      <c r="L34" s="1507"/>
      <c r="M34" s="1855"/>
      <c r="N34" s="1855"/>
      <c r="O34" s="1855"/>
    </row>
    <row r="35" spans="1:15" ht="12" customHeight="1" x14ac:dyDescent="0.2">
      <c r="A35" s="1500" t="s">
        <v>1376</v>
      </c>
      <c r="B35" s="1501"/>
      <c r="C35" s="2454"/>
      <c r="D35" s="2454"/>
      <c r="E35" s="2454"/>
      <c r="F35" s="2455"/>
    </row>
    <row r="36" spans="1:15" ht="12" customHeight="1" x14ac:dyDescent="0.2">
      <c r="A36" s="2445"/>
      <c r="B36" s="2446"/>
      <c r="C36" s="2446"/>
      <c r="D36" s="2446"/>
      <c r="E36" s="2446"/>
      <c r="F36" s="2447"/>
    </row>
    <row r="37" spans="1:15" ht="12" customHeight="1" x14ac:dyDescent="0.2">
      <c r="A37" s="2445"/>
      <c r="B37" s="2446"/>
      <c r="C37" s="2446"/>
      <c r="D37" s="2446"/>
      <c r="E37" s="2446"/>
      <c r="F37" s="2447"/>
    </row>
    <row r="38" spans="1:15" ht="12" customHeight="1" x14ac:dyDescent="0.2">
      <c r="A38" s="2459"/>
      <c r="B38" s="2460"/>
      <c r="C38" s="2460"/>
      <c r="D38" s="2460"/>
      <c r="E38" s="2460"/>
      <c r="F38" s="2461"/>
    </row>
    <row r="39" spans="1:15" ht="4.5" hidden="1" customHeight="1" x14ac:dyDescent="0.2">
      <c r="A39" s="1502"/>
      <c r="B39" s="1502"/>
      <c r="C39" s="1502"/>
      <c r="D39" s="1502"/>
      <c r="E39" s="1502"/>
      <c r="F39" s="1502"/>
    </row>
    <row r="40" spans="1:15" s="1499" customFormat="1" ht="12" customHeight="1" x14ac:dyDescent="0.25">
      <c r="A40" s="1503" t="s">
        <v>1375</v>
      </c>
      <c r="B40" s="1504"/>
      <c r="C40" s="2462"/>
      <c r="D40" s="2462"/>
      <c r="E40" s="2462"/>
      <c r="F40" s="2463"/>
      <c r="H40" s="1508"/>
      <c r="I40" s="1508"/>
      <c r="J40" s="1508"/>
      <c r="K40" s="1508"/>
    </row>
    <row r="41" spans="1:15" s="1499" customFormat="1" ht="12" customHeight="1" x14ac:dyDescent="0.25">
      <c r="A41" s="2464"/>
      <c r="B41" s="2465"/>
      <c r="C41" s="2465"/>
      <c r="D41" s="2465"/>
      <c r="E41" s="2465"/>
      <c r="F41" s="2466"/>
      <c r="H41" s="1508"/>
      <c r="I41" s="1508"/>
      <c r="J41" s="1508"/>
      <c r="K41" s="1508"/>
    </row>
    <row r="42" spans="1:15" s="1499" customFormat="1" ht="12" customHeight="1" x14ac:dyDescent="0.25">
      <c r="A42" s="2464"/>
      <c r="B42" s="2465"/>
      <c r="C42" s="2465"/>
      <c r="D42" s="2465"/>
      <c r="E42" s="2465"/>
      <c r="F42" s="2466"/>
      <c r="H42" s="1508"/>
      <c r="I42" s="1508"/>
      <c r="J42" s="1508"/>
      <c r="K42" s="1508"/>
    </row>
    <row r="43" spans="1:15" s="1499" customFormat="1" ht="15" x14ac:dyDescent="0.25">
      <c r="A43" s="2456"/>
      <c r="B43" s="2457"/>
      <c r="C43" s="2457"/>
      <c r="D43" s="2457"/>
      <c r="E43" s="2457"/>
      <c r="F43" s="2458"/>
      <c r="H43" s="1508"/>
      <c r="I43" s="1508"/>
      <c r="J43" s="1508"/>
      <c r="K43" s="1508"/>
    </row>
    <row r="44" spans="1:15" s="1499" customFormat="1" ht="12" hidden="1" customHeight="1" x14ac:dyDescent="0.25">
      <c r="A44" s="2456"/>
      <c r="B44" s="2457"/>
      <c r="C44" s="2457"/>
      <c r="D44" s="2457"/>
      <c r="E44" s="2457"/>
      <c r="F44" s="245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2001</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68" t="str">
        <f>COVER!A17</f>
        <v xml:space="preserve">  Rankin CSD 98</v>
      </c>
      <c r="K6" s="2468"/>
      <c r="L6" s="2469"/>
      <c r="M6" s="838"/>
      <c r="N6" s="1999"/>
    </row>
    <row r="7" spans="1:14" x14ac:dyDescent="0.2">
      <c r="A7" s="2470" t="s">
        <v>864</v>
      </c>
      <c r="B7" s="2471"/>
      <c r="C7" s="2471"/>
      <c r="D7" s="2471"/>
      <c r="E7" s="2472"/>
      <c r="F7" s="839"/>
      <c r="G7" s="838"/>
      <c r="H7" s="838"/>
      <c r="I7" s="1925" t="s">
        <v>369</v>
      </c>
      <c r="J7" s="2473">
        <f>COVER!A13</f>
        <v>53090098002</v>
      </c>
      <c r="K7" s="2473"/>
      <c r="L7" s="247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2017</v>
      </c>
      <c r="F9" s="1857"/>
      <c r="G9" s="1857"/>
      <c r="H9" s="1857"/>
      <c r="I9" s="1930" t="s">
        <v>2018</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4" t="s">
        <v>478</v>
      </c>
      <c r="B11" s="2475"/>
      <c r="C11" s="2476"/>
      <c r="D11" s="1938" t="s">
        <v>866</v>
      </c>
      <c r="E11" s="1938" t="s">
        <v>64</v>
      </c>
      <c r="F11" s="1938" t="s">
        <v>6</v>
      </c>
      <c r="G11" s="1939" t="s">
        <v>2019</v>
      </c>
      <c r="H11" s="1940" t="s">
        <v>155</v>
      </c>
      <c r="I11" s="1938" t="s">
        <v>64</v>
      </c>
      <c r="J11" s="1938" t="s">
        <v>6</v>
      </c>
      <c r="K11" s="1939" t="s">
        <v>2000</v>
      </c>
      <c r="L11" s="1940" t="s">
        <v>155</v>
      </c>
      <c r="M11" s="838"/>
      <c r="N11" s="1999"/>
    </row>
    <row r="12" spans="1:14" x14ac:dyDescent="0.2">
      <c r="A12" s="2004">
        <v>1</v>
      </c>
      <c r="B12" s="1941" t="s">
        <v>813</v>
      </c>
      <c r="C12" s="842"/>
      <c r="D12" s="1942">
        <v>2320</v>
      </c>
      <c r="E12" s="1945">
        <f>'Expenditures 15-22'!K50</f>
        <v>194950</v>
      </c>
      <c r="F12" s="1943"/>
      <c r="G12" s="1969">
        <f>G68</f>
        <v>0</v>
      </c>
      <c r="H12" s="1945">
        <f t="shared" ref="H12:H18" si="0">SUM(E12:G12)</f>
        <v>194950</v>
      </c>
      <c r="I12" s="1944">
        <v>204696</v>
      </c>
      <c r="J12" s="1943"/>
      <c r="K12" s="1944"/>
      <c r="L12" s="1945">
        <f t="shared" ref="L12:L18" si="1">SUM(I12:K12)</f>
        <v>204696</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77" t="s">
        <v>7</v>
      </c>
      <c r="C18" s="2478"/>
      <c r="D18" s="2479"/>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194950</v>
      </c>
      <c r="F19" s="1951">
        <f t="shared" si="2"/>
        <v>0</v>
      </c>
      <c r="G19" s="1951">
        <f>SUM(G12:G17)-G18</f>
        <v>0</v>
      </c>
      <c r="H19" s="1951">
        <f t="shared" si="2"/>
        <v>194950</v>
      </c>
      <c r="I19" s="1951">
        <f t="shared" si="2"/>
        <v>204696</v>
      </c>
      <c r="J19" s="1951">
        <f t="shared" si="2"/>
        <v>0</v>
      </c>
      <c r="K19" s="1951">
        <f t="shared" si="2"/>
        <v>0</v>
      </c>
      <c r="L19" s="1951">
        <f t="shared" si="2"/>
        <v>204696</v>
      </c>
      <c r="M19" s="838"/>
      <c r="N19" s="1999"/>
    </row>
    <row r="20" spans="1:14" ht="13.5" thickTop="1" x14ac:dyDescent="0.2">
      <c r="A20" s="2004">
        <v>9</v>
      </c>
      <c r="B20" s="2480" t="s">
        <v>2020</v>
      </c>
      <c r="C20" s="2480"/>
      <c r="D20" s="2481"/>
      <c r="E20" s="1952"/>
      <c r="F20" s="1952"/>
      <c r="G20" s="1952"/>
      <c r="H20" s="1952"/>
      <c r="I20" s="1952"/>
      <c r="J20" s="1952"/>
      <c r="K20" s="1952"/>
      <c r="L20" s="1953">
        <f>IF(AND(H19&gt;0,L19&gt;0),(((L19-H19)/H19)),"Enter Budget Data")</f>
        <v>4.9992305719415236E-2</v>
      </c>
      <c r="M20" s="838"/>
      <c r="N20" s="1999"/>
    </row>
    <row r="21" spans="1:14" x14ac:dyDescent="0.2">
      <c r="A21" s="2006" t="s">
        <v>194</v>
      </c>
      <c r="B21" s="2007" t="s">
        <v>2045</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2021</v>
      </c>
      <c r="B24" s="2011"/>
      <c r="C24" s="2012"/>
      <c r="D24" s="2012"/>
      <c r="E24" s="2012"/>
      <c r="F24" s="2012"/>
      <c r="G24" s="2012"/>
      <c r="H24" s="2012"/>
      <c r="I24" s="2012"/>
      <c r="J24" s="2012"/>
      <c r="K24" s="2012"/>
      <c r="L24" s="838"/>
      <c r="M24" s="838"/>
      <c r="N24" s="1999"/>
    </row>
    <row r="25" spans="1:14" x14ac:dyDescent="0.2">
      <c r="A25" s="2010" t="s">
        <v>2022</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2"/>
      <c r="D27" s="2482"/>
      <c r="E27" s="843"/>
      <c r="F27" s="2483"/>
      <c r="G27" s="2483"/>
      <c r="H27" s="2483"/>
      <c r="I27" s="838"/>
      <c r="J27" s="838"/>
      <c r="K27" s="838"/>
      <c r="L27" s="838"/>
      <c r="M27" s="838"/>
      <c r="N27" s="1999"/>
    </row>
    <row r="28" spans="1:14" x14ac:dyDescent="0.2">
      <c r="A28" s="1998"/>
      <c r="B28" s="2008"/>
      <c r="C28" s="1958" t="s">
        <v>1026</v>
      </c>
      <c r="D28" s="844"/>
      <c r="E28" s="1959"/>
      <c r="F28" s="2484" t="s">
        <v>1492</v>
      </c>
      <c r="G28" s="2484"/>
      <c r="H28" s="2484"/>
      <c r="I28" s="838"/>
      <c r="J28" s="838"/>
      <c r="K28" s="838"/>
      <c r="L28" s="838"/>
      <c r="M28" s="838"/>
      <c r="N28" s="1999"/>
    </row>
    <row r="29" spans="1:14" x14ac:dyDescent="0.2">
      <c r="A29" s="1998"/>
      <c r="B29" s="2008"/>
      <c r="C29" s="2485"/>
      <c r="D29" s="2485"/>
      <c r="E29" s="845"/>
      <c r="F29" s="2485"/>
      <c r="G29" s="2485"/>
      <c r="H29" s="2485"/>
      <c r="I29" s="838"/>
      <c r="J29" s="838"/>
      <c r="K29" s="838"/>
      <c r="L29" s="838"/>
      <c r="M29" s="838"/>
      <c r="N29" s="1999"/>
    </row>
    <row r="30" spans="1:14" x14ac:dyDescent="0.2">
      <c r="A30" s="1998"/>
      <c r="B30" s="2008"/>
      <c r="C30" s="1961" t="s">
        <v>1544</v>
      </c>
      <c r="D30" s="838"/>
      <c r="E30" s="1960"/>
      <c r="F30" s="2467" t="s">
        <v>1493</v>
      </c>
      <c r="G30" s="2467"/>
      <c r="H30" s="2467"/>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88" t="s">
        <v>2023</v>
      </c>
      <c r="D34" s="2489"/>
      <c r="E34" s="2489"/>
      <c r="F34" s="2489"/>
      <c r="G34" s="2489"/>
      <c r="H34" s="2489"/>
      <c r="I34" s="2489"/>
      <c r="J34" s="2489"/>
      <c r="K34" s="2017"/>
      <c r="L34" s="838"/>
      <c r="M34" s="838"/>
      <c r="N34" s="1999"/>
    </row>
    <row r="35" spans="1:14" x14ac:dyDescent="0.2">
      <c r="A35" s="1998"/>
      <c r="B35" s="838"/>
      <c r="C35" s="2489"/>
      <c r="D35" s="2489"/>
      <c r="E35" s="2489"/>
      <c r="F35" s="2489"/>
      <c r="G35" s="2489"/>
      <c r="H35" s="2489"/>
      <c r="I35" s="2489"/>
      <c r="J35" s="248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88" t="s">
        <v>2024</v>
      </c>
      <c r="D37" s="2489"/>
      <c r="E37" s="2489"/>
      <c r="F37" s="2489"/>
      <c r="G37" s="2489"/>
      <c r="H37" s="2489"/>
      <c r="I37" s="2489"/>
      <c r="J37" s="2489"/>
      <c r="K37" s="2017"/>
      <c r="L37" s="2019"/>
      <c r="M37" s="838"/>
      <c r="N37" s="1999"/>
    </row>
    <row r="38" spans="1:14" x14ac:dyDescent="0.2">
      <c r="A38" s="1998"/>
      <c r="B38" s="838"/>
      <c r="C38" s="2489"/>
      <c r="D38" s="2489"/>
      <c r="E38" s="2489"/>
      <c r="F38" s="2489"/>
      <c r="G38" s="2489"/>
      <c r="H38" s="2489"/>
      <c r="I38" s="2489"/>
      <c r="J38" s="248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90" t="s">
        <v>2025</v>
      </c>
      <c r="D40" s="2491"/>
      <c r="E40" s="2491"/>
      <c r="F40" s="2491"/>
      <c r="G40" s="2491"/>
      <c r="H40" s="2491"/>
      <c r="I40" s="2491"/>
      <c r="J40" s="249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92" t="s">
        <v>2026</v>
      </c>
      <c r="B43" s="2493"/>
      <c r="C43" s="2493"/>
      <c r="D43" s="2493"/>
      <c r="E43" s="2493"/>
      <c r="F43" s="2493"/>
      <c r="G43" s="2493"/>
      <c r="H43" s="2493"/>
      <c r="I43" s="2493"/>
      <c r="J43" s="2493"/>
      <c r="K43" s="2493"/>
      <c r="L43" s="2493"/>
      <c r="M43" s="2493"/>
      <c r="N43" s="249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2027</v>
      </c>
      <c r="B45" s="1984"/>
      <c r="C45" s="1984"/>
      <c r="D45" s="1984"/>
      <c r="E45" s="1984"/>
      <c r="F45" s="1984"/>
      <c r="G45" s="1984"/>
      <c r="H45" s="1984"/>
      <c r="I45" s="1984"/>
      <c r="J45" s="1984"/>
      <c r="K45" s="1984"/>
      <c r="L45" s="1984"/>
      <c r="M45" s="1984"/>
      <c r="N45" s="1985"/>
    </row>
    <row r="46" spans="1:14" x14ac:dyDescent="0.2">
      <c r="A46" s="2495" t="s">
        <v>2028</v>
      </c>
      <c r="B46" s="2496"/>
      <c r="C46" s="2496"/>
      <c r="D46" s="2496"/>
      <c r="E46" s="2496"/>
      <c r="F46" s="2496"/>
      <c r="G46" s="2496"/>
      <c r="H46" s="2496"/>
      <c r="I46" s="2496"/>
      <c r="J46" s="2496"/>
      <c r="K46" s="2496"/>
      <c r="L46" s="2496"/>
      <c r="M46" s="2496"/>
      <c r="N46" s="2497"/>
    </row>
    <row r="47" spans="1:14" x14ac:dyDescent="0.2">
      <c r="A47" s="2495"/>
      <c r="B47" s="2496"/>
      <c r="C47" s="2496"/>
      <c r="D47" s="2496"/>
      <c r="E47" s="2496"/>
      <c r="F47" s="2496"/>
      <c r="G47" s="2496"/>
      <c r="H47" s="2496"/>
      <c r="I47" s="2496"/>
      <c r="J47" s="2496"/>
      <c r="K47" s="2496"/>
      <c r="L47" s="2496"/>
      <c r="M47" s="2496"/>
      <c r="N47" s="249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2044</v>
      </c>
      <c r="B49" s="2025"/>
      <c r="C49" s="2025"/>
      <c r="D49" s="2026"/>
      <c r="E49" s="2026"/>
      <c r="F49" s="2026"/>
      <c r="G49" s="2026"/>
      <c r="H49" s="2026"/>
      <c r="I49" s="2026"/>
      <c r="J49" s="2026"/>
      <c r="K49" s="2026"/>
      <c r="L49" s="2026"/>
      <c r="M49" s="2026"/>
      <c r="N49" s="2027"/>
    </row>
    <row r="50" spans="1:14" ht="15" x14ac:dyDescent="0.25">
      <c r="A50" s="2029" t="s">
        <v>2043</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68" t="str">
        <f>J6</f>
        <v xml:space="preserve">  Rankin CSD 98</v>
      </c>
      <c r="M52" s="2468"/>
      <c r="N52" s="2498"/>
    </row>
    <row r="53" spans="1:14" x14ac:dyDescent="0.2">
      <c r="A53" s="1983"/>
      <c r="B53" s="1984"/>
      <c r="C53" s="1984"/>
      <c r="D53" s="1984"/>
      <c r="E53" s="1984"/>
      <c r="F53" s="1984"/>
      <c r="G53" s="1984"/>
      <c r="H53" s="1984"/>
      <c r="I53" s="1984"/>
      <c r="J53" s="1984"/>
      <c r="K53" s="1925" t="s">
        <v>369</v>
      </c>
      <c r="L53" s="2473">
        <f>J7</f>
        <v>53090098002</v>
      </c>
      <c r="M53" s="2473"/>
      <c r="N53" s="2499"/>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00"/>
      <c r="B55" s="2501"/>
      <c r="C55" s="2501"/>
      <c r="D55" s="1971"/>
      <c r="E55" s="1971"/>
      <c r="F55" s="1971"/>
      <c r="G55" s="2502" t="s">
        <v>2029</v>
      </c>
      <c r="H55" s="2502"/>
      <c r="I55" s="2502"/>
      <c r="J55" s="2502"/>
      <c r="K55" s="2502"/>
      <c r="L55" s="2502"/>
      <c r="M55" s="2502"/>
      <c r="N55" s="2503"/>
    </row>
    <row r="56" spans="1:14" ht="63.75" x14ac:dyDescent="0.2">
      <c r="A56" s="2504" t="s">
        <v>2030</v>
      </c>
      <c r="B56" s="2505"/>
      <c r="C56" s="2506"/>
      <c r="D56" s="1965" t="s">
        <v>2031</v>
      </c>
      <c r="E56" s="1965" t="s">
        <v>2032</v>
      </c>
      <c r="F56" s="1972"/>
      <c r="G56" s="1965" t="s">
        <v>2033</v>
      </c>
      <c r="H56" s="1965" t="s">
        <v>2034</v>
      </c>
      <c r="I56" s="1965" t="s">
        <v>2035</v>
      </c>
      <c r="J56" s="1965" t="s">
        <v>2036</v>
      </c>
      <c r="K56" s="1965" t="s">
        <v>2037</v>
      </c>
      <c r="L56" s="1965" t="s">
        <v>2038</v>
      </c>
      <c r="M56" s="1965" t="s">
        <v>2039</v>
      </c>
      <c r="N56" s="1966" t="s">
        <v>2046</v>
      </c>
    </row>
    <row r="57" spans="1:14" ht="24.75" customHeight="1" x14ac:dyDescent="0.2">
      <c r="A57" s="2507" t="s">
        <v>296</v>
      </c>
      <c r="B57" s="2508"/>
      <c r="C57" s="2508"/>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86" t="s">
        <v>2040</v>
      </c>
      <c r="B58" s="2487"/>
      <c r="C58" s="248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509" t="s">
        <v>297</v>
      </c>
      <c r="B59" s="2510"/>
      <c r="C59" s="251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509" t="s">
        <v>236</v>
      </c>
      <c r="B60" s="2510"/>
      <c r="C60" s="2510"/>
      <c r="D60" s="1968">
        <v>2364</v>
      </c>
      <c r="E60" s="1978">
        <f>'Expenditures 15-22'!K322</f>
        <v>0</v>
      </c>
      <c r="F60" s="1973"/>
      <c r="G60" s="2032"/>
      <c r="H60" s="2033"/>
      <c r="I60" s="2033"/>
      <c r="J60" s="2033"/>
      <c r="K60" s="2033"/>
      <c r="L60" s="2033"/>
      <c r="M60" s="2033"/>
      <c r="N60" s="1976">
        <f t="shared" ref="N60:N67" si="3">IF((SUM(G60:M60))=E60,SUM(G60:M60),"Column N does not agree with Column E")</f>
        <v>0</v>
      </c>
    </row>
    <row r="61" spans="1:14" ht="24.75" customHeight="1" x14ac:dyDescent="0.2">
      <c r="A61" s="2509" t="s">
        <v>697</v>
      </c>
      <c r="B61" s="2510"/>
      <c r="C61" s="2510"/>
      <c r="D61" s="1968">
        <v>2365</v>
      </c>
      <c r="E61" s="1978">
        <f>'Expenditures 15-22'!K323</f>
        <v>0</v>
      </c>
      <c r="F61" s="1973"/>
      <c r="G61" s="2032"/>
      <c r="H61" s="2033"/>
      <c r="I61" s="2033"/>
      <c r="J61" s="2033"/>
      <c r="K61" s="2033"/>
      <c r="L61" s="2033"/>
      <c r="M61" s="2033"/>
      <c r="N61" s="1976">
        <f t="shared" si="3"/>
        <v>0</v>
      </c>
    </row>
    <row r="62" spans="1:14" ht="24" customHeight="1" x14ac:dyDescent="0.2">
      <c r="A62" s="2509" t="s">
        <v>237</v>
      </c>
      <c r="B62" s="2510"/>
      <c r="C62" s="2510"/>
      <c r="D62" s="1968">
        <v>2366</v>
      </c>
      <c r="E62" s="1978">
        <f>'Expenditures 15-22'!K324</f>
        <v>0</v>
      </c>
      <c r="F62" s="1973"/>
      <c r="G62" s="2032"/>
      <c r="H62" s="2033"/>
      <c r="I62" s="2033"/>
      <c r="J62" s="2033"/>
      <c r="K62" s="2033"/>
      <c r="L62" s="2033"/>
      <c r="M62" s="2033"/>
      <c r="N62" s="1976">
        <f t="shared" si="3"/>
        <v>0</v>
      </c>
    </row>
    <row r="63" spans="1:14" ht="24" customHeight="1" x14ac:dyDescent="0.2">
      <c r="A63" s="2486" t="s">
        <v>1022</v>
      </c>
      <c r="B63" s="2487"/>
      <c r="C63" s="2487"/>
      <c r="D63" s="1968">
        <v>2367</v>
      </c>
      <c r="E63" s="1978">
        <f>'Expenditures 15-22'!K325</f>
        <v>0</v>
      </c>
      <c r="F63" s="1973"/>
      <c r="G63" s="2032"/>
      <c r="H63" s="2033"/>
      <c r="I63" s="2033"/>
      <c r="J63" s="2033"/>
      <c r="K63" s="2033"/>
      <c r="L63" s="2033"/>
      <c r="M63" s="2033"/>
      <c r="N63" s="1976">
        <f t="shared" si="3"/>
        <v>0</v>
      </c>
    </row>
    <row r="64" spans="1:14" ht="24" customHeight="1" x14ac:dyDescent="0.2">
      <c r="A64" s="2509" t="s">
        <v>1023</v>
      </c>
      <c r="B64" s="2510"/>
      <c r="C64" s="2510"/>
      <c r="D64" s="1968">
        <v>2368</v>
      </c>
      <c r="E64" s="1978">
        <f>'Expenditures 15-22'!K326</f>
        <v>0</v>
      </c>
      <c r="F64" s="1973"/>
      <c r="G64" s="2032"/>
      <c r="H64" s="2033"/>
      <c r="I64" s="2033"/>
      <c r="J64" s="2033"/>
      <c r="K64" s="2033"/>
      <c r="L64" s="2033"/>
      <c r="M64" s="2033"/>
      <c r="N64" s="1976">
        <f t="shared" si="3"/>
        <v>0</v>
      </c>
    </row>
    <row r="65" spans="1:14" ht="24" customHeight="1" x14ac:dyDescent="0.2">
      <c r="A65" s="2509" t="s">
        <v>965</v>
      </c>
      <c r="B65" s="2510"/>
      <c r="C65" s="2510"/>
      <c r="D65" s="1968">
        <v>2369</v>
      </c>
      <c r="E65" s="1978">
        <f>'Expenditures 15-22'!K327</f>
        <v>0</v>
      </c>
      <c r="F65" s="1973"/>
      <c r="G65" s="2032"/>
      <c r="H65" s="2033"/>
      <c r="I65" s="2033"/>
      <c r="J65" s="2033"/>
      <c r="K65" s="2033"/>
      <c r="L65" s="2033"/>
      <c r="M65" s="2033"/>
      <c r="N65" s="1976">
        <f t="shared" si="3"/>
        <v>0</v>
      </c>
    </row>
    <row r="66" spans="1:14" ht="24" customHeight="1" x14ac:dyDescent="0.2">
      <c r="A66" s="2509" t="s">
        <v>469</v>
      </c>
      <c r="B66" s="2510"/>
      <c r="C66" s="2510"/>
      <c r="D66" s="1968">
        <v>2371</v>
      </c>
      <c r="E66" s="1978">
        <f>'Expenditures 15-22'!K328</f>
        <v>0</v>
      </c>
      <c r="F66" s="1973"/>
      <c r="G66" s="2032"/>
      <c r="H66" s="2033"/>
      <c r="I66" s="2033"/>
      <c r="J66" s="2033"/>
      <c r="K66" s="2033"/>
      <c r="L66" s="2033"/>
      <c r="M66" s="2033"/>
      <c r="N66" s="1976">
        <f t="shared" si="3"/>
        <v>0</v>
      </c>
    </row>
    <row r="67" spans="1:14" ht="24.75" customHeight="1" x14ac:dyDescent="0.2">
      <c r="A67" s="2511" t="s">
        <v>2041</v>
      </c>
      <c r="B67" s="2512"/>
      <c r="C67" s="2512"/>
      <c r="D67" s="1970">
        <v>2372</v>
      </c>
      <c r="E67" s="1979">
        <f>'Expenditures 15-22'!K329</f>
        <v>0</v>
      </c>
      <c r="F67" s="1973"/>
      <c r="G67" s="2034"/>
      <c r="H67" s="2035"/>
      <c r="I67" s="2035"/>
      <c r="J67" s="2035"/>
      <c r="K67" s="2035"/>
      <c r="L67" s="2035"/>
      <c r="M67" s="2035"/>
      <c r="N67" s="1976">
        <f t="shared" si="3"/>
        <v>0</v>
      </c>
    </row>
    <row r="68" spans="1:14" x14ac:dyDescent="0.2">
      <c r="A68" s="2513" t="s">
        <v>1151</v>
      </c>
      <c r="B68" s="2514"/>
      <c r="C68" s="2514"/>
      <c r="D68" s="1971"/>
      <c r="E68" s="1975">
        <f>SUM(E57:E67)</f>
        <v>0</v>
      </c>
      <c r="F68" s="1974"/>
      <c r="G68" s="1975">
        <f t="shared" ref="G68:N68" si="4">SUM(G57:G67)</f>
        <v>0</v>
      </c>
      <c r="H68" s="1975">
        <f t="shared" si="4"/>
        <v>0</v>
      </c>
      <c r="I68" s="1975">
        <f t="shared" si="4"/>
        <v>0</v>
      </c>
      <c r="J68" s="1975">
        <f t="shared" si="4"/>
        <v>0</v>
      </c>
      <c r="K68" s="1975">
        <f t="shared" si="4"/>
        <v>0</v>
      </c>
      <c r="L68" s="1975">
        <f t="shared" si="4"/>
        <v>0</v>
      </c>
      <c r="M68" s="1975">
        <f t="shared" si="4"/>
        <v>0</v>
      </c>
      <c r="N68" s="1989">
        <f t="shared" si="4"/>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2042</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0"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2120</v>
      </c>
    </row>
    <row r="6" spans="1:2" x14ac:dyDescent="0.2">
      <c r="A6" s="847">
        <v>2</v>
      </c>
      <c r="B6" s="307" t="s">
        <v>2108</v>
      </c>
    </row>
    <row r="7" spans="1:2" x14ac:dyDescent="0.2">
      <c r="A7" s="847">
        <v>3</v>
      </c>
      <c r="B7" s="307" t="s">
        <v>2109</v>
      </c>
    </row>
    <row r="8" spans="1:2" x14ac:dyDescent="0.2">
      <c r="A8" s="847">
        <v>4</v>
      </c>
      <c r="B8" s="307" t="s">
        <v>2110</v>
      </c>
    </row>
    <row r="9" spans="1:2" x14ac:dyDescent="0.2">
      <c r="A9" s="847">
        <v>5</v>
      </c>
      <c r="B9" s="307" t="s">
        <v>2111</v>
      </c>
    </row>
    <row r="10" spans="1:2" x14ac:dyDescent="0.2">
      <c r="A10" s="848"/>
      <c r="B10" s="307" t="s">
        <v>2112</v>
      </c>
    </row>
    <row r="11" spans="1:2" x14ac:dyDescent="0.2">
      <c r="A11" s="848"/>
      <c r="B11" s="307" t="s">
        <v>2113</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Rankin CSD 98</v>
      </c>
    </row>
    <row r="65" spans="2:2" x14ac:dyDescent="0.2">
      <c r="B65" s="849">
        <f>COVER!A13</f>
        <v>53090098002</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201" t="s">
        <v>1056</v>
      </c>
      <c r="B35" s="2201"/>
      <c r="C35" s="2201"/>
      <c r="D35" s="2201"/>
      <c r="E35" s="22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8" t="s">
        <v>686</v>
      </c>
      <c r="B40" s="2198"/>
      <c r="C40" s="2198"/>
      <c r="D40" s="2198"/>
      <c r="E40" s="2198"/>
    </row>
    <row r="41" spans="1:5" x14ac:dyDescent="0.2">
      <c r="A41" s="2199" t="s">
        <v>1591</v>
      </c>
      <c r="B41" s="2199"/>
      <c r="C41" s="2199"/>
      <c r="D41" s="2199"/>
      <c r="E41" s="2199"/>
    </row>
    <row r="42" spans="1:5" ht="12.75" customHeight="1" x14ac:dyDescent="0.2">
      <c r="A42" s="2200" t="s">
        <v>1015</v>
      </c>
      <c r="B42" s="2200"/>
      <c r="C42" s="2200"/>
      <c r="D42" s="2200"/>
      <c r="E42" s="2200"/>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515" t="s">
        <v>1665</v>
      </c>
      <c r="B18" s="251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6" t="s">
        <v>1669</v>
      </c>
      <c r="B1" s="2517"/>
      <c r="C1" s="2517"/>
      <c r="D1" s="2517"/>
      <c r="E1" s="2517"/>
      <c r="F1" s="2518"/>
    </row>
    <row r="2" spans="1:8" ht="45" customHeight="1" x14ac:dyDescent="0.2">
      <c r="A2" s="252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7"/>
      <c r="C2" s="2527"/>
      <c r="D2" s="2527"/>
      <c r="E2" s="2527"/>
      <c r="F2" s="2528"/>
      <c r="G2" s="853"/>
      <c r="H2" s="853"/>
    </row>
    <row r="3" spans="1:8" ht="57" customHeight="1" x14ac:dyDescent="0.2">
      <c r="A3" s="2529" t="s">
        <v>1971</v>
      </c>
      <c r="B3" s="2530"/>
      <c r="C3" s="2530"/>
      <c r="D3" s="2530"/>
      <c r="E3" s="2530"/>
      <c r="F3" s="2531"/>
      <c r="G3" s="853"/>
      <c r="H3" s="853"/>
    </row>
    <row r="4" spans="1:8" ht="14.25" customHeight="1" x14ac:dyDescent="0.2">
      <c r="A4" s="253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6"/>
      <c r="C4" s="2536"/>
      <c r="D4" s="2536"/>
      <c r="E4" s="2536"/>
      <c r="F4" s="2537"/>
      <c r="G4" s="853"/>
      <c r="H4" s="853"/>
    </row>
    <row r="5" spans="1:8" ht="14.25" customHeight="1" x14ac:dyDescent="0.2">
      <c r="A5" s="253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9"/>
      <c r="C5" s="2539"/>
      <c r="D5" s="2539"/>
      <c r="E5" s="2539"/>
      <c r="F5" s="2540"/>
      <c r="G5" s="853"/>
      <c r="H5" s="853"/>
    </row>
    <row r="6" spans="1:8" s="854" customFormat="1" ht="41.25" customHeight="1" x14ac:dyDescent="0.2">
      <c r="A6" s="2532" t="s">
        <v>1670</v>
      </c>
      <c r="B6" s="2533"/>
      <c r="C6" s="2533"/>
      <c r="D6" s="2533"/>
      <c r="E6" s="2533"/>
      <c r="F6" s="253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2591368</v>
      </c>
      <c r="C8" s="1813">
        <f>'Acct Summary 7-8'!D8</f>
        <v>308463</v>
      </c>
      <c r="D8" s="1813">
        <f>'Acct Summary 7-8'!F8</f>
        <v>215854</v>
      </c>
      <c r="E8" s="1813">
        <f>'Acct Summary 7-8'!I8</f>
        <v>30467</v>
      </c>
      <c r="F8" s="1813">
        <f>SUM(B8:E8)</f>
        <v>3146152</v>
      </c>
    </row>
    <row r="9" spans="1:8" s="858" customFormat="1" ht="14.25" customHeight="1" thickBot="1" x14ac:dyDescent="0.25">
      <c r="A9" s="857" t="s">
        <v>1353</v>
      </c>
      <c r="B9" s="1814">
        <f>'Acct Summary 7-8'!C17</f>
        <v>2484065</v>
      </c>
      <c r="C9" s="1814">
        <f>'Acct Summary 7-8'!D17</f>
        <v>304755</v>
      </c>
      <c r="D9" s="1814">
        <f>'Acct Summary 7-8'!F17</f>
        <v>148306</v>
      </c>
      <c r="E9" s="1813"/>
      <c r="F9" s="1813">
        <f>SUM(B9:E9)</f>
        <v>2937126</v>
      </c>
    </row>
    <row r="10" spans="1:8" s="858" customFormat="1" ht="14.25" thickTop="1" thickBot="1" x14ac:dyDescent="0.25">
      <c r="A10" s="859" t="s">
        <v>1354</v>
      </c>
      <c r="B10" s="1815">
        <f>(B8-B9)</f>
        <v>107303</v>
      </c>
      <c r="C10" s="1815">
        <f>(C8-C9)</f>
        <v>3708</v>
      </c>
      <c r="D10" s="1815">
        <f>(D8-D9)</f>
        <v>67548</v>
      </c>
      <c r="E10" s="1814">
        <f>(E8-E9)</f>
        <v>30467</v>
      </c>
      <c r="F10" s="1816">
        <f>SUM(F8-F9)</f>
        <v>209026</v>
      </c>
    </row>
    <row r="11" spans="1:8" s="858" customFormat="1" ht="14.25" thickTop="1" thickBot="1" x14ac:dyDescent="0.25">
      <c r="A11" s="860" t="s">
        <v>1902</v>
      </c>
      <c r="B11" s="1817">
        <f>'Acct Summary 7-8'!C81</f>
        <v>2462525</v>
      </c>
      <c r="C11" s="1817">
        <f>'Acct Summary 7-8'!D81</f>
        <v>359121</v>
      </c>
      <c r="D11" s="1817">
        <f>'Acct Summary 7-8'!F81</f>
        <v>442555</v>
      </c>
      <c r="E11" s="1817">
        <f>'Acct Summary 7-8'!I81</f>
        <v>206380</v>
      </c>
      <c r="F11" s="1818">
        <f>SUM(B11:E11)</f>
        <v>3470581</v>
      </c>
    </row>
    <row r="12" spans="1:8" ht="16.5" customHeight="1" thickTop="1" x14ac:dyDescent="0.2">
      <c r="A12" s="861"/>
      <c r="B12" s="862"/>
      <c r="C12" s="2520" t="str">
        <f>IF(AND(F10&lt;0,F11&gt;=0,ABS(F10*3)&gt;ABS(F11)),A16,IF(AND(F10&lt;0,F11&gt;0,ABS(F10*3)&lt;=ABS(F11)),A17,IF(AND(F10&lt;0,F11&lt;0),A16,IF(F11=0,A19,A18))))</f>
        <v>Balanced - no deficit reduction plan is required.</v>
      </c>
      <c r="D12" s="2521"/>
      <c r="E12" s="2521"/>
      <c r="F12" s="2522"/>
    </row>
    <row r="13" spans="1:8" ht="19.5" customHeight="1" x14ac:dyDescent="0.2">
      <c r="A13" s="863"/>
      <c r="B13" s="864"/>
      <c r="C13" s="2520"/>
      <c r="D13" s="2521"/>
      <c r="E13" s="2521"/>
      <c r="F13" s="2522"/>
      <c r="H13" s="853"/>
    </row>
    <row r="14" spans="1:8" ht="19.5" customHeight="1" x14ac:dyDescent="0.2">
      <c r="A14" s="863"/>
      <c r="B14" s="864"/>
      <c r="C14" s="2520"/>
      <c r="D14" s="2521"/>
      <c r="E14" s="2521"/>
      <c r="F14" s="2522"/>
      <c r="H14" s="853"/>
    </row>
    <row r="15" spans="1:8" ht="17.25" customHeight="1" x14ac:dyDescent="0.2">
      <c r="A15" s="863"/>
      <c r="B15" s="864"/>
      <c r="C15" s="2523"/>
      <c r="D15" s="2524"/>
      <c r="E15" s="2524"/>
      <c r="F15" s="2525"/>
      <c r="H15" s="853"/>
    </row>
    <row r="16" spans="1:8" s="288" customFormat="1" ht="51.75" hidden="1" customHeight="1" x14ac:dyDescent="0.2">
      <c r="A16" s="2519" t="s">
        <v>1666</v>
      </c>
      <c r="B16" s="2519"/>
      <c r="C16" s="2519"/>
      <c r="D16" s="2519"/>
      <c r="E16" s="251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1" t="s">
        <v>660</v>
      </c>
      <c r="B3" s="2542"/>
      <c r="C3" s="2542"/>
      <c r="D3" s="2543"/>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2" t="s">
        <v>1487</v>
      </c>
      <c r="D7" s="2553"/>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4" t="s">
        <v>1001</v>
      </c>
      <c r="B15" s="2545"/>
      <c r="C15" s="2545"/>
      <c r="D15" s="2546"/>
    </row>
    <row r="16" spans="1:4" s="542" customFormat="1" ht="24" customHeight="1" x14ac:dyDescent="0.2">
      <c r="A16" s="2547" t="s">
        <v>658</v>
      </c>
      <c r="B16" s="2548"/>
      <c r="C16" s="2548"/>
      <c r="D16" s="2549"/>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6" t="s">
        <v>311</v>
      </c>
      <c r="D21" s="2557"/>
    </row>
    <row r="22" spans="1:10" ht="12.75" x14ac:dyDescent="0.2">
      <c r="A22" s="918"/>
      <c r="B22" s="919">
        <v>2</v>
      </c>
      <c r="C22" s="2554" t="s">
        <v>1507</v>
      </c>
      <c r="D22" s="255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8" t="s">
        <v>533</v>
      </c>
      <c r="D43" s="255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50" t="s">
        <v>779</v>
      </c>
      <c r="D56" s="255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50" t="s">
        <v>1674</v>
      </c>
      <c r="D70" s="255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ht="22.5" x14ac:dyDescent="0.2">
      <c r="A82" s="877"/>
      <c r="B82" s="899">
        <v>15</v>
      </c>
      <c r="C82" s="909" t="s">
        <v>1883</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53090098002</v>
      </c>
      <c r="E2" s="1542">
        <v>2020</v>
      </c>
      <c r="F2" s="1542">
        <v>1</v>
      </c>
      <c r="G2" s="1899">
        <v>101000300</v>
      </c>
    </row>
    <row r="3" spans="1:7" ht="15" x14ac:dyDescent="0.25">
      <c r="A3" t="s">
        <v>950</v>
      </c>
      <c r="B3" s="135" t="str">
        <f>COVER!A15</f>
        <v>Tazewell</v>
      </c>
      <c r="E3" s="1830" t="s">
        <v>1970</v>
      </c>
      <c r="F3" s="1830" t="s">
        <v>1969</v>
      </c>
      <c r="G3" s="1899">
        <v>101000400</v>
      </c>
    </row>
    <row r="4" spans="1:7" ht="15" x14ac:dyDescent="0.25">
      <c r="A4" t="s">
        <v>1000</v>
      </c>
      <c r="B4" s="135" t="str">
        <f>COVER!A17</f>
        <v xml:space="preserve">  Rankin CSD 98</v>
      </c>
      <c r="E4" s="1828">
        <v>44119</v>
      </c>
      <c r="F4" s="1829">
        <v>44151</v>
      </c>
      <c r="G4" s="1899">
        <v>101000600</v>
      </c>
    </row>
    <row r="5" spans="1:7" ht="15" x14ac:dyDescent="0.25">
      <c r="A5" t="s">
        <v>699</v>
      </c>
      <c r="B5" s="135" t="str">
        <f>COVER!A38</f>
        <v>Matt Gordon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35855</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2396398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2462525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2462525</v>
      </c>
      <c r="D92" s="2" t="str">
        <f t="shared" si="0"/>
        <v>Error?</v>
      </c>
      <c r="G92" s="1899">
        <v>102640600</v>
      </c>
    </row>
    <row r="93" spans="1:7" ht="15" x14ac:dyDescent="0.25">
      <c r="A93" s="5">
        <v>32</v>
      </c>
      <c r="B93" s="1832">
        <f>'Assets-Liab 5-6'!C41</f>
        <v>2462525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359121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359121</v>
      </c>
      <c r="D123" s="2" t="str">
        <f t="shared" si="0"/>
        <v>Error?</v>
      </c>
      <c r="G123" s="1899">
        <v>203000400</v>
      </c>
    </row>
    <row r="124" spans="1:7" ht="15" x14ac:dyDescent="0.25">
      <c r="A124" s="5">
        <v>63</v>
      </c>
      <c r="B124" s="1832">
        <f>'Assets-Liab 5-6'!D41</f>
        <v>359121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14841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14841</v>
      </c>
      <c r="D140" s="2" t="str">
        <f t="shared" si="1"/>
        <v>Error?</v>
      </c>
    </row>
    <row r="141" spans="1:7" x14ac:dyDescent="0.2">
      <c r="A141" s="5">
        <v>80</v>
      </c>
      <c r="B141" s="1832">
        <f>'Assets-Liab 5-6'!E41</f>
        <v>14841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442555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442555</v>
      </c>
      <c r="D170" s="2" t="str">
        <f t="shared" si="1"/>
        <v>Error?</v>
      </c>
    </row>
    <row r="171" spans="1:4" x14ac:dyDescent="0.2">
      <c r="A171" s="5">
        <v>110</v>
      </c>
      <c r="B171" s="1832">
        <f>'Assets-Liab 5-6'!F41</f>
        <v>442555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182866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84574</v>
      </c>
      <c r="D189" s="2" t="str">
        <f t="shared" si="1"/>
        <v>Error?</v>
      </c>
    </row>
    <row r="190" spans="1:4" x14ac:dyDescent="0.2">
      <c r="A190" s="5">
        <v>129</v>
      </c>
      <c r="B190" s="1832">
        <f>'Assets-Liab 5-6'!G41</f>
        <v>182866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125600</v>
      </c>
      <c r="D273" s="2" t="str">
        <f t="shared" si="3"/>
        <v>Error?</v>
      </c>
    </row>
    <row r="274" spans="1:4" x14ac:dyDescent="0.2">
      <c r="A274" s="5">
        <v>213</v>
      </c>
      <c r="B274" s="1832">
        <f>'Assets-Liab 5-6'!M17</f>
        <v>8406214</v>
      </c>
      <c r="D274" s="2" t="str">
        <f t="shared" si="3"/>
        <v>Error?</v>
      </c>
    </row>
    <row r="275" spans="1:4" x14ac:dyDescent="0.2">
      <c r="A275" s="5">
        <v>214</v>
      </c>
      <c r="B275" s="1832">
        <f>'Assets-Liab 5-6'!M18</f>
        <v>890206</v>
      </c>
      <c r="D275" s="2" t="str">
        <f t="shared" si="3"/>
        <v>Error?</v>
      </c>
    </row>
    <row r="276" spans="1:4" x14ac:dyDescent="0.2">
      <c r="A276" s="5">
        <v>215</v>
      </c>
      <c r="B276" s="1832">
        <f>'Assets-Liab 5-6'!M19</f>
        <v>467283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9889303</v>
      </c>
      <c r="C279" s="2" t="s">
        <v>569</v>
      </c>
      <c r="D279" s="2" t="str">
        <f t="shared" si="3"/>
        <v>Error?</v>
      </c>
    </row>
    <row r="280" spans="1:4" x14ac:dyDescent="0.2">
      <c r="A280" s="5">
        <v>219</v>
      </c>
      <c r="B280" s="1832">
        <f>'Assets-Liab 5-6'!M40</f>
        <v>9889303</v>
      </c>
      <c r="D280" s="2" t="str">
        <f t="shared" si="3"/>
        <v>Error?</v>
      </c>
    </row>
    <row r="281" spans="1:4" x14ac:dyDescent="0.2">
      <c r="A281" s="5">
        <v>220</v>
      </c>
      <c r="B281" s="1832">
        <f>'Assets-Liab 5-6'!M41</f>
        <v>9889303</v>
      </c>
      <c r="C281" s="2" t="s">
        <v>569</v>
      </c>
      <c r="D281" s="2" t="str">
        <f t="shared" si="3"/>
        <v>Error?</v>
      </c>
    </row>
    <row r="282" spans="1:4" x14ac:dyDescent="0.2">
      <c r="A282" s="5">
        <v>221</v>
      </c>
      <c r="B282" s="1832">
        <f>'Assets-Liab 5-6'!N21</f>
        <v>14841</v>
      </c>
      <c r="D282" s="2" t="str">
        <f t="shared" si="3"/>
        <v>Error?</v>
      </c>
    </row>
    <row r="283" spans="1:4" x14ac:dyDescent="0.2">
      <c r="A283" s="5">
        <v>222</v>
      </c>
      <c r="B283" s="1832">
        <f>'Assets-Liab 5-6'!N22</f>
        <v>3218159</v>
      </c>
      <c r="D283" s="2" t="str">
        <f t="shared" si="3"/>
        <v>Error?</v>
      </c>
    </row>
    <row r="284" spans="1:4" x14ac:dyDescent="0.2">
      <c r="A284" s="5">
        <v>223</v>
      </c>
      <c r="B284" s="1832">
        <f>'Assets-Liab 5-6'!N23</f>
        <v>3233000</v>
      </c>
      <c r="C284" s="2" t="s">
        <v>569</v>
      </c>
      <c r="D284" s="2" t="str">
        <f t="shared" si="3"/>
        <v>Error?</v>
      </c>
    </row>
    <row r="285" spans="1:4" x14ac:dyDescent="0.2">
      <c r="A285" s="5">
        <v>224</v>
      </c>
      <c r="B285" s="1832">
        <f>'Assets-Liab 5-6'!N36</f>
        <v>3233000</v>
      </c>
      <c r="D285" s="2" t="str">
        <f t="shared" si="3"/>
        <v>Error?</v>
      </c>
    </row>
    <row r="286" spans="1:4" x14ac:dyDescent="0.2">
      <c r="A286" s="10">
        <v>225</v>
      </c>
      <c r="B286" s="1832"/>
      <c r="D286" s="2" t="str">
        <f t="shared" si="3"/>
        <v>OK</v>
      </c>
    </row>
    <row r="287" spans="1:4" x14ac:dyDescent="0.2">
      <c r="A287" s="5">
        <v>226</v>
      </c>
      <c r="B287" s="1832">
        <f>'Assets-Liab 5-6'!N37</f>
        <v>3233000</v>
      </c>
      <c r="C287" s="2" t="s">
        <v>569</v>
      </c>
      <c r="D287" s="2" t="str">
        <f t="shared" si="3"/>
        <v>Error?</v>
      </c>
    </row>
    <row r="288" spans="1:4" x14ac:dyDescent="0.2">
      <c r="A288" s="5">
        <v>227</v>
      </c>
      <c r="B288" s="1832">
        <f>'Assets-Liab 5-6'!N41</f>
        <v>3233000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834256</v>
      </c>
      <c r="D705" s="2" t="str">
        <f t="shared" si="10"/>
        <v>Error?</v>
      </c>
    </row>
    <row r="706" spans="1:4" x14ac:dyDescent="0.2">
      <c r="A706" s="5">
        <v>645</v>
      </c>
      <c r="B706" s="1832">
        <f>'Expenditures 15-22'!C16</f>
        <v>690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36306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1000837</v>
      </c>
      <c r="C720" s="2" t="s">
        <v>569</v>
      </c>
      <c r="D720" s="2" t="str">
        <f t="shared" si="10"/>
        <v>Error?</v>
      </c>
    </row>
    <row r="721" spans="1:4" x14ac:dyDescent="0.2">
      <c r="A721" s="5">
        <v>660</v>
      </c>
      <c r="B721" s="1832">
        <f>'Expenditures 15-22'!C36</f>
        <v>4269</v>
      </c>
      <c r="D721" s="2" t="str">
        <f t="shared" si="10"/>
        <v>Error?</v>
      </c>
    </row>
    <row r="722" spans="1:4" x14ac:dyDescent="0.2">
      <c r="A722" s="5">
        <v>661</v>
      </c>
      <c r="B722" s="1832">
        <f>'Expenditures 15-22'!C37</f>
        <v>37362</v>
      </c>
      <c r="D722" s="2" t="str">
        <f t="shared" si="10"/>
        <v>Error?</v>
      </c>
    </row>
    <row r="723" spans="1:4" x14ac:dyDescent="0.2">
      <c r="A723" s="5">
        <v>662</v>
      </c>
      <c r="B723" s="1832">
        <f>'Expenditures 15-22'!C38</f>
        <v>32925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42400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116956</v>
      </c>
      <c r="C727" s="2" t="s">
        <v>569</v>
      </c>
      <c r="D727" s="2" t="str">
        <f t="shared" si="10"/>
        <v>Error?</v>
      </c>
    </row>
    <row r="728" spans="1:4" x14ac:dyDescent="0.2">
      <c r="A728" s="5">
        <v>667</v>
      </c>
      <c r="B728" s="1832">
        <f>'Expenditures 15-22'!C44</f>
        <v>2069</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2069</v>
      </c>
      <c r="C731" s="2" t="s">
        <v>569</v>
      </c>
      <c r="D731" s="2" t="str">
        <f t="shared" si="10"/>
        <v>Error?</v>
      </c>
    </row>
    <row r="732" spans="1:4" x14ac:dyDescent="0.2">
      <c r="A732" s="5">
        <v>671</v>
      </c>
      <c r="B732" s="1832">
        <f>'Expenditures 15-22'!C49</f>
        <v>4044</v>
      </c>
      <c r="D732" s="2" t="str">
        <f t="shared" si="10"/>
        <v>Error?</v>
      </c>
    </row>
    <row r="733" spans="1:4" x14ac:dyDescent="0.2">
      <c r="A733" s="5">
        <v>672</v>
      </c>
      <c r="B733" s="1832">
        <f>'Expenditures 15-22'!C50</f>
        <v>148638</v>
      </c>
      <c r="D733" s="2" t="str">
        <f t="shared" si="10"/>
        <v>Error?</v>
      </c>
    </row>
    <row r="734" spans="1:4" x14ac:dyDescent="0.2">
      <c r="A734" s="5">
        <v>673</v>
      </c>
      <c r="B734" s="1832">
        <f>'Expenditures 15-22'!C53</f>
        <v>152682</v>
      </c>
      <c r="C734" s="2" t="s">
        <v>569</v>
      </c>
      <c r="D734" s="2" t="str">
        <f t="shared" si="10"/>
        <v>Error?</v>
      </c>
    </row>
    <row r="735" spans="1:4" x14ac:dyDescent="0.2">
      <c r="A735" s="5">
        <v>674</v>
      </c>
      <c r="B735" s="1832">
        <f>'Expenditures 15-22'!C55</f>
        <v>106303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106303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58562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25114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83676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461686</v>
      </c>
      <c r="C755" s="2" t="s">
        <v>569</v>
      </c>
      <c r="D755" s="2" t="str">
        <f t="shared" si="10"/>
        <v>Error?</v>
      </c>
    </row>
    <row r="756" spans="1:4" x14ac:dyDescent="0.2">
      <c r="A756" s="5">
        <v>695</v>
      </c>
      <c r="B756" s="1832">
        <f>'Expenditures 15-22'!C75</f>
        <v>1933</v>
      </c>
      <c r="D756" s="2" t="str">
        <f t="shared" si="10"/>
        <v>Error?</v>
      </c>
    </row>
    <row r="757" spans="1:4" x14ac:dyDescent="0.2">
      <c r="A757" s="5">
        <v>696</v>
      </c>
      <c r="B757" s="1832">
        <f>'Expenditures 15-22'!C114</f>
        <v>1464456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204551</v>
      </c>
      <c r="D763" s="2" t="str">
        <f t="shared" si="10"/>
        <v>Error?</v>
      </c>
    </row>
    <row r="764" spans="1:4" x14ac:dyDescent="0.2">
      <c r="A764" s="5">
        <v>703</v>
      </c>
      <c r="B764" s="1832">
        <f>'Expenditures 15-22'!D16</f>
        <v>80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3451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244849</v>
      </c>
      <c r="C778" s="2" t="s">
        <v>569</v>
      </c>
      <c r="D778" s="2" t="str">
        <f t="shared" si="11"/>
        <v>Error?</v>
      </c>
    </row>
    <row r="779" spans="1:4" x14ac:dyDescent="0.2">
      <c r="A779" s="5">
        <v>718</v>
      </c>
      <c r="B779" s="1832">
        <f>'Expenditures 15-22'!D36</f>
        <v>154</v>
      </c>
      <c r="D779" s="2" t="str">
        <f t="shared" si="11"/>
        <v>Error?</v>
      </c>
    </row>
    <row r="780" spans="1:4" x14ac:dyDescent="0.2">
      <c r="A780" s="5">
        <v>719</v>
      </c>
      <c r="B780" s="1832">
        <f>'Expenditures 15-22'!D37</f>
        <v>13478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6787</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20419</v>
      </c>
      <c r="C785" s="2" t="s">
        <v>569</v>
      </c>
      <c r="D785" s="2" t="str">
        <f t="shared" si="11"/>
        <v>Error?</v>
      </c>
    </row>
    <row r="786" spans="1:4" x14ac:dyDescent="0.2">
      <c r="A786" s="5">
        <v>725</v>
      </c>
      <c r="B786" s="1832">
        <f>'Expenditures 15-22'!D44</f>
        <v>5278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5278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25916</v>
      </c>
      <c r="D791" s="2" t="str">
        <f t="shared" si="11"/>
        <v>Error?</v>
      </c>
    </row>
    <row r="792" spans="1:4" x14ac:dyDescent="0.2">
      <c r="A792" s="5">
        <v>731</v>
      </c>
      <c r="B792" s="1832">
        <f>'Expenditures 15-22'!D53</f>
        <v>25916</v>
      </c>
      <c r="C792" s="2" t="s">
        <v>569</v>
      </c>
      <c r="D792" s="2" t="str">
        <f t="shared" si="11"/>
        <v>Error?</v>
      </c>
    </row>
    <row r="793" spans="1:4" x14ac:dyDescent="0.2">
      <c r="A793" s="5">
        <v>732</v>
      </c>
      <c r="B793" s="1832">
        <f>'Expenditures 15-22'!D55</f>
        <v>21089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21089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9997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9997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82699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327548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39786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7991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48302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4550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4550</v>
      </c>
      <c r="C847" s="2" t="s">
        <v>569</v>
      </c>
      <c r="D847" s="2" t="str">
        <f t="shared" si="12"/>
        <v>Error?</v>
      </c>
    </row>
    <row r="848" spans="1:4" x14ac:dyDescent="0.2">
      <c r="A848" s="5">
        <v>787</v>
      </c>
      <c r="B848" s="1832">
        <f>'Expenditures 15-22'!E49</f>
        <v>11205</v>
      </c>
      <c r="D848" s="2" t="str">
        <f t="shared" si="12"/>
        <v>Error?</v>
      </c>
    </row>
    <row r="849" spans="1:4" x14ac:dyDescent="0.2">
      <c r="A849" s="5">
        <v>788</v>
      </c>
      <c r="B849" s="1832">
        <f>'Expenditures 15-22'!E50</f>
        <v>48</v>
      </c>
      <c r="D849" s="2" t="str">
        <f t="shared" si="12"/>
        <v>Error?</v>
      </c>
    </row>
    <row r="850" spans="1:4" x14ac:dyDescent="0.2">
      <c r="A850" s="5">
        <v>789</v>
      </c>
      <c r="B850" s="1832">
        <f>'Expenditures 15-22'!E53</f>
        <v>81628</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750</v>
      </c>
      <c r="D855" s="2" t="str">
        <f t="shared" si="12"/>
        <v>Error?</v>
      </c>
    </row>
    <row r="856" spans="1:4" x14ac:dyDescent="0.2">
      <c r="A856" s="5">
        <v>795</v>
      </c>
      <c r="B856" s="1832">
        <f>'Expenditures 15-22'!E61</f>
        <v>2671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3190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6611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92789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167493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106307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7598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122754</v>
      </c>
      <c r="C894" s="2" t="s">
        <v>569</v>
      </c>
      <c r="D894" s="2" t="str">
        <f t="shared" si="12"/>
        <v>Error?</v>
      </c>
    </row>
    <row r="895" spans="1:4" x14ac:dyDescent="0.2">
      <c r="A895" s="5">
        <v>834</v>
      </c>
      <c r="B895" s="1832">
        <f>'Expenditures 15-22'!F36</f>
        <v>83</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760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635</v>
      </c>
      <c r="D899" s="2" t="str">
        <f t="shared" si="13"/>
        <v>Error?</v>
      </c>
    </row>
    <row r="900" spans="1:4" x14ac:dyDescent="0.2">
      <c r="A900" s="5">
        <v>839</v>
      </c>
      <c r="B900" s="1832">
        <f>'Expenditures 15-22'!F41</f>
        <v>2424</v>
      </c>
      <c r="D900" s="2" t="str">
        <f t="shared" si="13"/>
        <v>Error?</v>
      </c>
    </row>
    <row r="901" spans="1:4" x14ac:dyDescent="0.2">
      <c r="A901" s="5">
        <v>840</v>
      </c>
      <c r="B901" s="1832">
        <f>'Expenditures 15-22'!F42</f>
        <v>3902</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851</v>
      </c>
      <c r="D906" s="2" t="str">
        <f t="shared" si="13"/>
        <v>Error?</v>
      </c>
    </row>
    <row r="907" spans="1:4" x14ac:dyDescent="0.2">
      <c r="A907" s="5">
        <v>846</v>
      </c>
      <c r="B907" s="1832">
        <f>'Expenditures 15-22'!F50</f>
        <v>6149</v>
      </c>
      <c r="D907" s="2" t="str">
        <f t="shared" si="13"/>
        <v>Error?</v>
      </c>
    </row>
    <row r="908" spans="1:4" x14ac:dyDescent="0.2">
      <c r="A908" s="5">
        <v>847</v>
      </c>
      <c r="B908" s="1832">
        <f>'Expenditures 15-22'!F53</f>
        <v>7000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13881</v>
      </c>
      <c r="D913" s="2" t="str">
        <f t="shared" si="13"/>
        <v>Error?</v>
      </c>
    </row>
    <row r="914" spans="1:4" x14ac:dyDescent="0.2">
      <c r="A914" s="5">
        <v>853</v>
      </c>
      <c r="B914" s="1832">
        <f>'Expenditures 15-22'!F61</f>
        <v>71528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54377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139786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150688</v>
      </c>
      <c r="C929" s="2" t="s">
        <v>569</v>
      </c>
      <c r="D929" s="2" t="str">
        <f t="shared" si="13"/>
        <v>Error?</v>
      </c>
    </row>
    <row r="930" spans="1:4" x14ac:dyDescent="0.2">
      <c r="A930" s="5">
        <v>869</v>
      </c>
      <c r="B930" s="1832">
        <f>'Expenditures 15-22'!F75</f>
        <v>401</v>
      </c>
      <c r="D930" s="2" t="str">
        <f t="shared" si="13"/>
        <v>Error?</v>
      </c>
    </row>
    <row r="931" spans="1:4" x14ac:dyDescent="0.2">
      <c r="A931" s="5">
        <v>870</v>
      </c>
      <c r="B931" s="1832">
        <f>'Expenditures 15-22'!F114</f>
        <v>273843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23134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3792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26926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26926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2818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167695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16445</v>
      </c>
      <c r="D1022" s="2" t="str">
        <f t="shared" si="14"/>
        <v>Error?</v>
      </c>
    </row>
    <row r="1023" spans="1:4" x14ac:dyDescent="0.2">
      <c r="A1023" s="5">
        <v>962</v>
      </c>
      <c r="B1023" s="1832">
        <f>'Expenditures 15-22'!H50</f>
        <v>14199</v>
      </c>
      <c r="D1023" s="2" t="str">
        <f t="shared" ref="D1023:D1086" si="15">IF(ISBLANK(B1023),"OK",IF(A1023-B1023=0,"OK","Error?"))</f>
        <v>Error?</v>
      </c>
    </row>
    <row r="1024" spans="1:4" x14ac:dyDescent="0.2">
      <c r="A1024" s="5">
        <v>963</v>
      </c>
      <c r="B1024" s="1832">
        <f>'Expenditures 15-22'!H53</f>
        <v>30644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30644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25460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223799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1208034</v>
      </c>
      <c r="C1093" s="2" t="s">
        <v>569</v>
      </c>
      <c r="D1093" s="2" t="str">
        <f t="shared" si="16"/>
        <v>Error?</v>
      </c>
    </row>
    <row r="1094" spans="1:4" x14ac:dyDescent="0.2">
      <c r="A1094" s="5">
        <v>1033</v>
      </c>
      <c r="B1094" s="1832">
        <f>'Expenditures 15-22'!K16</f>
        <v>770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61956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1611363</v>
      </c>
      <c r="C1108" s="2" t="s">
        <v>569</v>
      </c>
      <c r="D1108" s="2" t="str">
        <f t="shared" si="16"/>
        <v>Error?</v>
      </c>
    </row>
    <row r="1109" spans="1:4" x14ac:dyDescent="0.2">
      <c r="A1109" s="5">
        <v>1048</v>
      </c>
      <c r="B1109" s="1832">
        <f>'Expenditures 15-22'!K36</f>
        <v>4506</v>
      </c>
      <c r="C1109" s="2" t="s">
        <v>569</v>
      </c>
      <c r="D1109" s="2" t="str">
        <f t="shared" si="16"/>
        <v>Error?</v>
      </c>
    </row>
    <row r="1110" spans="1:4" x14ac:dyDescent="0.2">
      <c r="A1110" s="5">
        <v>1049</v>
      </c>
      <c r="B1110" s="1832">
        <f>'Expenditures 15-22'!K37</f>
        <v>50840</v>
      </c>
      <c r="C1110" s="2" t="s">
        <v>569</v>
      </c>
      <c r="D1110" s="2" t="str">
        <f t="shared" si="16"/>
        <v>Error?</v>
      </c>
    </row>
    <row r="1111" spans="1:4" x14ac:dyDescent="0.2">
      <c r="A1111" s="5">
        <v>1050</v>
      </c>
      <c r="B1111" s="1832">
        <f>'Expenditures 15-22'!K38</f>
        <v>33685</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49822</v>
      </c>
      <c r="C1113" s="2" t="s">
        <v>569</v>
      </c>
      <c r="D1113" s="2" t="str">
        <f t="shared" si="16"/>
        <v>Error?</v>
      </c>
    </row>
    <row r="1114" spans="1:4" x14ac:dyDescent="0.2">
      <c r="A1114" s="5">
        <v>1053</v>
      </c>
      <c r="B1114" s="1832">
        <f>'Expenditures 15-22'!K41</f>
        <v>2424</v>
      </c>
      <c r="C1114" s="2" t="s">
        <v>569</v>
      </c>
      <c r="D1114" s="2" t="str">
        <f t="shared" si="16"/>
        <v>Error?</v>
      </c>
    </row>
    <row r="1115" spans="1:4" x14ac:dyDescent="0.2">
      <c r="A1115" s="5">
        <v>1054</v>
      </c>
      <c r="B1115" s="1832">
        <f>'Expenditures 15-22'!K42</f>
        <v>141277</v>
      </c>
      <c r="C1115" s="2" t="s">
        <v>569</v>
      </c>
      <c r="D1115" s="2" t="str">
        <f t="shared" si="16"/>
        <v>Error?</v>
      </c>
    </row>
    <row r="1116" spans="1:4" x14ac:dyDescent="0.2">
      <c r="A1116" s="5">
        <v>1055</v>
      </c>
      <c r="B1116" s="1832">
        <f>'Expenditures 15-22'!K44</f>
        <v>11897</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11897</v>
      </c>
      <c r="C1119" s="2" t="s">
        <v>569</v>
      </c>
      <c r="D1119" s="2" t="str">
        <f t="shared" si="16"/>
        <v>Error?</v>
      </c>
    </row>
    <row r="1120" spans="1:4" x14ac:dyDescent="0.2">
      <c r="A1120" s="5">
        <v>1059</v>
      </c>
      <c r="B1120" s="1832">
        <f>'Expenditures 15-22'!K49</f>
        <v>32545</v>
      </c>
      <c r="C1120" s="2" t="s">
        <v>569</v>
      </c>
      <c r="D1120" s="2" t="str">
        <f t="shared" si="16"/>
        <v>Error?</v>
      </c>
    </row>
    <row r="1121" spans="1:4" x14ac:dyDescent="0.2">
      <c r="A1121" s="5">
        <v>1060</v>
      </c>
      <c r="B1121" s="1832">
        <f>'Expenditures 15-22'!K50</f>
        <v>194950</v>
      </c>
      <c r="C1121" s="2" t="s">
        <v>569</v>
      </c>
      <c r="D1121" s="2" t="str">
        <f t="shared" si="16"/>
        <v>Error?</v>
      </c>
    </row>
    <row r="1122" spans="1:4" x14ac:dyDescent="0.2">
      <c r="A1122" s="5">
        <v>1061</v>
      </c>
      <c r="B1122" s="1832">
        <f>'Expenditures 15-22'!K53</f>
        <v>297870</v>
      </c>
      <c r="C1122" s="2" t="s">
        <v>569</v>
      </c>
      <c r="D1122" s="2" t="str">
        <f t="shared" si="16"/>
        <v>Error?</v>
      </c>
    </row>
    <row r="1123" spans="1:4" x14ac:dyDescent="0.2">
      <c r="A1123" s="5">
        <v>1062</v>
      </c>
      <c r="B1123" s="1832">
        <f>'Expenditures 15-22'!K55</f>
        <v>127392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127392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83190</v>
      </c>
      <c r="C1127" s="2" t="s">
        <v>569</v>
      </c>
      <c r="D1127" s="2" t="str">
        <f t="shared" si="16"/>
        <v>Error?</v>
      </c>
    </row>
    <row r="1128" spans="1:4" x14ac:dyDescent="0.2">
      <c r="A1128" s="5">
        <v>1067</v>
      </c>
      <c r="B1128" s="1832">
        <f>'Expenditures 15-22'!K61</f>
        <v>74199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82681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240070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818506</v>
      </c>
      <c r="C1143" s="2" t="s">
        <v>569</v>
      </c>
      <c r="D1143" s="2" t="str">
        <f t="shared" si="16"/>
        <v>Error?</v>
      </c>
    </row>
    <row r="1144" spans="1:4" x14ac:dyDescent="0.2">
      <c r="A1144" s="5">
        <v>1083</v>
      </c>
      <c r="B1144" s="1832">
        <f>'Expenditures 15-22'!K75</f>
        <v>2334</v>
      </c>
      <c r="C1144" s="2" t="s">
        <v>569</v>
      </c>
      <c r="D1144" s="2" t="str">
        <f t="shared" si="16"/>
        <v>Error?</v>
      </c>
    </row>
    <row r="1145" spans="1:4" x14ac:dyDescent="0.2">
      <c r="A1145" s="5">
        <v>1084</v>
      </c>
      <c r="B1145" s="1832">
        <f>'Expenditures 15-22'!K102</f>
        <v>51862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2484065</v>
      </c>
      <c r="C1152" s="2" t="s">
        <v>569</v>
      </c>
      <c r="D1152" s="2" t="str">
        <f t="shared" si="17"/>
        <v>Error?</v>
      </c>
    </row>
    <row r="1153" spans="1:4" x14ac:dyDescent="0.2">
      <c r="A1153" s="5">
        <v>1092</v>
      </c>
      <c r="B1153" s="1832">
        <f>'Expenditures 15-22'!K115</f>
        <v>107303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136534</v>
      </c>
      <c r="D1221" s="2" t="str">
        <f t="shared" si="18"/>
        <v>Error?</v>
      </c>
    </row>
    <row r="1222" spans="1:4" x14ac:dyDescent="0.2">
      <c r="A1222" s="10">
        <v>1161</v>
      </c>
      <c r="B1222" s="1832"/>
      <c r="D1222" s="2" t="str">
        <f t="shared" si="18"/>
        <v>OK</v>
      </c>
    </row>
    <row r="1223" spans="1:4" x14ac:dyDescent="0.2">
      <c r="A1223" s="5">
        <v>1162</v>
      </c>
      <c r="B1223" s="1832">
        <f>'Expenditures 15-22'!C127</f>
        <v>136534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136534</v>
      </c>
      <c r="C1225" s="2" t="s">
        <v>569</v>
      </c>
      <c r="D1225" s="2" t="str">
        <f t="shared" si="18"/>
        <v>Error?</v>
      </c>
    </row>
    <row r="1226" spans="1:4" x14ac:dyDescent="0.2">
      <c r="A1226" s="5">
        <v>1165</v>
      </c>
      <c r="B1226" s="1832">
        <f>'Expenditures 15-22'!C151</f>
        <v>136534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35615</v>
      </c>
      <c r="D1229" s="2" t="str">
        <f t="shared" si="18"/>
        <v>Error?</v>
      </c>
    </row>
    <row r="1230" spans="1:4" x14ac:dyDescent="0.2">
      <c r="A1230" s="10">
        <v>1169</v>
      </c>
      <c r="B1230" s="1832"/>
      <c r="D1230" s="2" t="str">
        <f t="shared" si="18"/>
        <v>OK</v>
      </c>
    </row>
    <row r="1231" spans="1:4" x14ac:dyDescent="0.2">
      <c r="A1231" s="5">
        <v>1170</v>
      </c>
      <c r="B1231" s="1832">
        <f>'Expenditures 15-22'!D127</f>
        <v>35615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35615</v>
      </c>
      <c r="C1233" s="2" t="s">
        <v>569</v>
      </c>
      <c r="D1233" s="2" t="str">
        <f t="shared" si="18"/>
        <v>Error?</v>
      </c>
    </row>
    <row r="1234" spans="1:4" x14ac:dyDescent="0.2">
      <c r="A1234" s="5">
        <v>1173</v>
      </c>
      <c r="B1234" s="1832">
        <f>'Expenditures 15-22'!D151</f>
        <v>35615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66336</v>
      </c>
      <c r="D1237" s="2" t="str">
        <f t="shared" si="18"/>
        <v>Error?</v>
      </c>
    </row>
    <row r="1238" spans="1:4" x14ac:dyDescent="0.2">
      <c r="A1238" s="10">
        <v>1177</v>
      </c>
      <c r="B1238" s="1832"/>
      <c r="D1238" s="2" t="str">
        <f t="shared" si="18"/>
        <v>OK</v>
      </c>
    </row>
    <row r="1239" spans="1:4" x14ac:dyDescent="0.2">
      <c r="A1239" s="5">
        <v>1178</v>
      </c>
      <c r="B1239" s="1832">
        <f>'Expenditures 15-22'!E127</f>
        <v>66336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66336</v>
      </c>
      <c r="C1241" s="2" t="s">
        <v>569</v>
      </c>
      <c r="D1241" s="2" t="str">
        <f t="shared" si="18"/>
        <v>Error?</v>
      </c>
    </row>
    <row r="1242" spans="1:4" x14ac:dyDescent="0.2">
      <c r="A1242" s="5">
        <v>1181</v>
      </c>
      <c r="B1242" s="1832">
        <f>'Expenditures 15-22'!E151</f>
        <v>66336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35448</v>
      </c>
      <c r="D1245" s="2" t="str">
        <f t="shared" si="18"/>
        <v>Error?</v>
      </c>
    </row>
    <row r="1246" spans="1:4" x14ac:dyDescent="0.2">
      <c r="A1246" s="10">
        <v>1185</v>
      </c>
      <c r="B1246" s="1832"/>
      <c r="D1246" s="2" t="str">
        <f t="shared" si="18"/>
        <v>OK</v>
      </c>
    </row>
    <row r="1247" spans="1:4" x14ac:dyDescent="0.2">
      <c r="A1247" s="5">
        <v>1186</v>
      </c>
      <c r="B1247" s="1832">
        <f>'Expenditures 15-22'!F127</f>
        <v>35448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35448</v>
      </c>
      <c r="C1249" s="2" t="s">
        <v>569</v>
      </c>
      <c r="D1249" s="2" t="str">
        <f t="shared" si="18"/>
        <v>Error?</v>
      </c>
    </row>
    <row r="1250" spans="1:4" x14ac:dyDescent="0.2">
      <c r="A1250" s="5">
        <v>1189</v>
      </c>
      <c r="B1250" s="1832">
        <f>'Expenditures 15-22'!F151</f>
        <v>35448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30822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30822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30822</v>
      </c>
      <c r="C1258" s="2" t="s">
        <v>569</v>
      </c>
      <c r="D1258" s="2" t="str">
        <f t="shared" si="18"/>
        <v>Error?</v>
      </c>
    </row>
    <row r="1259" spans="1:4" x14ac:dyDescent="0.2">
      <c r="A1259" s="5">
        <v>1198</v>
      </c>
      <c r="B1259" s="1832">
        <f>'Expenditures 15-22'!G151</f>
        <v>30822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304755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304755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304755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304755</v>
      </c>
      <c r="C1288" s="2" t="s">
        <v>569</v>
      </c>
      <c r="D1288" s="2" t="str">
        <f t="shared" si="19"/>
        <v>Error?</v>
      </c>
    </row>
    <row r="1289" spans="1:4" x14ac:dyDescent="0.2">
      <c r="A1289" s="5">
        <v>1228</v>
      </c>
      <c r="B1289" s="1832">
        <f>'Expenditures 15-22'!K152</f>
        <v>3708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850</v>
      </c>
      <c r="D1307" s="2" t="str">
        <f t="shared" si="19"/>
        <v>Error?</v>
      </c>
    </row>
    <row r="1308" spans="1:4" x14ac:dyDescent="0.2">
      <c r="A1308" s="5">
        <v>1247</v>
      </c>
      <c r="B1308" s="1832">
        <f>'Expenditures 15-22'!E172</f>
        <v>850</v>
      </c>
      <c r="C1308" s="2" t="s">
        <v>569</v>
      </c>
      <c r="D1308" s="2" t="str">
        <f t="shared" si="19"/>
        <v>Error?</v>
      </c>
    </row>
    <row r="1309" spans="1:4" x14ac:dyDescent="0.2">
      <c r="A1309" s="5">
        <v>1248</v>
      </c>
      <c r="B1309" s="1832">
        <f>'Expenditures 15-22'!E174</f>
        <v>850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131350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122000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253350</v>
      </c>
      <c r="C1317" s="2" t="s">
        <v>569</v>
      </c>
      <c r="D1317" s="2" t="str">
        <f t="shared" si="19"/>
        <v>Error?</v>
      </c>
    </row>
    <row r="1318" spans="1:4" x14ac:dyDescent="0.2">
      <c r="A1318" s="5">
        <v>1257</v>
      </c>
      <c r="B1318" s="1832">
        <f>'Expenditures 15-22'!H174</f>
        <v>253350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131350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122000</v>
      </c>
      <c r="C1329" s="2" t="s">
        <v>569</v>
      </c>
      <c r="D1329" s="2" t="str">
        <f t="shared" si="19"/>
        <v>Error?</v>
      </c>
    </row>
    <row r="1330" spans="1:4" x14ac:dyDescent="0.2">
      <c r="A1330" s="5">
        <v>1269</v>
      </c>
      <c r="B1330" s="1832">
        <f>'Expenditures 15-22'!K171</f>
        <v>850</v>
      </c>
      <c r="C1330" s="2" t="s">
        <v>569</v>
      </c>
      <c r="D1330" s="2" t="str">
        <f t="shared" si="19"/>
        <v>Error?</v>
      </c>
    </row>
    <row r="1331" spans="1:4" x14ac:dyDescent="0.2">
      <c r="A1331" s="5">
        <v>1270</v>
      </c>
      <c r="B1331" s="1832">
        <f>'Expenditures 15-22'!K172</f>
        <v>254200</v>
      </c>
      <c r="C1331" s="2" t="s">
        <v>569</v>
      </c>
      <c r="D1331" s="2" t="str">
        <f t="shared" si="19"/>
        <v>Error?</v>
      </c>
    </row>
    <row r="1332" spans="1:4" x14ac:dyDescent="0.2">
      <c r="A1332" s="5">
        <v>1271</v>
      </c>
      <c r="B1332" s="1832">
        <f>'Expenditures 15-22'!K174</f>
        <v>254200</v>
      </c>
      <c r="C1332" s="2" t="s">
        <v>569</v>
      </c>
      <c r="D1332" s="2" t="str">
        <f t="shared" si="19"/>
        <v>Error?</v>
      </c>
    </row>
    <row r="1333" spans="1:4" x14ac:dyDescent="0.2">
      <c r="A1333" s="5">
        <v>1272</v>
      </c>
      <c r="B1333" s="1832">
        <f>'Expenditures 15-22'!K175</f>
        <v>1090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945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945</v>
      </c>
      <c r="C1351" s="2" t="s">
        <v>569</v>
      </c>
      <c r="D1351" s="2" t="str">
        <f t="shared" si="20"/>
        <v>Error?</v>
      </c>
    </row>
    <row r="1352" spans="1:4" x14ac:dyDescent="0.2">
      <c r="A1352" s="5">
        <v>1291</v>
      </c>
      <c r="B1352" s="1832">
        <f>'Expenditures 15-22'!E196</f>
        <v>147361</v>
      </c>
      <c r="C1352" s="2" t="s">
        <v>569</v>
      </c>
      <c r="D1352" s="2" t="str">
        <f t="shared" si="20"/>
        <v>Error?</v>
      </c>
    </row>
    <row r="1353" spans="1:4" x14ac:dyDescent="0.2">
      <c r="A1353" s="5">
        <v>1292</v>
      </c>
      <c r="B1353" s="1832">
        <f>'Expenditures 15-22'!E210</f>
        <v>148306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945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945</v>
      </c>
      <c r="C1381" s="2" t="s">
        <v>569</v>
      </c>
      <c r="D1381" s="2" t="str">
        <f t="shared" si="20"/>
        <v>Error?</v>
      </c>
    </row>
    <row r="1382" spans="1:4" x14ac:dyDescent="0.2">
      <c r="A1382" s="5">
        <v>1321</v>
      </c>
      <c r="B1382" s="1832">
        <f>'Expenditures 15-22'!K196</f>
        <v>147361</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148306</v>
      </c>
      <c r="C1388" s="2" t="s">
        <v>569</v>
      </c>
      <c r="D1388" s="2" t="str">
        <f t="shared" si="20"/>
        <v>Error?</v>
      </c>
    </row>
    <row r="1389" spans="1:4" x14ac:dyDescent="0.2">
      <c r="A1389" s="5">
        <v>1328</v>
      </c>
      <c r="B1389" s="1832">
        <f>'Expenditures 15-22'!K211</f>
        <v>67548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1006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29272</v>
      </c>
      <c r="C1410" s="2" t="s">
        <v>569</v>
      </c>
      <c r="D1410" s="2" t="str">
        <f t="shared" si="21"/>
        <v>Error?</v>
      </c>
    </row>
    <row r="1411" spans="1:4" x14ac:dyDescent="0.2">
      <c r="A1411" s="5">
        <v>1350</v>
      </c>
      <c r="B1411" s="1832">
        <f>'Expenditures 15-22'!D232</f>
        <v>62</v>
      </c>
      <c r="D1411" s="2" t="str">
        <f t="shared" si="21"/>
        <v>Error?</v>
      </c>
    </row>
    <row r="1412" spans="1:4" x14ac:dyDescent="0.2">
      <c r="A1412" s="5">
        <v>1351</v>
      </c>
      <c r="B1412" s="1832">
        <f>'Expenditures 15-22'!D233</f>
        <v>528</v>
      </c>
      <c r="D1412" s="2" t="str">
        <f t="shared" si="21"/>
        <v>Error?</v>
      </c>
    </row>
    <row r="1413" spans="1:4" x14ac:dyDescent="0.2">
      <c r="A1413" s="5">
        <v>1352</v>
      </c>
      <c r="B1413" s="1832">
        <f>'Expenditures 15-22'!D234</f>
        <v>4996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648</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6234</v>
      </c>
      <c r="C1417" s="2" t="s">
        <v>569</v>
      </c>
      <c r="D1417" s="2" t="str">
        <f t="shared" si="21"/>
        <v>Error?</v>
      </c>
    </row>
    <row r="1418" spans="1:4" x14ac:dyDescent="0.2">
      <c r="A1418" s="5">
        <v>1357</v>
      </c>
      <c r="B1418" s="1832">
        <f>'Expenditures 15-22'!D240</f>
        <v>30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30</v>
      </c>
      <c r="C1421" s="2" t="s">
        <v>569</v>
      </c>
      <c r="D1421" s="2" t="str">
        <f t="shared" si="21"/>
        <v>Error?</v>
      </c>
    </row>
    <row r="1422" spans="1:4" x14ac:dyDescent="0.2">
      <c r="A1422" s="5">
        <v>1361</v>
      </c>
      <c r="B1422" s="1832">
        <f>'Expenditures 15-22'!D245</f>
        <v>309</v>
      </c>
      <c r="D1422" s="2" t="str">
        <f t="shared" si="21"/>
        <v>Error?</v>
      </c>
    </row>
    <row r="1423" spans="1:4" x14ac:dyDescent="0.2">
      <c r="A1423" s="5">
        <v>1362</v>
      </c>
      <c r="B1423" s="1832">
        <f>'Expenditures 15-22'!D246</f>
        <v>6280</v>
      </c>
      <c r="D1423" s="2" t="str">
        <f t="shared" si="21"/>
        <v>Error?</v>
      </c>
    </row>
    <row r="1424" spans="1:4" x14ac:dyDescent="0.2">
      <c r="A1424" s="5">
        <v>1363</v>
      </c>
      <c r="B1424" s="1832">
        <f>'Expenditures 15-22'!D257</f>
        <v>6589</v>
      </c>
      <c r="C1424" s="2" t="s">
        <v>569</v>
      </c>
      <c r="D1424" s="2" t="str">
        <f t="shared" si="21"/>
        <v>Error?</v>
      </c>
    </row>
    <row r="1425" spans="1:4" x14ac:dyDescent="0.2">
      <c r="A1425" s="5">
        <v>1364</v>
      </c>
      <c r="B1425" s="1832">
        <f>'Expenditures 15-22'!D259</f>
        <v>4749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4749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8801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20248</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3835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32884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50486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79758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1006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29272</v>
      </c>
      <c r="C1474" s="2" t="s">
        <v>569</v>
      </c>
      <c r="D1474" s="2" t="str">
        <f t="shared" si="22"/>
        <v>Error?</v>
      </c>
    </row>
    <row r="1475" spans="1:4" x14ac:dyDescent="0.2">
      <c r="A1475" s="5">
        <v>1414</v>
      </c>
      <c r="B1475" s="1832">
        <f>'Expenditures 15-22'!K232</f>
        <v>62</v>
      </c>
      <c r="C1475" s="2" t="s">
        <v>569</v>
      </c>
      <c r="D1475" s="2" t="str">
        <f t="shared" si="22"/>
        <v>Error?</v>
      </c>
    </row>
    <row r="1476" spans="1:4" x14ac:dyDescent="0.2">
      <c r="A1476" s="5">
        <v>1415</v>
      </c>
      <c r="B1476" s="1832">
        <f>'Expenditures 15-22'!K233</f>
        <v>528</v>
      </c>
      <c r="C1476" s="2" t="s">
        <v>569</v>
      </c>
      <c r="D1476" s="2" t="str">
        <f t="shared" si="22"/>
        <v>Error?</v>
      </c>
    </row>
    <row r="1477" spans="1:4" x14ac:dyDescent="0.2">
      <c r="A1477" s="5">
        <v>1416</v>
      </c>
      <c r="B1477" s="1832">
        <f>'Expenditures 15-22'!K234</f>
        <v>4996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648</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6234</v>
      </c>
      <c r="C1481" s="2" t="s">
        <v>569</v>
      </c>
      <c r="D1481" s="2" t="str">
        <f t="shared" si="22"/>
        <v>Error?</v>
      </c>
    </row>
    <row r="1482" spans="1:4" x14ac:dyDescent="0.2">
      <c r="A1482" s="5">
        <v>1421</v>
      </c>
      <c r="B1482" s="1832">
        <f>'Expenditures 15-22'!K240</f>
        <v>30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30</v>
      </c>
      <c r="C1485" s="2" t="s">
        <v>569</v>
      </c>
      <c r="D1485" s="2" t="str">
        <f t="shared" si="22"/>
        <v>Error?</v>
      </c>
    </row>
    <row r="1486" spans="1:4" x14ac:dyDescent="0.2">
      <c r="A1486" s="5">
        <v>1425</v>
      </c>
      <c r="B1486" s="1832">
        <f>'Expenditures 15-22'!K245</f>
        <v>309</v>
      </c>
      <c r="C1486" s="2" t="s">
        <v>569</v>
      </c>
      <c r="D1486" s="2" t="str">
        <f t="shared" si="22"/>
        <v>Error?</v>
      </c>
    </row>
    <row r="1487" spans="1:4" x14ac:dyDescent="0.2">
      <c r="A1487" s="5">
        <v>1426</v>
      </c>
      <c r="B1487" s="1832">
        <f>'Expenditures 15-22'!K246</f>
        <v>6280</v>
      </c>
      <c r="C1487" s="2" t="s">
        <v>569</v>
      </c>
      <c r="D1487" s="2" t="str">
        <f t="shared" si="22"/>
        <v>Error?</v>
      </c>
    </row>
    <row r="1488" spans="1:4" x14ac:dyDescent="0.2">
      <c r="A1488" s="5">
        <v>1427</v>
      </c>
      <c r="B1488" s="1832">
        <f>'Expenditures 15-22'!K257</f>
        <v>6589</v>
      </c>
      <c r="C1488" s="2" t="s">
        <v>569</v>
      </c>
      <c r="D1488" s="2" t="str">
        <f t="shared" si="22"/>
        <v>Error?</v>
      </c>
    </row>
    <row r="1489" spans="1:4" x14ac:dyDescent="0.2">
      <c r="A1489" s="5">
        <v>1428</v>
      </c>
      <c r="B1489" s="1832">
        <f>'Expenditures 15-22'!K259</f>
        <v>4749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4749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8801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20248</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3835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32884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50486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79758</v>
      </c>
      <c r="C1517" s="2" t="s">
        <v>569</v>
      </c>
      <c r="D1517" s="2" t="str">
        <f t="shared" si="22"/>
        <v>Error?</v>
      </c>
    </row>
    <row r="1518" spans="1:4" x14ac:dyDescent="0.2">
      <c r="A1518" s="5">
        <v>1457</v>
      </c>
      <c r="B1518" s="1832">
        <f>'Expenditures 15-22'!K296</f>
        <v>25629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281377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281377</v>
      </c>
      <c r="C1547" s="2" t="s">
        <v>569</v>
      </c>
      <c r="D1547" s="2" t="str">
        <f t="shared" si="23"/>
        <v>Error?</v>
      </c>
    </row>
    <row r="1548" spans="1:4" x14ac:dyDescent="0.2">
      <c r="A1548" s="5">
        <v>1487</v>
      </c>
      <c r="B1548" s="1832">
        <f>'Expenditures 15-22'!G312</f>
        <v>281377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281377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281377</v>
      </c>
      <c r="C1559" s="2" t="s">
        <v>569</v>
      </c>
      <c r="D1559" s="2" t="str">
        <f t="shared" si="23"/>
        <v>Error?</v>
      </c>
    </row>
    <row r="1560" spans="1:4" x14ac:dyDescent="0.2">
      <c r="A1560" s="5">
        <v>1499</v>
      </c>
      <c r="B1560" s="1832">
        <f>'Expenditures 15-22'!K312</f>
        <v>281377</v>
      </c>
      <c r="C1560" s="2" t="s">
        <v>569</v>
      </c>
      <c r="D1560" s="2" t="str">
        <f t="shared" si="23"/>
        <v>Error?</v>
      </c>
    </row>
    <row r="1561" spans="1:4" x14ac:dyDescent="0.2">
      <c r="A1561" s="5">
        <v>1500</v>
      </c>
      <c r="B1561" s="1832">
        <f>'Expenditures 15-22'!K313</f>
        <v>-278347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2355222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2462525</v>
      </c>
      <c r="C1630" s="2" t="s">
        <v>569</v>
      </c>
      <c r="D1630" s="2" t="str">
        <f t="shared" si="24"/>
        <v>Error?</v>
      </c>
    </row>
    <row r="1631" spans="1:4" x14ac:dyDescent="0.2">
      <c r="A1631" s="5">
        <v>1570</v>
      </c>
      <c r="B1631" s="1832">
        <f>'Acct Summary 7-8'!D79</f>
        <v>355413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359121</v>
      </c>
      <c r="C1644" s="2" t="s">
        <v>569</v>
      </c>
      <c r="D1644" s="2" t="str">
        <f t="shared" si="24"/>
        <v>Error?</v>
      </c>
    </row>
    <row r="1645" spans="1:4" x14ac:dyDescent="0.2">
      <c r="A1645" s="5">
        <v>1584</v>
      </c>
      <c r="B1645" s="1832">
        <f>'Acct Summary 7-8'!E79</f>
        <v>13751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14841</v>
      </c>
      <c r="C1658" s="2" t="s">
        <v>569</v>
      </c>
      <c r="D1658" s="2" t="str">
        <f t="shared" si="24"/>
        <v>Error?</v>
      </c>
    </row>
    <row r="1659" spans="1:4" x14ac:dyDescent="0.2">
      <c r="A1659" s="5">
        <v>1598</v>
      </c>
      <c r="B1659" s="1832">
        <f>'Acct Summary 7-8'!F79</f>
        <v>375007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442555</v>
      </c>
      <c r="C1672" s="2" t="s">
        <v>569</v>
      </c>
      <c r="D1672" s="2" t="str">
        <f t="shared" si="25"/>
        <v>Error?</v>
      </c>
    </row>
    <row r="1673" spans="1:4" x14ac:dyDescent="0.2">
      <c r="A1673" s="5">
        <v>1612</v>
      </c>
      <c r="B1673" s="1832">
        <f>'Acct Summary 7-8'!G79</f>
        <v>157237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182866</v>
      </c>
      <c r="C1686" s="2" t="s">
        <v>569</v>
      </c>
      <c r="D1686" s="2" t="str">
        <f t="shared" si="25"/>
        <v>Error?</v>
      </c>
    </row>
    <row r="1687" spans="1:4" x14ac:dyDescent="0.2">
      <c r="A1687" s="5">
        <v>1626</v>
      </c>
      <c r="B1687" s="1832">
        <f>'Acct Summary 7-8'!H79</f>
        <v>184347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1691272</v>
      </c>
      <c r="C1744" s="2" t="s">
        <v>569</v>
      </c>
      <c r="D1744" s="2" t="str">
        <f t="shared" si="26"/>
        <v>Error?</v>
      </c>
    </row>
    <row r="1745" spans="1:5" x14ac:dyDescent="0.2">
      <c r="A1745" s="5">
        <v>1684</v>
      </c>
      <c r="B1745" s="1832">
        <f>'Tax Sched 23'!B5</f>
        <v>207397</v>
      </c>
      <c r="C1745" s="2" t="s">
        <v>569</v>
      </c>
      <c r="D1745" s="2" t="str">
        <f t="shared" si="26"/>
        <v>Error?</v>
      </c>
    </row>
    <row r="1746" spans="1:5" x14ac:dyDescent="0.2">
      <c r="A1746" s="5">
        <v>1685</v>
      </c>
      <c r="B1746" s="1832">
        <f>'Tax Sched 23'!B6</f>
        <v>254784</v>
      </c>
      <c r="C1746" s="2" t="s">
        <v>569</v>
      </c>
      <c r="D1746" s="2" t="str">
        <f t="shared" si="26"/>
        <v>Error?</v>
      </c>
    </row>
    <row r="1747" spans="1:5" x14ac:dyDescent="0.2">
      <c r="A1747" s="5">
        <v>1686</v>
      </c>
      <c r="B1747" s="1832">
        <f>'Tax Sched 23'!B7</f>
        <v>119261</v>
      </c>
      <c r="C1747" s="2" t="s">
        <v>569</v>
      </c>
      <c r="D1747" s="2" t="str">
        <f t="shared" si="26"/>
        <v>Error?</v>
      </c>
    </row>
    <row r="1748" spans="1:5" x14ac:dyDescent="0.2">
      <c r="A1748" s="5">
        <v>1687</v>
      </c>
      <c r="B1748" s="1832">
        <f>'Tax Sched 23'!B8</f>
        <v>41497</v>
      </c>
      <c r="C1748" s="2" t="s">
        <v>569</v>
      </c>
      <c r="D1748" s="2" t="str">
        <f t="shared" si="26"/>
        <v>Error?</v>
      </c>
    </row>
    <row r="1749" spans="1:5" x14ac:dyDescent="0.2">
      <c r="A1749" s="5">
        <v>1688</v>
      </c>
      <c r="B1749" s="1832">
        <f>'Tax Sched 23'!B10</f>
        <v>30078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40457</v>
      </c>
      <c r="C1753" s="2" t="s">
        <v>569</v>
      </c>
      <c r="D1753" s="2" t="str">
        <f t="shared" si="26"/>
        <v>Error?</v>
      </c>
    </row>
    <row r="1754" spans="1:5" x14ac:dyDescent="0.2">
      <c r="A1754" s="5">
        <v>1693</v>
      </c>
      <c r="B1754" s="1832">
        <f>'Tax Sched 23'!B14</f>
        <v>15565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2456321</v>
      </c>
      <c r="C1759" s="2" t="s">
        <v>569</v>
      </c>
      <c r="D1759" s="2" t="str">
        <f t="shared" si="26"/>
        <v>Error?</v>
      </c>
    </row>
    <row r="1760" spans="1:5" x14ac:dyDescent="0.2">
      <c r="A1760" s="5">
        <v>1699</v>
      </c>
      <c r="B1760" s="1832">
        <f>'Tax Sched 23'!D4</f>
        <v>1691272</v>
      </c>
      <c r="C1760" s="2" t="s">
        <v>569</v>
      </c>
      <c r="D1760" s="2" t="str">
        <f t="shared" si="26"/>
        <v>Error?</v>
      </c>
    </row>
    <row r="1761" spans="1:7" x14ac:dyDescent="0.2">
      <c r="A1761" s="5">
        <v>1700</v>
      </c>
      <c r="B1761" s="1832">
        <f>'Tax Sched 23'!D5</f>
        <v>207397</v>
      </c>
      <c r="C1761" s="2" t="s">
        <v>569</v>
      </c>
      <c r="D1761" s="2" t="str">
        <f t="shared" si="26"/>
        <v>Error?</v>
      </c>
    </row>
    <row r="1762" spans="1:7" s="8" customFormat="1" x14ac:dyDescent="0.2">
      <c r="A1762" s="5">
        <v>1701</v>
      </c>
      <c r="B1762" s="1832">
        <f>'Tax Sched 23'!D6</f>
        <v>254784</v>
      </c>
      <c r="C1762" s="2" t="s">
        <v>569</v>
      </c>
      <c r="D1762" s="2" t="str">
        <f t="shared" si="26"/>
        <v>Error?</v>
      </c>
      <c r="E1762" s="9"/>
      <c r="G1762"/>
    </row>
    <row r="1763" spans="1:7" x14ac:dyDescent="0.2">
      <c r="A1763" s="5">
        <v>1702</v>
      </c>
      <c r="B1763" s="1832">
        <f>'Tax Sched 23'!D7</f>
        <v>119261</v>
      </c>
      <c r="C1763" s="2" t="s">
        <v>569</v>
      </c>
      <c r="D1763" s="2" t="str">
        <f t="shared" si="26"/>
        <v>Error?</v>
      </c>
    </row>
    <row r="1764" spans="1:7" x14ac:dyDescent="0.2">
      <c r="A1764" s="5">
        <v>1703</v>
      </c>
      <c r="B1764" s="1832">
        <f>'Tax Sched 23'!D8</f>
        <v>41497</v>
      </c>
      <c r="C1764" s="2" t="s">
        <v>569</v>
      </c>
      <c r="D1764" s="2" t="str">
        <f t="shared" si="26"/>
        <v>Error?</v>
      </c>
    </row>
    <row r="1765" spans="1:7" x14ac:dyDescent="0.2">
      <c r="A1765" s="5">
        <v>1704</v>
      </c>
      <c r="B1765" s="1832">
        <f>'Tax Sched 23'!D10</f>
        <v>30078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40457</v>
      </c>
      <c r="C1769" s="2" t="s">
        <v>569</v>
      </c>
      <c r="D1769" s="2" t="str">
        <f t="shared" si="26"/>
        <v>Error?</v>
      </c>
    </row>
    <row r="1770" spans="1:7" x14ac:dyDescent="0.2">
      <c r="A1770" s="5">
        <v>1709</v>
      </c>
      <c r="B1770" s="1832">
        <f>'Tax Sched 23'!D14</f>
        <v>15565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2456321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1818784</v>
      </c>
      <c r="C1792" s="2" t="s">
        <v>569</v>
      </c>
      <c r="D1792" s="2" t="str">
        <f t="shared" si="27"/>
        <v>Error?</v>
      </c>
    </row>
    <row r="1793" spans="1:4" x14ac:dyDescent="0.2">
      <c r="A1793" s="5">
        <v>1732</v>
      </c>
      <c r="B1793" s="1832">
        <f>'Tax Sched 23'!F5</f>
        <v>221832</v>
      </c>
      <c r="C1793" s="2" t="s">
        <v>569</v>
      </c>
      <c r="D1793" s="2" t="str">
        <f t="shared" si="27"/>
        <v>Error?</v>
      </c>
    </row>
    <row r="1794" spans="1:4" x14ac:dyDescent="0.2">
      <c r="A1794" s="5">
        <v>1733</v>
      </c>
      <c r="B1794" s="1832">
        <f>'Tax Sched 23'!F6</f>
        <v>264438</v>
      </c>
      <c r="C1794" s="2" t="s">
        <v>569</v>
      </c>
      <c r="D1794" s="2" t="str">
        <f t="shared" si="27"/>
        <v>Error?</v>
      </c>
    </row>
    <row r="1795" spans="1:4" x14ac:dyDescent="0.2">
      <c r="A1795" s="5">
        <v>1734</v>
      </c>
      <c r="B1795" s="1832">
        <f>'Tax Sched 23'!F7</f>
        <v>127569</v>
      </c>
      <c r="C1795" s="2" t="s">
        <v>569</v>
      </c>
      <c r="D1795" s="2" t="str">
        <f t="shared" si="27"/>
        <v>Error?</v>
      </c>
    </row>
    <row r="1796" spans="1:4" x14ac:dyDescent="0.2">
      <c r="A1796" s="5">
        <v>1735</v>
      </c>
      <c r="B1796" s="1832">
        <f>'Tax Sched 23'!F8</f>
        <v>40443</v>
      </c>
      <c r="C1796" s="2" t="s">
        <v>569</v>
      </c>
      <c r="D1796" s="2" t="str">
        <f t="shared" si="27"/>
        <v>Error?</v>
      </c>
    </row>
    <row r="1797" spans="1:4" x14ac:dyDescent="0.2">
      <c r="A1797" s="5">
        <v>1736</v>
      </c>
      <c r="B1797" s="1832">
        <f>'Tax Sched 23'!F10</f>
        <v>32176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43282</v>
      </c>
      <c r="C1801" s="2" t="s">
        <v>569</v>
      </c>
      <c r="D1801" s="2" t="str">
        <f t="shared" si="27"/>
        <v>Error?</v>
      </c>
    </row>
    <row r="1802" spans="1:4" x14ac:dyDescent="0.2">
      <c r="A1802" s="5">
        <v>1741</v>
      </c>
      <c r="B1802" s="1832">
        <f>'Tax Sched 23'!F14</f>
        <v>16656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2619176</v>
      </c>
      <c r="C1807" s="2" t="s">
        <v>569</v>
      </c>
      <c r="D1807" s="2" t="str">
        <f t="shared" si="27"/>
        <v>Error?</v>
      </c>
    </row>
    <row r="1808" spans="1:4" x14ac:dyDescent="0.2">
      <c r="A1808" s="5">
        <v>1747</v>
      </c>
      <c r="B1808" s="1832">
        <f>'Tax Sched 23'!E4</f>
        <v>1818784</v>
      </c>
      <c r="D1808" s="2" t="str">
        <f t="shared" si="27"/>
        <v>Error?</v>
      </c>
    </row>
    <row r="1809" spans="1:4" x14ac:dyDescent="0.2">
      <c r="A1809" s="5">
        <v>1748</v>
      </c>
      <c r="B1809" s="1832">
        <f>'Tax Sched 23'!E5</f>
        <v>221832</v>
      </c>
      <c r="D1809" s="2" t="str">
        <f t="shared" si="27"/>
        <v>Error?</v>
      </c>
    </row>
    <row r="1810" spans="1:4" x14ac:dyDescent="0.2">
      <c r="A1810" s="5">
        <v>1749</v>
      </c>
      <c r="B1810" s="1832">
        <f>'Tax Sched 23'!E6</f>
        <v>264438</v>
      </c>
      <c r="D1810" s="2" t="str">
        <f t="shared" si="27"/>
        <v>Error?</v>
      </c>
    </row>
    <row r="1811" spans="1:4" x14ac:dyDescent="0.2">
      <c r="A1811" s="5">
        <v>1750</v>
      </c>
      <c r="B1811" s="1832">
        <f>'Tax Sched 23'!E7</f>
        <v>127569</v>
      </c>
      <c r="D1811" s="2" t="str">
        <f t="shared" si="27"/>
        <v>Error?</v>
      </c>
    </row>
    <row r="1812" spans="1:4" x14ac:dyDescent="0.2">
      <c r="A1812" s="5">
        <v>1751</v>
      </c>
      <c r="B1812" s="1832">
        <f>'Tax Sched 23'!E8</f>
        <v>40443</v>
      </c>
      <c r="D1812" s="2" t="str">
        <f t="shared" si="27"/>
        <v>Error?</v>
      </c>
    </row>
    <row r="1813" spans="1:4" x14ac:dyDescent="0.2">
      <c r="A1813" s="5">
        <v>1752</v>
      </c>
      <c r="B1813" s="1832">
        <f>'Tax Sched 23'!E10</f>
        <v>32176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43282</v>
      </c>
      <c r="D1817" s="2" t="str">
        <f t="shared" si="27"/>
        <v>Error?</v>
      </c>
    </row>
    <row r="1818" spans="1:4" x14ac:dyDescent="0.2">
      <c r="A1818" s="5">
        <v>1757</v>
      </c>
      <c r="B1818" s="1832">
        <f>'Tax Sched 23'!E14</f>
        <v>16656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2619176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3355000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15565</v>
      </c>
      <c r="D1972" s="2" t="str">
        <f t="shared" si="29"/>
        <v>Error?</v>
      </c>
    </row>
    <row r="1973" spans="1:5" x14ac:dyDescent="0.2">
      <c r="A1973" s="5">
        <v>1912</v>
      </c>
      <c r="B1973" s="1832">
        <f>'Rest Tax Levies-Tort Im 25'!H6</f>
        <v>22</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15587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15587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125600</v>
      </c>
      <c r="D2008" s="2" t="str">
        <f t="shared" si="30"/>
        <v>Error?</v>
      </c>
    </row>
    <row r="2009" spans="1:4" x14ac:dyDescent="0.2">
      <c r="A2009" s="5">
        <v>1948</v>
      </c>
      <c r="B2009" s="1832">
        <f>'Cap Outlay Deprec 26'!C8</f>
        <v>8095639</v>
      </c>
      <c r="D2009" s="2" t="str">
        <f t="shared" si="30"/>
        <v>Error?</v>
      </c>
    </row>
    <row r="2010" spans="1:4" x14ac:dyDescent="0.2">
      <c r="A2010" s="5">
        <v>1949</v>
      </c>
      <c r="B2010" s="1832">
        <f>'Cap Outlay Deprec 26'!C10</f>
        <v>889006</v>
      </c>
      <c r="D2010" s="2" t="str">
        <f t="shared" si="30"/>
        <v>Error?</v>
      </c>
    </row>
    <row r="2011" spans="1:4" x14ac:dyDescent="0.2">
      <c r="A2011" s="5">
        <v>1950</v>
      </c>
      <c r="B2011" s="1832">
        <f>'Cap Outlay Deprec 26'!C12</f>
        <v>399678</v>
      </c>
      <c r="D2011" s="2" t="str">
        <f t="shared" si="30"/>
        <v>Error?</v>
      </c>
    </row>
    <row r="2012" spans="1:4" x14ac:dyDescent="0.2">
      <c r="A2012" s="5">
        <v>1951</v>
      </c>
      <c r="B2012" s="1832">
        <f>'Cap Outlay Deprec 26'!C13</f>
        <v>23260</v>
      </c>
      <c r="D2012" s="2" t="str">
        <f t="shared" si="30"/>
        <v>Error?</v>
      </c>
    </row>
    <row r="2013" spans="1:4" x14ac:dyDescent="0.2">
      <c r="A2013" s="5">
        <v>1952</v>
      </c>
      <c r="B2013" s="1832">
        <f>'Cap Outlay Deprec 26'!C16</f>
        <v>9533183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310575</v>
      </c>
      <c r="D2015" s="2" t="str">
        <f t="shared" si="30"/>
        <v>Error?</v>
      </c>
    </row>
    <row r="2016" spans="1:4" x14ac:dyDescent="0.2">
      <c r="A2016" s="5">
        <v>1955</v>
      </c>
      <c r="B2016" s="1832">
        <f>'Cap Outlay Deprec 26'!D10</f>
        <v>1200</v>
      </c>
      <c r="D2016" s="2" t="str">
        <f t="shared" si="30"/>
        <v>Error?</v>
      </c>
    </row>
    <row r="2017" spans="1:4" x14ac:dyDescent="0.2">
      <c r="A2017" s="5">
        <v>1956</v>
      </c>
      <c r="B2017" s="1832">
        <f>'Cap Outlay Deprec 26'!D12</f>
        <v>47350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359125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3005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3005</v>
      </c>
      <c r="C2025" s="2" t="s">
        <v>569</v>
      </c>
      <c r="D2025" s="2" t="str">
        <f t="shared" si="30"/>
        <v>Error?</v>
      </c>
    </row>
    <row r="2026" spans="1:4" x14ac:dyDescent="0.2">
      <c r="A2026" s="5">
        <v>1965</v>
      </c>
      <c r="B2026" s="1832">
        <f>'Cap Outlay Deprec 26'!F5</f>
        <v>125600</v>
      </c>
      <c r="C2026" s="2" t="s">
        <v>569</v>
      </c>
      <c r="D2026" s="2" t="str">
        <f t="shared" si="30"/>
        <v>Error?</v>
      </c>
    </row>
    <row r="2027" spans="1:4" x14ac:dyDescent="0.2">
      <c r="A2027" s="5">
        <v>1966</v>
      </c>
      <c r="B2027" s="1832">
        <f>'Cap Outlay Deprec 26'!F8</f>
        <v>8406214</v>
      </c>
      <c r="C2027" s="2" t="s">
        <v>569</v>
      </c>
      <c r="D2027" s="2" t="str">
        <f t="shared" si="30"/>
        <v>Error?</v>
      </c>
    </row>
    <row r="2028" spans="1:4" x14ac:dyDescent="0.2">
      <c r="A2028" s="5">
        <v>1967</v>
      </c>
      <c r="B2028" s="1832">
        <f>'Cap Outlay Deprec 26'!F10</f>
        <v>890206</v>
      </c>
      <c r="C2028" s="2" t="s">
        <v>569</v>
      </c>
      <c r="D2028" s="2" t="str">
        <f t="shared" si="30"/>
        <v>Error?</v>
      </c>
    </row>
    <row r="2029" spans="1:4" x14ac:dyDescent="0.2">
      <c r="A2029" s="5">
        <v>1968</v>
      </c>
      <c r="B2029" s="1832">
        <f>'Cap Outlay Deprec 26'!F12</f>
        <v>444023</v>
      </c>
      <c r="C2029" s="2" t="s">
        <v>569</v>
      </c>
      <c r="D2029" s="2" t="str">
        <f t="shared" si="30"/>
        <v>Error?</v>
      </c>
    </row>
    <row r="2030" spans="1:4" x14ac:dyDescent="0.2">
      <c r="A2030" s="5">
        <v>1969</v>
      </c>
      <c r="B2030" s="1832">
        <f>'Cap Outlay Deprec 26'!F13</f>
        <v>23260</v>
      </c>
      <c r="C2030" s="2" t="s">
        <v>569</v>
      </c>
      <c r="D2030" s="2" t="str">
        <f t="shared" si="30"/>
        <v>Error?</v>
      </c>
    </row>
    <row r="2031" spans="1:4" x14ac:dyDescent="0.2">
      <c r="A2031" s="5">
        <v>1970</v>
      </c>
      <c r="B2031" s="1832">
        <f>'Cap Outlay Deprec 26'!F16</f>
        <v>9889303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2133635</v>
      </c>
      <c r="D2033" s="2" t="str">
        <f t="shared" si="30"/>
        <v>Error?</v>
      </c>
    </row>
    <row r="2034" spans="1:4" x14ac:dyDescent="0.2">
      <c r="A2034" s="5">
        <v>1973</v>
      </c>
      <c r="B2034" s="1832">
        <f>'Cap Outlay Deprec 26'!H10</f>
        <v>573341</v>
      </c>
      <c r="D2034" s="2" t="str">
        <f t="shared" si="30"/>
        <v>Error?</v>
      </c>
    </row>
    <row r="2035" spans="1:4" x14ac:dyDescent="0.2">
      <c r="A2035" s="5">
        <v>1974</v>
      </c>
      <c r="B2035" s="1832">
        <f>'Cap Outlay Deprec 26'!H12</f>
        <v>156617</v>
      </c>
      <c r="D2035" s="2" t="str">
        <f t="shared" si="30"/>
        <v>Error?</v>
      </c>
    </row>
    <row r="2036" spans="1:4" x14ac:dyDescent="0.2">
      <c r="A2036" s="5">
        <v>1975</v>
      </c>
      <c r="B2036" s="1832">
        <f>'Cap Outlay Deprec 26'!H13</f>
        <v>23260</v>
      </c>
      <c r="D2036" s="2" t="str">
        <f t="shared" si="30"/>
        <v>Error?</v>
      </c>
    </row>
    <row r="2037" spans="1:4" x14ac:dyDescent="0.2">
      <c r="A2037" s="5">
        <v>1976</v>
      </c>
      <c r="B2037" s="1832">
        <f>'Cap Outlay Deprec 26'!H16</f>
        <v>2886853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163091</v>
      </c>
      <c r="D2039" s="2" t="str">
        <f t="shared" si="30"/>
        <v>Error?</v>
      </c>
    </row>
    <row r="2040" spans="1:4" x14ac:dyDescent="0.2">
      <c r="A2040" s="5">
        <v>1979</v>
      </c>
      <c r="B2040" s="1832">
        <f>'Cap Outlay Deprec 26'!I10</f>
        <v>43088</v>
      </c>
      <c r="D2040" s="2" t="str">
        <f t="shared" si="30"/>
        <v>Error?</v>
      </c>
    </row>
    <row r="2041" spans="1:4" x14ac:dyDescent="0.2">
      <c r="A2041" s="5">
        <v>1980</v>
      </c>
      <c r="B2041" s="1832">
        <f>'Cap Outlay Deprec 26'!I12</f>
        <v>44400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250579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3005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3005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2296726</v>
      </c>
      <c r="C2051" s="2" t="s">
        <v>569</v>
      </c>
      <c r="D2051" s="2" t="str">
        <f t="shared" si="31"/>
        <v>Error?</v>
      </c>
    </row>
    <row r="2052" spans="1:4" x14ac:dyDescent="0.2">
      <c r="A2052" s="5">
        <v>1991</v>
      </c>
      <c r="B2052" s="1832">
        <f>'Cap Outlay Deprec 26'!K10</f>
        <v>616429</v>
      </c>
      <c r="C2052" s="2" t="s">
        <v>569</v>
      </c>
      <c r="D2052" s="2" t="str">
        <f t="shared" si="31"/>
        <v>Error?</v>
      </c>
    </row>
    <row r="2053" spans="1:4" x14ac:dyDescent="0.2">
      <c r="A2053" s="5">
        <v>1992</v>
      </c>
      <c r="B2053" s="1832">
        <f>'Cap Outlay Deprec 26'!K12</f>
        <v>198012</v>
      </c>
      <c r="C2053" s="2" t="s">
        <v>569</v>
      </c>
      <c r="D2053" s="2" t="str">
        <f t="shared" si="31"/>
        <v>Error?</v>
      </c>
    </row>
    <row r="2054" spans="1:4" x14ac:dyDescent="0.2">
      <c r="A2054" s="5">
        <v>1993</v>
      </c>
      <c r="B2054" s="1832">
        <f>'Cap Outlay Deprec 26'!K13</f>
        <v>23260</v>
      </c>
      <c r="C2054" s="2" t="s">
        <v>569</v>
      </c>
      <c r="D2054" s="2" t="str">
        <f t="shared" si="31"/>
        <v>Error?</v>
      </c>
    </row>
    <row r="2055" spans="1:4" x14ac:dyDescent="0.2">
      <c r="A2055" s="5">
        <v>1994</v>
      </c>
      <c r="B2055" s="1832">
        <f>'Cap Outlay Deprec 26'!K16</f>
        <v>3134427</v>
      </c>
      <c r="C2055" s="2" t="s">
        <v>569</v>
      </c>
      <c r="D2055" s="2" t="str">
        <f t="shared" si="31"/>
        <v>Error?</v>
      </c>
    </row>
    <row r="2056" spans="1:4" x14ac:dyDescent="0.2">
      <c r="A2056" s="5">
        <v>1995</v>
      </c>
      <c r="B2056" s="1832">
        <f>'Cap Outlay Deprec 26'!L5</f>
        <v>125600</v>
      </c>
      <c r="C2056" s="2" t="s">
        <v>569</v>
      </c>
      <c r="D2056" s="2" t="str">
        <f t="shared" si="31"/>
        <v>Error?</v>
      </c>
    </row>
    <row r="2057" spans="1:4" x14ac:dyDescent="0.2">
      <c r="A2057" s="5">
        <v>1996</v>
      </c>
      <c r="B2057" s="1832">
        <f>'Cap Outlay Deprec 26'!L8</f>
        <v>6109488</v>
      </c>
      <c r="C2057" s="2" t="s">
        <v>569</v>
      </c>
      <c r="D2057" s="2" t="str">
        <f t="shared" si="31"/>
        <v>Error?</v>
      </c>
    </row>
    <row r="2058" spans="1:4" x14ac:dyDescent="0.2">
      <c r="A2058" s="5">
        <v>1997</v>
      </c>
      <c r="B2058" s="1832">
        <f>'Cap Outlay Deprec 26'!L10</f>
        <v>273777</v>
      </c>
      <c r="C2058" s="2" t="s">
        <v>569</v>
      </c>
      <c r="D2058" s="2" t="str">
        <f t="shared" si="31"/>
        <v>Error?</v>
      </c>
    </row>
    <row r="2059" spans="1:4" x14ac:dyDescent="0.2">
      <c r="A2059" s="5">
        <v>1998</v>
      </c>
      <c r="B2059" s="1832">
        <f>'Cap Outlay Deprec 26'!L12</f>
        <v>246011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6754876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25460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51862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94000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98292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2025738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331482</v>
      </c>
      <c r="C2553" s="2" t="s">
        <v>569</v>
      </c>
      <c r="D2553" s="2" t="str">
        <f t="shared" si="38"/>
        <v>Error?</v>
      </c>
    </row>
    <row r="2554" spans="1:4" x14ac:dyDescent="0.2">
      <c r="A2554" s="5">
        <v>2493</v>
      </c>
      <c r="B2554" s="1832">
        <f>'Acct Summary 7-8'!C7</f>
        <v>234148</v>
      </c>
      <c r="C2554" s="2" t="s">
        <v>569</v>
      </c>
      <c r="D2554" s="2" t="str">
        <f t="shared" si="38"/>
        <v>Error?</v>
      </c>
    </row>
    <row r="2555" spans="1:4" x14ac:dyDescent="0.2">
      <c r="A2555" s="5">
        <v>2494</v>
      </c>
      <c r="B2555" s="1832">
        <f>'Acct Summary 7-8'!C8</f>
        <v>2591368</v>
      </c>
      <c r="C2555" s="2" t="s">
        <v>569</v>
      </c>
      <c r="D2555" s="2" t="str">
        <f t="shared" si="38"/>
        <v>Error?</v>
      </c>
    </row>
    <row r="2556" spans="1:4" x14ac:dyDescent="0.2">
      <c r="A2556" s="5">
        <v>2495</v>
      </c>
      <c r="B2556" s="1832">
        <f>'Acct Summary 7-8'!C12</f>
        <v>1611363</v>
      </c>
      <c r="C2556" s="2" t="s">
        <v>569</v>
      </c>
      <c r="D2556" s="2" t="str">
        <f t="shared" si="38"/>
        <v>Error?</v>
      </c>
    </row>
    <row r="2557" spans="1:4" x14ac:dyDescent="0.2">
      <c r="A2557" s="5">
        <v>2496</v>
      </c>
      <c r="B2557" s="1832">
        <f>'Acct Summary 7-8'!C13</f>
        <v>818506</v>
      </c>
      <c r="C2557" s="2" t="s">
        <v>569</v>
      </c>
      <c r="D2557" s="2" t="str">
        <f t="shared" si="38"/>
        <v>Error?</v>
      </c>
    </row>
    <row r="2558" spans="1:4" x14ac:dyDescent="0.2">
      <c r="A2558" s="5">
        <v>2497</v>
      </c>
      <c r="B2558" s="1832">
        <f>'Acct Summary 7-8'!C14</f>
        <v>2334</v>
      </c>
      <c r="C2558" s="2" t="s">
        <v>569</v>
      </c>
      <c r="D2558" s="2" t="str">
        <f t="shared" si="38"/>
        <v>Error?</v>
      </c>
    </row>
    <row r="2559" spans="1:4" x14ac:dyDescent="0.2">
      <c r="A2559" s="5">
        <v>2498</v>
      </c>
      <c r="B2559" s="1832">
        <f>'Acct Summary 7-8'!C15</f>
        <v>51862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2484065</v>
      </c>
      <c r="C2561" s="2" t="s">
        <v>569</v>
      </c>
      <c r="D2561" s="2" t="str">
        <f t="shared" si="39"/>
        <v>Error?</v>
      </c>
    </row>
    <row r="2562" spans="1:4" x14ac:dyDescent="0.2">
      <c r="A2562" s="5">
        <v>2501</v>
      </c>
      <c r="B2562" s="1832">
        <f>'Acct Summary 7-8'!C20</f>
        <v>107303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208463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308463</v>
      </c>
      <c r="C2568" s="2" t="s">
        <v>569</v>
      </c>
      <c r="D2568" s="2" t="str">
        <f t="shared" si="39"/>
        <v>Error?</v>
      </c>
    </row>
    <row r="2569" spans="1:4" x14ac:dyDescent="0.2">
      <c r="A2569" s="5">
        <v>2508</v>
      </c>
      <c r="B2569" s="1832">
        <f>'Acct Summary 7-8'!D13</f>
        <v>304755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304755</v>
      </c>
      <c r="C2573" s="2" t="s">
        <v>569</v>
      </c>
      <c r="D2573" s="2" t="str">
        <f t="shared" si="39"/>
        <v>Error?</v>
      </c>
    </row>
    <row r="2574" spans="1:4" x14ac:dyDescent="0.2">
      <c r="A2574" s="5">
        <v>2513</v>
      </c>
      <c r="B2574" s="1832">
        <f>'Acct Summary 7-8'!D20</f>
        <v>3708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120185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95669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215854</v>
      </c>
      <c r="C2595" s="2" t="s">
        <v>569</v>
      </c>
      <c r="D2595" s="2" t="str">
        <f t="shared" si="39"/>
        <v>Error?</v>
      </c>
    </row>
    <row r="2596" spans="1:4" x14ac:dyDescent="0.2">
      <c r="A2596" s="5">
        <v>2535</v>
      </c>
      <c r="B2596" s="1832">
        <f>'Acct Summary 7-8'!F13</f>
        <v>945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147361</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148306</v>
      </c>
      <c r="C2600" s="2" t="s">
        <v>569</v>
      </c>
      <c r="D2600" s="2" t="str">
        <f t="shared" si="39"/>
        <v>Error?</v>
      </c>
    </row>
    <row r="2601" spans="1:4" x14ac:dyDescent="0.2">
      <c r="A2601" s="5">
        <v>2540</v>
      </c>
      <c r="B2601" s="1832">
        <f>'Acct Summary 7-8'!F20</f>
        <v>67548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105387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105387</v>
      </c>
      <c r="C2606" s="2" t="s">
        <v>569</v>
      </c>
      <c r="D2606" s="2" t="str">
        <f t="shared" si="39"/>
        <v>Error?</v>
      </c>
    </row>
    <row r="2607" spans="1:4" x14ac:dyDescent="0.2">
      <c r="A2607" s="5">
        <v>2546</v>
      </c>
      <c r="B2607" s="1832">
        <f>'Acct Summary 7-8'!G12</f>
        <v>29272</v>
      </c>
      <c r="C2607" s="2" t="s">
        <v>569</v>
      </c>
      <c r="D2607" s="2" t="str">
        <f t="shared" si="39"/>
        <v>Error?</v>
      </c>
    </row>
    <row r="2608" spans="1:4" x14ac:dyDescent="0.2">
      <c r="A2608" s="5">
        <v>2547</v>
      </c>
      <c r="B2608" s="1832">
        <f>'Acct Summary 7-8'!G13</f>
        <v>50486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79758</v>
      </c>
      <c r="C2612" s="2" t="s">
        <v>569</v>
      </c>
      <c r="D2612" s="2" t="str">
        <f t="shared" si="39"/>
        <v>Error?</v>
      </c>
    </row>
    <row r="2613" spans="1:4" x14ac:dyDescent="0.2">
      <c r="A2613" s="5">
        <v>2552</v>
      </c>
      <c r="B2613" s="1832">
        <f>'Acct Summary 7-8'!G20</f>
        <v>25629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255290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255290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254200</v>
      </c>
      <c r="C2634" s="2" t="s">
        <v>569</v>
      </c>
      <c r="D2634" s="2" t="str">
        <f t="shared" si="40"/>
        <v>Error?</v>
      </c>
    </row>
    <row r="2635" spans="1:4" x14ac:dyDescent="0.2">
      <c r="A2635" s="5">
        <v>2574</v>
      </c>
      <c r="B2635" s="1832">
        <f>'Acct Summary 7-8'!E17</f>
        <v>254200</v>
      </c>
      <c r="C2635" s="2" t="s">
        <v>569</v>
      </c>
      <c r="D2635" s="2" t="str">
        <f t="shared" si="40"/>
        <v>Error?</v>
      </c>
    </row>
    <row r="2636" spans="1:4" x14ac:dyDescent="0.2">
      <c r="A2636" s="5">
        <v>2575</v>
      </c>
      <c r="B2636" s="1832">
        <f>'Acct Summary 7-8'!E20</f>
        <v>1090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3030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3030</v>
      </c>
      <c r="C2658" s="2" t="s">
        <v>569</v>
      </c>
      <c r="D2658" s="2" t="str">
        <f t="shared" si="40"/>
        <v>Error?</v>
      </c>
    </row>
    <row r="2659" spans="1:4" x14ac:dyDescent="0.2">
      <c r="A2659" s="5">
        <v>2598</v>
      </c>
      <c r="B2659" s="1832">
        <f>'Acct Summary 7-8'!H13</f>
        <v>281377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281377</v>
      </c>
      <c r="C2661" s="2" t="s">
        <v>569</v>
      </c>
      <c r="D2661" s="2" t="str">
        <f t="shared" si="40"/>
        <v>Error?</v>
      </c>
    </row>
    <row r="2662" spans="1:4" x14ac:dyDescent="0.2">
      <c r="A2662" s="5">
        <v>2601</v>
      </c>
      <c r="B2662" s="1832">
        <f>'Acct Summary 7-8'!H20</f>
        <v>-278347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26402</v>
      </c>
      <c r="C2789" s="2" t="s">
        <v>569</v>
      </c>
      <c r="D2789" s="2" t="str">
        <f t="shared" si="42"/>
        <v>Error?</v>
      </c>
    </row>
    <row r="2790" spans="1:4" x14ac:dyDescent="0.2">
      <c r="A2790" s="5">
        <v>2729</v>
      </c>
      <c r="B2790" s="1832">
        <f>'Expenditures 15-22'!E102</f>
        <v>26402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147361</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147361</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206380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21468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206380</v>
      </c>
      <c r="D2912" s="2" t="str">
        <f t="shared" si="44"/>
        <v>Error?</v>
      </c>
    </row>
    <row r="2913" spans="1:4" x14ac:dyDescent="0.2">
      <c r="A2913" s="5">
        <v>2852</v>
      </c>
      <c r="B2913" s="1832">
        <f>'Assets-Liab 5-6'!I41</f>
        <v>206380</v>
      </c>
      <c r="C2913" s="2" t="s">
        <v>569</v>
      </c>
      <c r="D2913" s="2" t="str">
        <f t="shared" si="44"/>
        <v>Error?</v>
      </c>
    </row>
    <row r="2914" spans="1:4" x14ac:dyDescent="0.2">
      <c r="A2914" s="5">
        <v>2853</v>
      </c>
      <c r="B2914" s="1832">
        <f>'Assets-Liab 5-6'!L33</f>
        <v>21468</v>
      </c>
      <c r="D2914" s="2" t="str">
        <f t="shared" si="44"/>
        <v>Error?</v>
      </c>
    </row>
    <row r="2915" spans="1:4" x14ac:dyDescent="0.2">
      <c r="A2915" s="10">
        <v>2854</v>
      </c>
      <c r="B2915" s="1832"/>
      <c r="D2915" s="2" t="str">
        <f t="shared" si="44"/>
        <v>OK</v>
      </c>
    </row>
    <row r="2916" spans="1:4" x14ac:dyDescent="0.2">
      <c r="A2916" s="5">
        <v>2855</v>
      </c>
      <c r="B2916" s="1832">
        <f>'Assets-Liab 5-6'!L34</f>
        <v>21468</v>
      </c>
      <c r="C2916" s="2" t="s">
        <v>569</v>
      </c>
      <c r="D2916" s="2" t="str">
        <f t="shared" si="44"/>
        <v>Error?</v>
      </c>
    </row>
    <row r="2917" spans="1:4" x14ac:dyDescent="0.2">
      <c r="A2917" s="5">
        <v>2856</v>
      </c>
      <c r="B2917" s="1832">
        <f>'Assets-Liab 5-6'!L41</f>
        <v>21468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26402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25460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51862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140929</v>
      </c>
      <c r="D2989" s="2" t="str">
        <f t="shared" si="45"/>
        <v>Error?</v>
      </c>
    </row>
    <row r="2990" spans="1:4" x14ac:dyDescent="0.2">
      <c r="A2990" s="5">
        <v>2929</v>
      </c>
      <c r="B2990" s="1832">
        <f>'Expenditures 15-22'!E189</f>
        <v>6432</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140929</v>
      </c>
      <c r="C3007" s="2" t="s">
        <v>569</v>
      </c>
      <c r="D3007" s="2" t="str">
        <f t="shared" ref="D3007:D3070" si="46">IF(ISBLANK(B3007),"OK",IF(A3007-B3007=0,"OK","Error?"))</f>
        <v>Error?</v>
      </c>
    </row>
    <row r="3008" spans="1:4" x14ac:dyDescent="0.2">
      <c r="A3008" s="5">
        <v>2947</v>
      </c>
      <c r="B3008" s="1832">
        <f>'Expenditures 15-22'!K189</f>
        <v>6432</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44280</v>
      </c>
      <c r="D3055" s="2" t="str">
        <f t="shared" si="46"/>
        <v>Error?</v>
      </c>
    </row>
    <row r="3056" spans="1:4" x14ac:dyDescent="0.2">
      <c r="A3056" s="5">
        <v>2995</v>
      </c>
      <c r="B3056" s="1832">
        <f>'Expenditures 15-22'!D10</f>
        <v>9005</v>
      </c>
      <c r="D3056" s="2" t="str">
        <f t="shared" si="46"/>
        <v>Error?</v>
      </c>
    </row>
    <row r="3057" spans="1:4" x14ac:dyDescent="0.2">
      <c r="A3057" s="5">
        <v>2996</v>
      </c>
      <c r="B3057" s="1832">
        <f>'Expenditures 15-22'!E10</f>
        <v>525</v>
      </c>
      <c r="D3057" s="2" t="str">
        <f t="shared" si="46"/>
        <v>Error?</v>
      </c>
    </row>
    <row r="3058" spans="1:4" x14ac:dyDescent="0.2">
      <c r="A3058" s="5">
        <v>2997</v>
      </c>
      <c r="B3058" s="1832">
        <f>'Expenditures 15-22'!F10</f>
        <v>7739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61549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647</v>
      </c>
      <c r="D3064" s="2" t="str">
        <f t="shared" si="46"/>
        <v>Error?</v>
      </c>
    </row>
    <row r="3065" spans="1:4" x14ac:dyDescent="0.2">
      <c r="A3065" s="5">
        <v>3004</v>
      </c>
      <c r="B3065" s="1832">
        <f>'Expenditures 15-22'!K219</f>
        <v>647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30467</v>
      </c>
      <c r="C3225" s="2" t="s">
        <v>569</v>
      </c>
      <c r="D3225" s="2" t="str">
        <f t="shared" si="49"/>
        <v>Error?</v>
      </c>
    </row>
    <row r="3226" spans="1:4" x14ac:dyDescent="0.2">
      <c r="A3226" s="5">
        <v>3165</v>
      </c>
      <c r="B3226" s="1832">
        <f>'Acct Summary 7-8'!I8</f>
        <v>30467</v>
      </c>
      <c r="C3226" s="2" t="s">
        <v>569</v>
      </c>
      <c r="D3226" s="2" t="str">
        <f t="shared" si="49"/>
        <v>Error?</v>
      </c>
    </row>
    <row r="3227" spans="1:4" x14ac:dyDescent="0.2">
      <c r="A3227" s="5">
        <v>3166</v>
      </c>
      <c r="B3227" s="1832">
        <f>'Acct Summary 7-8'!I20</f>
        <v>30467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107303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3708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67548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25629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1090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94000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94000</v>
      </c>
      <c r="C3299" s="2" t="s">
        <v>569</v>
      </c>
      <c r="D3299" s="2" t="str">
        <f t="shared" si="50"/>
        <v>Error?</v>
      </c>
    </row>
    <row r="3300" spans="1:4" x14ac:dyDescent="0.2">
      <c r="A3300" s="5">
        <v>3239</v>
      </c>
      <c r="B3300" s="1832">
        <f>'Acct Summary 7-8'!H78</f>
        <v>-184347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94000</v>
      </c>
      <c r="C3318" s="2" t="s">
        <v>569</v>
      </c>
      <c r="D3318" s="2" t="str">
        <f t="shared" si="50"/>
        <v>Error?</v>
      </c>
    </row>
    <row r="3319" spans="1:4" x14ac:dyDescent="0.2">
      <c r="A3319" s="5">
        <v>3258</v>
      </c>
      <c r="B3319" s="1832">
        <f>'Acct Summary 7-8'!I77</f>
        <v>-94000</v>
      </c>
      <c r="C3319" s="2" t="s">
        <v>569</v>
      </c>
      <c r="D3319" s="2" t="str">
        <f t="shared" si="50"/>
        <v>Error?</v>
      </c>
    </row>
    <row r="3320" spans="1:4" x14ac:dyDescent="0.2">
      <c r="A3320" s="5">
        <v>3259</v>
      </c>
      <c r="B3320" s="1832">
        <f>'Acct Summary 7-8'!I78</f>
        <v>-63533</v>
      </c>
      <c r="C3320" s="2" t="s">
        <v>569</v>
      </c>
      <c r="D3320" s="2" t="str">
        <f t="shared" si="50"/>
        <v>Error?</v>
      </c>
    </row>
    <row r="3321" spans="1:4" x14ac:dyDescent="0.2">
      <c r="A3321" s="5">
        <v>3260</v>
      </c>
      <c r="B3321" s="1832">
        <f>'Acct Summary 7-8'!I79</f>
        <v>269913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206380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85305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27762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1110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114177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26400</v>
      </c>
      <c r="D3387" s="2" t="str">
        <f t="shared" si="51"/>
        <v>Error?</v>
      </c>
    </row>
    <row r="3388" spans="1:4" x14ac:dyDescent="0.2">
      <c r="A3388" s="5">
        <v>3327</v>
      </c>
      <c r="B3388" s="1832">
        <f>'Expenditures 15-22'!D217</f>
        <v>1209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26400</v>
      </c>
      <c r="C3390" s="2" t="s">
        <v>569</v>
      </c>
      <c r="D3390" s="2" t="str">
        <f t="shared" si="51"/>
        <v>Error?</v>
      </c>
    </row>
    <row r="3391" spans="1:4" x14ac:dyDescent="0.2">
      <c r="A3391" s="5">
        <v>3330</v>
      </c>
      <c r="B3391" s="1832">
        <f>'Expenditures 15-22'!K217</f>
        <v>1209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66127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359121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14841</v>
      </c>
      <c r="D3417" s="2" t="str">
        <f t="shared" si="52"/>
        <v>Error?</v>
      </c>
    </row>
    <row r="3418" spans="1:4" x14ac:dyDescent="0.2">
      <c r="A3418" s="10">
        <v>3357</v>
      </c>
      <c r="B3418" s="1832"/>
      <c r="D3418" s="2" t="str">
        <f t="shared" si="52"/>
        <v>OK</v>
      </c>
    </row>
    <row r="3419" spans="1:4" x14ac:dyDescent="0.2">
      <c r="A3419" s="5">
        <v>3358</v>
      </c>
      <c r="B3419" s="1832">
        <f>'Assets-Liab 5-6'!F4</f>
        <v>442555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182866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206380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21468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56010</v>
      </c>
      <c r="C3446" s="2" t="s">
        <v>569</v>
      </c>
      <c r="D3446" s="2" t="str">
        <f t="shared" si="52"/>
        <v>Error?</v>
      </c>
    </row>
    <row r="3447" spans="1:4" x14ac:dyDescent="0.2">
      <c r="A3447" s="5">
        <v>3386</v>
      </c>
      <c r="B3447" s="1832">
        <f>'Tax Sched 23'!D16</f>
        <v>56010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53996</v>
      </c>
      <c r="C3449" s="2" t="s">
        <v>569</v>
      </c>
      <c r="D3449" s="2" t="str">
        <f t="shared" si="52"/>
        <v>Error?</v>
      </c>
    </row>
    <row r="3450" spans="1:4" x14ac:dyDescent="0.2">
      <c r="A3450" s="5">
        <v>3389</v>
      </c>
      <c r="B3450" s="1832">
        <f>'Tax Sched 23'!E16</f>
        <v>53996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81422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81422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81422</v>
      </c>
      <c r="D3567" s="2" t="str">
        <f t="shared" si="54"/>
        <v>Error?</v>
      </c>
    </row>
    <row r="3568" spans="1:4" x14ac:dyDescent="0.2">
      <c r="A3568" s="5">
        <v>3507</v>
      </c>
      <c r="B3568" s="1832">
        <f>'Assets-Liab 5-6'!K41</f>
        <v>81422</v>
      </c>
      <c r="C3568" s="2" t="s">
        <v>569</v>
      </c>
      <c r="D3568" s="2" t="str">
        <f t="shared" si="54"/>
        <v>Error?</v>
      </c>
    </row>
    <row r="3569" spans="1:4" x14ac:dyDescent="0.2">
      <c r="A3569" s="5">
        <v>3508</v>
      </c>
      <c r="B3569" s="1832">
        <f>'Acct Summary 7-8'!K4</f>
        <v>40673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40673</v>
      </c>
      <c r="C3571" s="2" t="s">
        <v>569</v>
      </c>
      <c r="D3571" s="2" t="str">
        <f t="shared" si="54"/>
        <v>Error?</v>
      </c>
    </row>
    <row r="3572" spans="1:4" x14ac:dyDescent="0.2">
      <c r="A3572" s="5">
        <v>3511</v>
      </c>
      <c r="B3572" s="1832">
        <f>'Acct Summary 7-8'!K13</f>
        <v>31166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31166</v>
      </c>
      <c r="C3575" s="2" t="s">
        <v>569</v>
      </c>
      <c r="D3575" s="2" t="str">
        <f t="shared" si="54"/>
        <v>Error?</v>
      </c>
    </row>
    <row r="3576" spans="1:4" x14ac:dyDescent="0.2">
      <c r="A3576" s="5">
        <v>3515</v>
      </c>
      <c r="B3576" s="1832">
        <f>'Acct Summary 7-8'!K20</f>
        <v>9507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9507</v>
      </c>
      <c r="C3588" s="2" t="s">
        <v>569</v>
      </c>
      <c r="D3588" s="2" t="str">
        <f t="shared" si="55"/>
        <v>Error?</v>
      </c>
    </row>
    <row r="3589" spans="1:4" x14ac:dyDescent="0.2">
      <c r="A3589" s="5">
        <v>3528</v>
      </c>
      <c r="B3589" s="1832">
        <f>'Acct Summary 7-8'!K79</f>
        <v>71915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81422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11166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11166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11166</v>
      </c>
      <c r="C3635" s="2" t="s">
        <v>569</v>
      </c>
      <c r="D3635" s="2" t="str">
        <f t="shared" si="55"/>
        <v>Error?</v>
      </c>
    </row>
    <row r="3636" spans="1:4" x14ac:dyDescent="0.2">
      <c r="A3636" s="5">
        <v>3575</v>
      </c>
      <c r="B3636" s="1832">
        <f>'Expenditures 15-22'!E367</f>
        <v>11166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20000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20000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20000</v>
      </c>
      <c r="C3649" s="2" t="s">
        <v>569</v>
      </c>
      <c r="D3649" s="2" t="str">
        <f t="shared" si="56"/>
        <v>Error?</v>
      </c>
    </row>
    <row r="3650" spans="1:4" x14ac:dyDescent="0.2">
      <c r="A3650" s="5">
        <v>3589</v>
      </c>
      <c r="B3650" s="1832">
        <f>'Expenditures 15-22'!G367</f>
        <v>20000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31166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31166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31166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31166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9507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53904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1010335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3601703</v>
      </c>
      <c r="C4122" s="2" t="s">
        <v>569</v>
      </c>
      <c r="D4122" s="2" t="str">
        <f t="shared" si="63"/>
        <v>Error?</v>
      </c>
    </row>
    <row r="4123" spans="1:4" x14ac:dyDescent="0.2">
      <c r="A4123" s="5">
        <v>4062</v>
      </c>
      <c r="B4123" s="1832">
        <f>'Acct Summary 7-8'!D10</f>
        <v>308463</v>
      </c>
      <c r="C4123" s="2" t="s">
        <v>569</v>
      </c>
      <c r="D4123" s="2" t="str">
        <f t="shared" si="63"/>
        <v>Error?</v>
      </c>
    </row>
    <row r="4124" spans="1:4" x14ac:dyDescent="0.2">
      <c r="A4124" s="5">
        <v>4063</v>
      </c>
      <c r="B4124" s="1832">
        <f>'Acct Summary 7-8'!E10</f>
        <v>255290</v>
      </c>
      <c r="C4124" s="2" t="s">
        <v>569</v>
      </c>
      <c r="D4124" s="2" t="str">
        <f t="shared" si="63"/>
        <v>Error?</v>
      </c>
    </row>
    <row r="4125" spans="1:4" x14ac:dyDescent="0.2">
      <c r="A4125" s="5">
        <v>4064</v>
      </c>
      <c r="B4125" s="1832">
        <f>'Acct Summary 7-8'!F10</f>
        <v>215854</v>
      </c>
      <c r="C4125" s="2" t="s">
        <v>569</v>
      </c>
      <c r="D4125" s="2" t="str">
        <f t="shared" si="63"/>
        <v>Error?</v>
      </c>
    </row>
    <row r="4126" spans="1:4" x14ac:dyDescent="0.2">
      <c r="A4126" s="5">
        <v>4065</v>
      </c>
      <c r="B4126" s="1832">
        <f>'Acct Summary 7-8'!G10</f>
        <v>105387</v>
      </c>
      <c r="C4126" s="2" t="s">
        <v>569</v>
      </c>
      <c r="D4126" s="2" t="str">
        <f t="shared" si="63"/>
        <v>Error?</v>
      </c>
    </row>
    <row r="4127" spans="1:4" x14ac:dyDescent="0.2">
      <c r="A4127" s="5">
        <v>4066</v>
      </c>
      <c r="B4127" s="1832">
        <f>'Acct Summary 7-8'!H10</f>
        <v>3030</v>
      </c>
      <c r="C4127" s="2" t="s">
        <v>569</v>
      </c>
      <c r="D4127" s="2" t="str">
        <f t="shared" si="63"/>
        <v>Error?</v>
      </c>
    </row>
    <row r="4128" spans="1:4" x14ac:dyDescent="0.2">
      <c r="A4128" s="5">
        <v>4067</v>
      </c>
      <c r="B4128" s="1832">
        <f>'Acct Summary 7-8'!I10</f>
        <v>30467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40673</v>
      </c>
      <c r="C4130" s="2" t="s">
        <v>569</v>
      </c>
      <c r="D4130" s="2" t="str">
        <f t="shared" si="63"/>
        <v>Error?</v>
      </c>
    </row>
    <row r="4131" spans="1:4" x14ac:dyDescent="0.2">
      <c r="A4131" s="5">
        <v>4070</v>
      </c>
      <c r="B4131" s="1832">
        <f>'Acct Summary 7-8'!C18</f>
        <v>1010335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3494400</v>
      </c>
      <c r="C4136" s="2" t="s">
        <v>569</v>
      </c>
      <c r="D4136" s="2" t="str">
        <f t="shared" si="63"/>
        <v>Error?</v>
      </c>
    </row>
    <row r="4137" spans="1:4" x14ac:dyDescent="0.2">
      <c r="A4137" s="5">
        <v>4076</v>
      </c>
      <c r="B4137" s="1832">
        <f>'Acct Summary 7-8'!D19</f>
        <v>304755</v>
      </c>
      <c r="C4137" s="2" t="s">
        <v>569</v>
      </c>
      <c r="D4137" s="2" t="str">
        <f t="shared" si="63"/>
        <v>Error?</v>
      </c>
    </row>
    <row r="4138" spans="1:4" x14ac:dyDescent="0.2">
      <c r="A4138" s="5">
        <v>4077</v>
      </c>
      <c r="B4138" s="1832">
        <f>'Acct Summary 7-8'!E19</f>
        <v>254200</v>
      </c>
      <c r="C4138" s="2" t="s">
        <v>569</v>
      </c>
      <c r="D4138" s="2" t="str">
        <f t="shared" si="63"/>
        <v>Error?</v>
      </c>
    </row>
    <row r="4139" spans="1:4" x14ac:dyDescent="0.2">
      <c r="A4139" s="5">
        <v>4078</v>
      </c>
      <c r="B4139" s="1832">
        <f>'Acct Summary 7-8'!F19</f>
        <v>148306</v>
      </c>
      <c r="C4139" s="2" t="s">
        <v>569</v>
      </c>
      <c r="D4139" s="2" t="str">
        <f t="shared" si="63"/>
        <v>Error?</v>
      </c>
    </row>
    <row r="4140" spans="1:4" x14ac:dyDescent="0.2">
      <c r="A4140" s="5">
        <v>4079</v>
      </c>
      <c r="B4140" s="1832">
        <f>'Acct Summary 7-8'!G19</f>
        <v>79758</v>
      </c>
      <c r="C4140" s="2" t="s">
        <v>569</v>
      </c>
      <c r="D4140" s="2" t="str">
        <f t="shared" si="63"/>
        <v>Error?</v>
      </c>
    </row>
    <row r="4141" spans="1:4" x14ac:dyDescent="0.2">
      <c r="A4141" s="5">
        <v>4080</v>
      </c>
      <c r="B4141" s="1832">
        <f>'Acct Summary 7-8'!H19</f>
        <v>281377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31166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3233000</v>
      </c>
      <c r="C4171" s="2" t="s">
        <v>569</v>
      </c>
      <c r="D4171" s="2" t="str">
        <f t="shared" si="64"/>
        <v>Error?</v>
      </c>
    </row>
    <row r="4172" spans="1:4" x14ac:dyDescent="0.2">
      <c r="A4172" s="5">
        <v>4111</v>
      </c>
      <c r="B4172" s="1832">
        <f>'Short-Term Long-Term Debt 24'!J49</f>
        <v>3218159</v>
      </c>
      <c r="C4172" s="2" t="s">
        <v>569</v>
      </c>
      <c r="D4172" s="2" t="str">
        <f t="shared" si="64"/>
        <v>Error?</v>
      </c>
    </row>
    <row r="4173" spans="1:4" x14ac:dyDescent="0.2">
      <c r="A4173" s="5">
        <v>4112</v>
      </c>
      <c r="B4173" s="1832">
        <f>'Short-Term Long-Term Debt 24'!H49</f>
        <v>122000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2690.64</v>
      </c>
      <c r="C4265" s="2" t="s">
        <v>569</v>
      </c>
      <c r="D4265" s="2" t="str">
        <f t="shared" si="65"/>
        <v>Error?</v>
      </c>
      <c r="E4265" s="125"/>
    </row>
    <row r="4266" spans="1:5" x14ac:dyDescent="0.2">
      <c r="A4266" s="12">
        <v>4205</v>
      </c>
      <c r="B4266" s="1832">
        <f>('FP Info 3'!F10)*100000</f>
        <v>328.16999999999996</v>
      </c>
      <c r="C4266" s="2" t="s">
        <v>569</v>
      </c>
      <c r="D4266" s="2" t="str">
        <f t="shared" si="65"/>
        <v>Error?</v>
      </c>
      <c r="E4266" s="125"/>
    </row>
    <row r="4267" spans="1:5" x14ac:dyDescent="0.2">
      <c r="A4267" s="12">
        <v>4206</v>
      </c>
      <c r="B4267" s="1832">
        <f>('FP Info 3'!H10)*100000</f>
        <v>188.72</v>
      </c>
      <c r="C4267" s="2" t="s">
        <v>569</v>
      </c>
      <c r="D4267" s="2" t="str">
        <f t="shared" si="65"/>
        <v>Error?</v>
      </c>
      <c r="E4267" s="125"/>
    </row>
    <row r="4268" spans="1:5" x14ac:dyDescent="0.2">
      <c r="A4268" s="12">
        <v>4207</v>
      </c>
      <c r="B4268" s="1832">
        <f>('FP Info 3'!J10)*100000</f>
        <v>3207.9999999999995</v>
      </c>
      <c r="C4268" s="2" t="s">
        <v>569</v>
      </c>
      <c r="D4268" s="2" t="str">
        <f t="shared" si="65"/>
        <v>Error?</v>
      </c>
    </row>
    <row r="4269" spans="1:5" x14ac:dyDescent="0.2">
      <c r="A4269" s="12">
        <v>4208</v>
      </c>
      <c r="B4269" s="1832">
        <f>'FP Info 3'!J16</f>
        <v>3470581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4707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7002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3992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20231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67596713</v>
      </c>
      <c r="D4995" s="2" t="str">
        <f t="shared" si="77"/>
        <v>Error?</v>
      </c>
    </row>
    <row r="4996" spans="1:4" x14ac:dyDescent="0.2">
      <c r="A4996" s="12">
        <v>4935</v>
      </c>
      <c r="B4996" s="1832">
        <f>'FP Info 3'!H31</f>
        <v>4664173.1970000006</v>
      </c>
      <c r="D4996" s="2" t="str">
        <f t="shared" si="77"/>
        <v>Error?</v>
      </c>
    </row>
    <row r="4997" spans="1:4" x14ac:dyDescent="0.2">
      <c r="A4997" s="12">
        <v>4936</v>
      </c>
      <c r="B4997" s="1832">
        <f>'FP Info 3'!H37</f>
        <v>3233000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1691272</v>
      </c>
      <c r="D5061" s="2" t="str">
        <f t="shared" si="78"/>
        <v>Error?</v>
      </c>
    </row>
    <row r="5062" spans="1:4" x14ac:dyDescent="0.2">
      <c r="A5062" s="10">
        <v>5001</v>
      </c>
      <c r="B5062" s="1832"/>
      <c r="D5062" s="2" t="str">
        <f t="shared" si="78"/>
        <v>OK</v>
      </c>
    </row>
    <row r="5063" spans="1:4" x14ac:dyDescent="0.2">
      <c r="A5063" s="5">
        <v>5002</v>
      </c>
      <c r="B5063" s="1832">
        <f>'Revenues 9-14'!C7</f>
        <v>15565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1706837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70456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70456</v>
      </c>
      <c r="C5071" s="2" t="s">
        <v>569</v>
      </c>
      <c r="D5071" s="2" t="str">
        <f t="shared" si="78"/>
        <v>Error?</v>
      </c>
    </row>
    <row r="5072" spans="1:4" x14ac:dyDescent="0.2">
      <c r="A5072" s="5">
        <v>5011</v>
      </c>
      <c r="B5072" s="1832">
        <f>'Revenues 9-14'!C20</f>
        <v>33216</v>
      </c>
      <c r="D5072" s="2" t="str">
        <f t="shared" si="78"/>
        <v>Error?</v>
      </c>
    </row>
    <row r="5073" spans="1:4" x14ac:dyDescent="0.2">
      <c r="A5073" s="5">
        <v>5012</v>
      </c>
      <c r="B5073" s="1832">
        <f>'Revenues 9-14'!C21</f>
        <v>76094</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109310</v>
      </c>
      <c r="C5087" s="2" t="s">
        <v>569</v>
      </c>
      <c r="D5087" s="2" t="str">
        <f t="shared" si="78"/>
        <v>Error?</v>
      </c>
    </row>
    <row r="5088" spans="1:4" x14ac:dyDescent="0.2">
      <c r="A5088" s="5">
        <v>5027</v>
      </c>
      <c r="B5088" s="1832">
        <f>'Revenues 9-14'!C65</f>
        <v>58157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58157</v>
      </c>
      <c r="C5090" s="2" t="s">
        <v>569</v>
      </c>
      <c r="D5090" s="2" t="str">
        <f t="shared" si="78"/>
        <v>Error?</v>
      </c>
    </row>
    <row r="5091" spans="1:4" x14ac:dyDescent="0.2">
      <c r="A5091" s="5">
        <v>5030</v>
      </c>
      <c r="B5091" s="1832">
        <f>'Revenues 9-14'!C70</f>
        <v>5331</v>
      </c>
      <c r="D5091" s="2" t="str">
        <f t="shared" si="78"/>
        <v>Error?</v>
      </c>
    </row>
    <row r="5092" spans="1:4" x14ac:dyDescent="0.2">
      <c r="A5092" s="5">
        <v>5031</v>
      </c>
      <c r="B5092" s="1832">
        <f>'Revenues 9-14'!C71</f>
        <v>5220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1844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28777</v>
      </c>
      <c r="C5096" s="2" t="s">
        <v>569</v>
      </c>
      <c r="D5096" s="2" t="str">
        <f t="shared" si="78"/>
        <v>Error?</v>
      </c>
    </row>
    <row r="5097" spans="1:4" x14ac:dyDescent="0.2">
      <c r="A5097" s="5">
        <v>5036</v>
      </c>
      <c r="B5097" s="1832">
        <f>'Revenues 9-14'!C77</f>
        <v>6192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6192</v>
      </c>
      <c r="C5102" s="2" t="s">
        <v>569</v>
      </c>
      <c r="D5102" s="2" t="str">
        <f t="shared" si="78"/>
        <v>Error?</v>
      </c>
    </row>
    <row r="5103" spans="1:4" x14ac:dyDescent="0.2">
      <c r="A5103" s="5">
        <v>5042</v>
      </c>
      <c r="B5103" s="1832">
        <f>'Revenues 9-14'!C84</f>
        <v>11738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11738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1000</v>
      </c>
      <c r="D5114" s="2" t="str">
        <f t="shared" si="78"/>
        <v>Error?</v>
      </c>
    </row>
    <row r="5115" spans="1:4" x14ac:dyDescent="0.2">
      <c r="A5115" s="5">
        <v>5054</v>
      </c>
      <c r="B5115" s="1832">
        <f>'Revenues 9-14'!C98</f>
        <v>23017</v>
      </c>
      <c r="D5115" s="2" t="str">
        <f t="shared" si="78"/>
        <v>Error?</v>
      </c>
    </row>
    <row r="5116" spans="1:4" x14ac:dyDescent="0.2">
      <c r="A5116" s="5">
        <v>5055</v>
      </c>
      <c r="B5116" s="1832">
        <f>'Revenues 9-14'!C99</f>
        <v>9638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616</v>
      </c>
      <c r="D5119" s="2" t="str">
        <f t="shared" ref="D5119:D5182" si="79">IF(ISBLANK(B5119),"OK",IF(A5119-B5119=0,"OK","Error?"))</f>
        <v>Error?</v>
      </c>
    </row>
    <row r="5120" spans="1:4" x14ac:dyDescent="0.2">
      <c r="A5120" s="5">
        <v>5059</v>
      </c>
      <c r="B5120" s="1832">
        <f>'Revenues 9-14'!C108</f>
        <v>34271</v>
      </c>
      <c r="C5120" s="2" t="s">
        <v>569</v>
      </c>
      <c r="D5120" s="2" t="str">
        <f t="shared" si="79"/>
        <v>Error?</v>
      </c>
    </row>
    <row r="5121" spans="1:4" x14ac:dyDescent="0.2">
      <c r="A5121" s="5">
        <v>5060</v>
      </c>
      <c r="B5121" s="1832">
        <f>'Revenues 9-14'!C109</f>
        <v>2025738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307405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307405</v>
      </c>
      <c r="C5132" s="2" t="s">
        <v>569</v>
      </c>
      <c r="D5132" s="2" t="str">
        <f t="shared" si="79"/>
        <v>Error?</v>
      </c>
    </row>
    <row r="5133" spans="1:4" x14ac:dyDescent="0.2">
      <c r="A5133" s="5">
        <v>5072</v>
      </c>
      <c r="B5133" s="1832">
        <f>'Revenues 9-14'!C125</f>
        <v>18795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4982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23777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24077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331482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20231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16859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6103</v>
      </c>
      <c r="D5241" s="2" t="str">
        <f t="shared" si="80"/>
        <v>Error?</v>
      </c>
    </row>
    <row r="5242" spans="1:4" x14ac:dyDescent="0.2">
      <c r="A5242" s="5">
        <v>5181</v>
      </c>
      <c r="B5242" s="1832">
        <f>'Revenues 9-14'!C194</f>
        <v>9249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32211</v>
      </c>
      <c r="C5246" s="2" t="s">
        <v>569</v>
      </c>
      <c r="D5246" s="2" t="str">
        <f t="shared" si="80"/>
        <v>Error?</v>
      </c>
    </row>
    <row r="5247" spans="1:4" x14ac:dyDescent="0.2">
      <c r="A5247" s="5">
        <v>5186</v>
      </c>
      <c r="B5247" s="1832">
        <f>'Revenues 9-14'!C200</f>
        <v>26816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26816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16740</v>
      </c>
      <c r="D5278" s="2" t="str">
        <f t="shared" si="81"/>
        <v>Error?</v>
      </c>
    </row>
    <row r="5279" spans="1:4" x14ac:dyDescent="0.2">
      <c r="A5279" s="5">
        <v>5218</v>
      </c>
      <c r="B5279" s="1832">
        <f>'Revenues 9-14'!C214</f>
        <v>122449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139189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213917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234148</v>
      </c>
      <c r="C5326" s="2" t="s">
        <v>569</v>
      </c>
      <c r="D5326" s="2" t="str">
        <f t="shared" si="82"/>
        <v>Error?</v>
      </c>
    </row>
    <row r="5327" spans="1:5" x14ac:dyDescent="0.2">
      <c r="A5327" s="5">
        <v>5266</v>
      </c>
      <c r="B5327" s="1832">
        <f>'Revenues 9-14'!C268</f>
        <v>2591368</v>
      </c>
      <c r="C5327" s="2" t="s">
        <v>569</v>
      </c>
      <c r="D5327" s="2" t="str">
        <f t="shared" si="82"/>
        <v>Error?</v>
      </c>
    </row>
    <row r="5328" spans="1:5" x14ac:dyDescent="0.2">
      <c r="A5328" s="5">
        <v>5267</v>
      </c>
      <c r="B5328" s="1832">
        <f>'Revenues 9-14'!D5</f>
        <v>207397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207397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1066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208463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308463</v>
      </c>
      <c r="C5508" s="2" t="s">
        <v>569</v>
      </c>
      <c r="D5508" s="2" t="str">
        <f t="shared" si="85"/>
        <v>Error?</v>
      </c>
    </row>
    <row r="5509" spans="1:4" x14ac:dyDescent="0.2">
      <c r="A5509" s="5">
        <v>5448</v>
      </c>
      <c r="B5509" s="1832">
        <f>'Revenues 9-14'!E5</f>
        <v>254784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254784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506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506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255290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255290</v>
      </c>
      <c r="C5552" s="2" t="s">
        <v>569</v>
      </c>
      <c r="D5552" s="2" t="str">
        <f t="shared" si="85"/>
        <v>Error?</v>
      </c>
    </row>
    <row r="5553" spans="1:4" x14ac:dyDescent="0.2">
      <c r="A5553" s="5">
        <v>5492</v>
      </c>
      <c r="B5553" s="1832">
        <f>'Revenues 9-14'!F5</f>
        <v>119261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119261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924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924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120185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62126</v>
      </c>
      <c r="D5615" s="2" t="str">
        <f t="shared" si="86"/>
        <v>Error?</v>
      </c>
    </row>
    <row r="5616" spans="1:4" x14ac:dyDescent="0.2">
      <c r="A5616" s="10">
        <v>5555</v>
      </c>
      <c r="B5616" s="1832"/>
      <c r="D5616" s="2" t="str">
        <f t="shared" si="86"/>
        <v>OK</v>
      </c>
    </row>
    <row r="5617" spans="1:5" x14ac:dyDescent="0.2">
      <c r="A5617" s="5">
        <v>5556</v>
      </c>
      <c r="B5617" s="1832">
        <f>'Revenues 9-14'!F153</f>
        <v>33543</v>
      </c>
      <c r="D5617" s="2" t="str">
        <f t="shared" si="86"/>
        <v>Error?</v>
      </c>
    </row>
    <row r="5618" spans="1:5" x14ac:dyDescent="0.2">
      <c r="A5618" s="5">
        <v>5557</v>
      </c>
      <c r="B5618" s="1832">
        <f>'Revenues 9-14'!F155</f>
        <v>95669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95669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95669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215854</v>
      </c>
      <c r="C5720" s="2" t="s">
        <v>569</v>
      </c>
      <c r="D5720" s="2" t="str">
        <f t="shared" si="88"/>
        <v>Error?</v>
      </c>
    </row>
    <row r="5721" spans="1:4" x14ac:dyDescent="0.2">
      <c r="A5721" s="5">
        <v>5660</v>
      </c>
      <c r="B5721" s="1832">
        <f>'Revenues 9-14'!G5</f>
        <v>41497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56010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97507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7400</v>
      </c>
      <c r="C5730" s="2" t="s">
        <v>569</v>
      </c>
      <c r="D5730" s="2" t="str">
        <f t="shared" si="88"/>
        <v>Error?</v>
      </c>
    </row>
    <row r="5731" spans="1:4" x14ac:dyDescent="0.2">
      <c r="A5731" s="5">
        <v>5670</v>
      </c>
      <c r="B5731" s="1832">
        <f>'Revenues 9-14'!G65</f>
        <v>480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480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105387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3000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3000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3030</v>
      </c>
      <c r="C5915" s="2" t="s">
        <v>569</v>
      </c>
      <c r="D5915" s="2" t="str">
        <f t="shared" si="91"/>
        <v>Error?</v>
      </c>
    </row>
    <row r="5916" spans="1:4" x14ac:dyDescent="0.2">
      <c r="A5916" s="5">
        <v>5855</v>
      </c>
      <c r="B5916" s="1832">
        <f>'Revenues 9-14'!I5</f>
        <v>30078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30078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389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389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30467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40457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40457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216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216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40673</v>
      </c>
      <c r="C6023" s="2" t="s">
        <v>569</v>
      </c>
      <c r="D6023" s="2" t="str">
        <f t="shared" si="93"/>
        <v>Error?</v>
      </c>
    </row>
    <row r="6024" spans="1:5" x14ac:dyDescent="0.2">
      <c r="A6024" s="5">
        <v>5963</v>
      </c>
      <c r="B6024" s="1832">
        <f>'Revenues 9-14'!G109</f>
        <v>105387</v>
      </c>
      <c r="C6024" s="2" t="s">
        <v>569</v>
      </c>
      <c r="D6024" s="2" t="str">
        <f t="shared" si="93"/>
        <v>Error?</v>
      </c>
    </row>
    <row r="6025" spans="1:5" x14ac:dyDescent="0.2">
      <c r="A6025" s="5">
        <v>5964</v>
      </c>
      <c r="B6025" s="1832">
        <f>'Revenues 9-14'!H109</f>
        <v>3030</v>
      </c>
      <c r="C6025" s="2" t="s">
        <v>569</v>
      </c>
      <c r="D6025" s="2" t="str">
        <f t="shared" si="93"/>
        <v>Error?</v>
      </c>
    </row>
    <row r="6026" spans="1:5" x14ac:dyDescent="0.2">
      <c r="A6026" s="5">
        <v>5965</v>
      </c>
      <c r="B6026" s="1832">
        <f>'Revenues 9-14'!I109</f>
        <v>30467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40673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16382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3443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168.1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107303</v>
      </c>
      <c r="D6267" s="2" t="str">
        <f t="shared" si="96"/>
        <v>Error?</v>
      </c>
      <c r="E6267" s="2" t="s">
        <v>189</v>
      </c>
    </row>
    <row r="6268" spans="1:5" x14ac:dyDescent="0.2">
      <c r="A6268">
        <v>6207</v>
      </c>
      <c r="B6268" s="1832">
        <f>'Acct Summary 7-8'!D82</f>
        <v>3708</v>
      </c>
      <c r="D6268" s="2" t="str">
        <f t="shared" si="96"/>
        <v>Error?</v>
      </c>
      <c r="E6268" s="2" t="s">
        <v>189</v>
      </c>
    </row>
    <row r="6269" spans="1:5" x14ac:dyDescent="0.2">
      <c r="A6269">
        <v>6208</v>
      </c>
      <c r="B6269" s="1832">
        <f>'Acct Summary 7-8'!E82</f>
        <v>1090</v>
      </c>
      <c r="D6269" s="2" t="str">
        <f t="shared" si="96"/>
        <v>Error?</v>
      </c>
      <c r="E6269" s="2" t="s">
        <v>189</v>
      </c>
    </row>
    <row r="6270" spans="1:5" x14ac:dyDescent="0.2">
      <c r="A6270">
        <v>6209</v>
      </c>
      <c r="B6270" s="1832">
        <f>'Acct Summary 7-8'!F82</f>
        <v>67548</v>
      </c>
      <c r="D6270" s="2" t="str">
        <f t="shared" si="96"/>
        <v>Error?</v>
      </c>
      <c r="E6270" s="2" t="s">
        <v>189</v>
      </c>
    </row>
    <row r="6271" spans="1:5" x14ac:dyDescent="0.2">
      <c r="A6271">
        <v>6210</v>
      </c>
      <c r="B6271" s="1832">
        <f>'Acct Summary 7-8'!G82</f>
        <v>25629</v>
      </c>
      <c r="D6271" s="2" t="str">
        <f t="shared" ref="D6271:D6334" si="97">IF(ISBLANK(B6271),"OK",IF(A6271-B6271=0,"OK","Error?"))</f>
        <v>Error?</v>
      </c>
      <c r="E6271" s="2" t="s">
        <v>189</v>
      </c>
    </row>
    <row r="6272" spans="1:5" x14ac:dyDescent="0.2">
      <c r="A6272">
        <v>6211</v>
      </c>
      <c r="B6272" s="1832">
        <f>'Acct Summary 7-8'!H82</f>
        <v>-184347</v>
      </c>
      <c r="D6272" s="2" t="str">
        <f t="shared" si="97"/>
        <v>Error?</v>
      </c>
      <c r="E6272" s="2" t="s">
        <v>189</v>
      </c>
    </row>
    <row r="6273" spans="1:5" x14ac:dyDescent="0.2">
      <c r="A6273">
        <v>6212</v>
      </c>
      <c r="B6273" s="1832">
        <f>'Acct Summary 7-8'!I82</f>
        <v>-63533</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9507</v>
      </c>
      <c r="D6275" s="2" t="str">
        <f t="shared" si="97"/>
        <v>Error?</v>
      </c>
      <c r="E6275" s="2" t="s">
        <v>189</v>
      </c>
    </row>
    <row r="6276" spans="1:5" x14ac:dyDescent="0.2">
      <c r="A6276">
        <v>6215</v>
      </c>
      <c r="B6276" s="1832">
        <f>'Acct Summary 7-8'!C83</f>
        <v>4.3574379955533447E-2</v>
      </c>
      <c r="D6276" s="2" t="str">
        <f t="shared" si="97"/>
        <v>Error?</v>
      </c>
      <c r="E6276" s="2" t="s">
        <v>189</v>
      </c>
    </row>
    <row r="6277" spans="1:5" x14ac:dyDescent="0.2">
      <c r="A6277">
        <v>6216</v>
      </c>
      <c r="B6277" s="1832">
        <f>'Acct Summary 7-8'!D83</f>
        <v>1.0325210722848288E-2</v>
      </c>
      <c r="D6277" s="2" t="str">
        <f t="shared" si="97"/>
        <v>Error?</v>
      </c>
      <c r="E6277" s="2" t="s">
        <v>189</v>
      </c>
    </row>
    <row r="6278" spans="1:5" x14ac:dyDescent="0.2">
      <c r="A6278">
        <v>6217</v>
      </c>
      <c r="B6278" s="1832">
        <f>'Acct Summary 7-8'!E83</f>
        <v>7.3445185634391216E-2</v>
      </c>
      <c r="D6278" s="2" t="str">
        <f t="shared" si="97"/>
        <v>Error?</v>
      </c>
      <c r="E6278" s="2" t="s">
        <v>189</v>
      </c>
    </row>
    <row r="6279" spans="1:5" x14ac:dyDescent="0.2">
      <c r="A6279">
        <v>6218</v>
      </c>
      <c r="B6279" s="1832">
        <f>'Acct Summary 7-8'!F83</f>
        <v>0.15263187626396718</v>
      </c>
      <c r="D6279" s="2" t="str">
        <f t="shared" si="97"/>
        <v>Error?</v>
      </c>
      <c r="E6279" s="2" t="s">
        <v>189</v>
      </c>
    </row>
    <row r="6280" spans="1:5" x14ac:dyDescent="0.2">
      <c r="A6280">
        <v>6219</v>
      </c>
      <c r="B6280" s="1832">
        <f>'Acct Summary 7-8'!G83</f>
        <v>0.1401518051469382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-0.30784475239848824</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0.11676205448158974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164877</v>
      </c>
      <c r="D6880" s="2" t="str">
        <f t="shared" si="106"/>
        <v>Error?</v>
      </c>
    </row>
    <row r="6881" spans="1:4" x14ac:dyDescent="0.2">
      <c r="A6881">
        <v>6820</v>
      </c>
      <c r="B6881" s="1832">
        <f>'Expenditures 15-22'!K22</f>
        <v>164877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70375</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70375</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250579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15587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94000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0</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3765000</v>
      </c>
      <c r="D7817" s="2" t="str">
        <f t="shared" si="128"/>
        <v>Error?</v>
      </c>
      <c r="E7817" s="4" t="s">
        <v>1965</v>
      </c>
    </row>
    <row r="7818" spans="1:5" x14ac:dyDescent="0.2">
      <c r="A7818">
        <v>7757</v>
      </c>
      <c r="B7818" s="1832">
        <f>'PCTC-OEPP 27-28'!F172</f>
        <v>66272.41</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3271084</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2334</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546182</v>
      </c>
      <c r="D7834" s="2" t="str">
        <f t="shared" si="129"/>
        <v>Error?</v>
      </c>
      <c r="E7834" s="4" t="s">
        <v>1997</v>
      </c>
    </row>
    <row r="7835" spans="1:5" x14ac:dyDescent="0.2">
      <c r="A7835">
        <v>7774</v>
      </c>
      <c r="B7835" s="1832">
        <f>'PCTC-OEPP 27-28'!F78</f>
        <v>2724902</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16210.005948839977</v>
      </c>
      <c r="D7837" s="2" t="str">
        <f t="shared" si="129"/>
        <v>Error?</v>
      </c>
      <c r="E7837" s="4" t="s">
        <v>1997</v>
      </c>
    </row>
    <row r="7838" spans="1:5" x14ac:dyDescent="0.2">
      <c r="A7838">
        <v>7777</v>
      </c>
      <c r="B7838" s="1832">
        <f>'PCTC-OEPP 27-28'!F96</f>
        <v>6192</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23017</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23777</v>
      </c>
      <c r="D7842" s="2" t="str">
        <f t="shared" si="129"/>
        <v>Error?</v>
      </c>
      <c r="E7842" s="4" t="s">
        <v>1997</v>
      </c>
    </row>
    <row r="7843" spans="1:5" x14ac:dyDescent="0.2">
      <c r="A7843">
        <v>7782</v>
      </c>
      <c r="B7843" s="1832">
        <f>'PCTC-OEPP 27-28'!F107</f>
        <v>0</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0</v>
      </c>
      <c r="D7846" s="2" t="str">
        <f t="shared" si="129"/>
        <v>Error?</v>
      </c>
      <c r="E7846" s="4" t="s">
        <v>1997</v>
      </c>
    </row>
    <row r="7847" spans="1:5" x14ac:dyDescent="0.2">
      <c r="A7847">
        <v>7786</v>
      </c>
      <c r="B7847" s="1832">
        <f>'PCTC-OEPP 27-28'!F112</f>
        <v>95669</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20231</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32211</v>
      </c>
      <c r="D7858" s="2" t="str">
        <f t="shared" si="129"/>
        <v>Error?</v>
      </c>
      <c r="E7858" s="4" t="s">
        <v>1997</v>
      </c>
    </row>
    <row r="7859" spans="1:5" x14ac:dyDescent="0.2">
      <c r="A7859">
        <v>7798</v>
      </c>
      <c r="B7859" s="1832">
        <f>'PCTC-OEPP 27-28'!F127</f>
        <v>26816</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16740</v>
      </c>
      <c r="D7861" s="2" t="str">
        <f t="shared" si="129"/>
        <v>Error?</v>
      </c>
      <c r="E7861" s="4" t="s">
        <v>1997</v>
      </c>
    </row>
    <row r="7862" spans="1:5" x14ac:dyDescent="0.2">
      <c r="A7862">
        <v>7801</v>
      </c>
      <c r="B7862" s="1832">
        <f>'PCTC-OEPP 27-28'!F130</f>
        <v>122449</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3992</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4707</v>
      </c>
      <c r="D7874" s="2" t="str">
        <f t="shared" si="129"/>
        <v>Error?</v>
      </c>
      <c r="E7874" s="4" t="s">
        <v>1997</v>
      </c>
    </row>
    <row r="7875" spans="1:5" x14ac:dyDescent="0.2">
      <c r="A7875">
        <v>7814</v>
      </c>
      <c r="B7875" s="1832">
        <f>'PCTC-OEPP 27-28'!F170</f>
        <v>7002</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489890.41000000003</v>
      </c>
      <c r="D7877" s="2" t="str">
        <f t="shared" si="129"/>
        <v>Error?</v>
      </c>
      <c r="E7877" s="4" t="s">
        <v>1997</v>
      </c>
    </row>
    <row r="7878" spans="1:5" x14ac:dyDescent="0.2">
      <c r="A7878">
        <v>7817</v>
      </c>
      <c r="B7878" s="1832">
        <f>'PCTC-OEPP 27-28'!F176</f>
        <v>2235011.59</v>
      </c>
      <c r="D7878" s="2" t="str">
        <f t="shared" si="129"/>
        <v>Error?</v>
      </c>
      <c r="E7878" s="4" t="s">
        <v>1997</v>
      </c>
    </row>
    <row r="7879" spans="1:5" x14ac:dyDescent="0.2">
      <c r="A7879">
        <v>7818</v>
      </c>
      <c r="B7879" s="1832">
        <f>'PCTC-OEPP 27-28'!F178</f>
        <v>2485590.59</v>
      </c>
      <c r="D7879" s="2" t="str">
        <f t="shared" si="129"/>
        <v>Error?</v>
      </c>
      <c r="E7879" s="4" t="s">
        <v>1997</v>
      </c>
    </row>
    <row r="7880" spans="1:5" x14ac:dyDescent="0.2">
      <c r="A7880">
        <v>7819</v>
      </c>
      <c r="B7880" s="1832">
        <f>'PCTC-OEPP 27-28'!F180</f>
        <v>14786.380666270077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0" t="s">
        <v>1181</v>
      </c>
      <c r="B2" s="2560"/>
      <c r="C2" s="2560"/>
      <c r="D2" s="2560"/>
      <c r="E2" s="2560"/>
      <c r="F2" s="2560"/>
      <c r="G2" s="2560"/>
      <c r="H2" s="2560"/>
      <c r="I2" s="2560"/>
      <c r="J2" s="2560"/>
      <c r="K2" s="2560"/>
      <c r="L2" s="2560"/>
    </row>
    <row r="3" spans="1:29" ht="13.5" customHeight="1" x14ac:dyDescent="0.2">
      <c r="A3" s="2592" t="s">
        <v>1180</v>
      </c>
      <c r="B3" s="2592"/>
      <c r="C3" s="2592"/>
      <c r="D3" s="2592"/>
      <c r="E3" s="2592"/>
      <c r="F3" s="2592"/>
      <c r="G3" s="2592"/>
      <c r="H3" s="2592"/>
      <c r="I3" s="2592"/>
      <c r="J3" s="2592"/>
      <c r="K3" s="2592"/>
      <c r="L3" s="2592"/>
    </row>
    <row r="4" spans="1:29" ht="13.5" customHeight="1" x14ac:dyDescent="0.2">
      <c r="A4" s="2581" t="str">
        <f>"Year Ending June 30, "&amp;'AFR20'!E2</f>
        <v>Year Ending June 30, 2020</v>
      </c>
      <c r="B4" s="2582"/>
      <c r="C4" s="2582"/>
      <c r="D4" s="2582"/>
      <c r="E4" s="2582"/>
      <c r="F4" s="2582"/>
      <c r="G4" s="2582"/>
      <c r="H4" s="2582"/>
      <c r="I4" s="2582"/>
      <c r="J4" s="2582"/>
      <c r="K4" s="2582"/>
      <c r="L4" s="258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3" t="str">
        <f>COVER!A17</f>
        <v xml:space="preserve">  Rankin CSD 98</v>
      </c>
      <c r="B7" s="2584"/>
      <c r="C7" s="2584"/>
      <c r="D7" s="2585"/>
      <c r="E7" s="2586">
        <f>COVER!A13</f>
        <v>53090098002</v>
      </c>
      <c r="F7" s="2587"/>
      <c r="G7" s="2593" t="str">
        <f>COVER!T23</f>
        <v>066-005027</v>
      </c>
      <c r="H7" s="2594"/>
      <c r="I7" s="2594"/>
      <c r="J7" s="2594"/>
      <c r="K7" s="2594"/>
      <c r="L7" s="259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6"/>
      <c r="B9" s="2597"/>
      <c r="C9" s="2597"/>
      <c r="D9" s="2597"/>
      <c r="E9" s="2597"/>
      <c r="F9" s="2598"/>
      <c r="G9" s="2566" t="str">
        <f>COVER!T13</f>
        <v>Gorenz and Associates, Ltd.</v>
      </c>
      <c r="H9" s="2599"/>
      <c r="I9" s="2599"/>
      <c r="J9" s="2599"/>
      <c r="K9" s="2599"/>
      <c r="L9" s="2600"/>
    </row>
    <row r="10" spans="1:29" ht="13.5" customHeight="1" x14ac:dyDescent="0.2">
      <c r="A10" s="2572" t="str">
        <f>COVER!A38</f>
        <v>Matt Gordon</v>
      </c>
      <c r="B10" s="2573"/>
      <c r="C10" s="2573"/>
      <c r="D10" s="2573"/>
      <c r="E10" s="2573"/>
      <c r="F10" s="2574"/>
      <c r="G10" s="2566" t="str">
        <f>COVER!T17</f>
        <v>4200 N Knoxville Ave.</v>
      </c>
      <c r="H10" s="2567"/>
      <c r="I10" s="2567"/>
      <c r="J10" s="2567"/>
      <c r="K10" s="2567"/>
      <c r="L10" s="2568"/>
    </row>
    <row r="11" spans="1:29" ht="13.5" customHeight="1" x14ac:dyDescent="0.2">
      <c r="A11" s="963" t="s">
        <v>1502</v>
      </c>
      <c r="B11" s="964"/>
      <c r="C11" s="965"/>
      <c r="D11" s="970"/>
      <c r="E11" s="965"/>
      <c r="F11" s="969"/>
      <c r="G11" s="2566" t="str">
        <f>COVER!T19</f>
        <v>Peoria</v>
      </c>
      <c r="H11" s="2567"/>
      <c r="I11" s="2567"/>
      <c r="J11" s="2567"/>
      <c r="K11" s="2567"/>
      <c r="L11" s="2568"/>
    </row>
    <row r="12" spans="1:29" ht="13.5" customHeight="1" x14ac:dyDescent="0.2">
      <c r="A12" s="2575" t="s">
        <v>1501</v>
      </c>
      <c r="B12" s="2576"/>
      <c r="C12" s="2576"/>
      <c r="D12" s="2576"/>
      <c r="E12" s="2576"/>
      <c r="F12" s="2577"/>
      <c r="G12" s="2569"/>
      <c r="H12" s="2570"/>
      <c r="I12" s="2570"/>
      <c r="J12" s="2570"/>
      <c r="K12" s="2570"/>
      <c r="L12" s="2571"/>
    </row>
    <row r="13" spans="1:29" ht="13.5" customHeight="1" x14ac:dyDescent="0.2">
      <c r="A13" s="2566"/>
      <c r="B13" s="2567"/>
      <c r="C13" s="2567"/>
      <c r="D13" s="2567"/>
      <c r="E13" s="2567"/>
      <c r="F13" s="2568"/>
      <c r="G13" s="2561" t="s">
        <v>1503</v>
      </c>
      <c r="H13" s="2562"/>
      <c r="I13" s="2578" t="str">
        <f>COVER!T25</f>
        <v>rrumbold@gorenzcpa.com</v>
      </c>
      <c r="J13" s="2579"/>
      <c r="K13" s="2579"/>
      <c r="L13" s="2580"/>
    </row>
    <row r="14" spans="1:29" ht="13.5" customHeight="1" x14ac:dyDescent="0.2">
      <c r="A14" s="2566" t="str">
        <f>COVER!A19</f>
        <v>13716 South 5th Street</v>
      </c>
      <c r="B14" s="2567"/>
      <c r="C14" s="2567"/>
      <c r="D14" s="2567"/>
      <c r="E14" s="2567"/>
      <c r="F14" s="2568"/>
      <c r="G14" s="974" t="s">
        <v>1175</v>
      </c>
      <c r="H14" s="972"/>
      <c r="I14" s="972"/>
      <c r="J14" s="972"/>
      <c r="K14" s="972"/>
      <c r="L14" s="973"/>
    </row>
    <row r="15" spans="1:29" ht="13.5" customHeight="1" x14ac:dyDescent="0.2">
      <c r="A15" s="2566" t="str">
        <f>COVER!A21</f>
        <v>Pekin</v>
      </c>
      <c r="B15" s="2567"/>
      <c r="C15" s="2567"/>
      <c r="D15" s="2567"/>
      <c r="E15" s="2567"/>
      <c r="F15" s="2568"/>
      <c r="G15" s="2563" t="str">
        <f>COVER!T15</f>
        <v>Russell J. Rumbold II, CPA</v>
      </c>
      <c r="H15" s="2564"/>
      <c r="I15" s="2564"/>
      <c r="J15" s="2564"/>
      <c r="K15" s="2564"/>
      <c r="L15" s="2565"/>
    </row>
    <row r="16" spans="1:29" ht="12.2" customHeight="1" x14ac:dyDescent="0.2">
      <c r="A16" s="2589">
        <f>COVER!A25</f>
        <v>61554</v>
      </c>
      <c r="B16" s="2590"/>
      <c r="C16" s="2590"/>
      <c r="D16" s="2590"/>
      <c r="E16" s="2590"/>
      <c r="F16" s="2591"/>
      <c r="G16" s="2601"/>
      <c r="H16" s="2602"/>
      <c r="I16" s="2602"/>
      <c r="J16" s="2602"/>
      <c r="K16" s="2602"/>
      <c r="L16" s="2603"/>
    </row>
    <row r="17" spans="1:13" ht="12.2" customHeight="1" x14ac:dyDescent="0.2">
      <c r="A17" s="2604"/>
      <c r="B17" s="2590"/>
      <c r="C17" s="2590"/>
      <c r="D17" s="2590"/>
      <c r="E17" s="2590"/>
      <c r="F17" s="2591"/>
      <c r="G17" s="974" t="s">
        <v>1174</v>
      </c>
      <c r="H17" s="972"/>
      <c r="I17" s="972"/>
      <c r="J17" s="972"/>
      <c r="K17" s="976" t="s">
        <v>1173</v>
      </c>
      <c r="L17" s="969"/>
      <c r="M17" s="962"/>
    </row>
    <row r="18" spans="1:13" ht="12.2" customHeight="1" x14ac:dyDescent="0.2">
      <c r="A18" s="2572"/>
      <c r="B18" s="2573"/>
      <c r="C18" s="2573"/>
      <c r="D18" s="2573"/>
      <c r="E18" s="2573"/>
      <c r="F18" s="2574"/>
      <c r="G18" s="2583" t="str">
        <f>COVER!T21</f>
        <v>309-685-7621</v>
      </c>
      <c r="H18" s="2584"/>
      <c r="I18" s="2584"/>
      <c r="J18" s="2584"/>
      <c r="K18" s="2583" t="str">
        <f>COVER!X21</f>
        <v>309-685-4758</v>
      </c>
      <c r="L18" s="258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5" t="str">
        <f>'Single Audit Cover'!A7</f>
        <v xml:space="preserve">  Rankin CSD 98</v>
      </c>
      <c r="B1" s="2606"/>
      <c r="C1" s="2606"/>
      <c r="D1" s="2606"/>
    </row>
    <row r="2" spans="1:11" s="991" customFormat="1" ht="12.75" x14ac:dyDescent="0.2">
      <c r="A2" s="2607">
        <f>'Single Audit Cover'!E7</f>
        <v>53090098002</v>
      </c>
      <c r="B2" s="2608"/>
      <c r="C2" s="2608"/>
      <c r="D2" s="2608"/>
    </row>
    <row r="3" spans="1:11" s="991" customFormat="1" ht="12.75" x14ac:dyDescent="0.2">
      <c r="A3" s="2605" t="s">
        <v>1496</v>
      </c>
      <c r="B3" s="2606"/>
      <c r="C3" s="2606"/>
      <c r="D3" s="260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0" t="str">
        <f>'Single Audit Cover'!A7</f>
        <v xml:space="preserve">  Rankin CSD 98</v>
      </c>
      <c r="B1" s="2610"/>
      <c r="C1" s="2610"/>
      <c r="D1" s="2610"/>
      <c r="E1" s="2610"/>
    </row>
    <row r="2" spans="1:5" x14ac:dyDescent="0.2">
      <c r="A2" s="2611">
        <f>'Single Audit Cover'!E7</f>
        <v>53090098002</v>
      </c>
      <c r="B2" s="2611"/>
      <c r="C2" s="2611"/>
      <c r="D2" s="2611"/>
      <c r="E2" s="2611"/>
    </row>
    <row r="3" spans="1:5" ht="4.5" customHeight="1" x14ac:dyDescent="0.2"/>
    <row r="4" spans="1:5" x14ac:dyDescent="0.2">
      <c r="A4" s="2610" t="s">
        <v>1234</v>
      </c>
      <c r="B4" s="2610"/>
      <c r="C4" s="2610"/>
      <c r="D4" s="2610"/>
      <c r="E4" s="2610"/>
    </row>
    <row r="5" spans="1:5" x14ac:dyDescent="0.2">
      <c r="A5" s="2613" t="str">
        <f>'Single Audit Cover'!A4</f>
        <v>Year Ending June 30, 2020</v>
      </c>
      <c r="B5" s="2613"/>
      <c r="C5" s="2613"/>
      <c r="D5" s="2613"/>
      <c r="E5" s="2613"/>
    </row>
    <row r="6" spans="1:5" x14ac:dyDescent="0.2">
      <c r="A6" s="2610" t="s">
        <v>1233</v>
      </c>
      <c r="B6" s="2610"/>
      <c r="C6" s="2610"/>
      <c r="D6" s="2610"/>
      <c r="E6" s="2610"/>
    </row>
    <row r="8" spans="1:5" x14ac:dyDescent="0.2">
      <c r="A8" s="1036" t="s">
        <v>1232</v>
      </c>
    </row>
    <row r="10" spans="1:5" x14ac:dyDescent="0.2">
      <c r="A10" s="1037" t="s">
        <v>1231</v>
      </c>
      <c r="B10" s="1038" t="s">
        <v>1230</v>
      </c>
      <c r="C10" s="1038"/>
      <c r="D10" s="1039">
        <f>SUM('Acct Summary 7-8'!C7:K7)</f>
        <v>234148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3443</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-7002</v>
      </c>
    </row>
    <row r="19" spans="1:4" ht="13.5" thickBot="1" x14ac:dyDescent="0.25">
      <c r="A19" s="1041" t="s">
        <v>1224</v>
      </c>
      <c r="D19" s="1042">
        <f>SUM(D10:D17)</f>
        <v>230589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2"/>
      <c r="B24" s="2612"/>
      <c r="D24" s="1044"/>
    </row>
    <row r="25" spans="1:4" x14ac:dyDescent="0.2">
      <c r="A25" s="2609"/>
      <c r="B25" s="2609"/>
      <c r="D25" s="1044"/>
    </row>
    <row r="26" spans="1:4" x14ac:dyDescent="0.2">
      <c r="A26" s="2609"/>
      <c r="B26" s="2609"/>
      <c r="D26" s="1044"/>
    </row>
    <row r="27" spans="1:4" x14ac:dyDescent="0.2">
      <c r="A27" s="2609"/>
      <c r="B27" s="2609"/>
      <c r="D27" s="1044"/>
    </row>
    <row r="28" spans="1:4" x14ac:dyDescent="0.2">
      <c r="A28" s="2609"/>
      <c r="B28" s="2609"/>
      <c r="D28" s="1044"/>
    </row>
    <row r="29" spans="1:4" x14ac:dyDescent="0.2">
      <c r="A29" s="2609"/>
      <c r="B29" s="2609"/>
      <c r="D29" s="1044"/>
    </row>
    <row r="30" spans="1:4" x14ac:dyDescent="0.2">
      <c r="A30" s="2609"/>
      <c r="B30" s="2609"/>
      <c r="D30" s="1044"/>
    </row>
    <row r="32" spans="1:4" x14ac:dyDescent="0.2">
      <c r="A32" s="1036" t="s">
        <v>1222</v>
      </c>
      <c r="D32" s="1039">
        <f>SUM(D19:D30)</f>
        <v>230589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9"/>
      <c r="B40" s="2609"/>
      <c r="D40" s="1044"/>
    </row>
    <row r="41" spans="1:4" x14ac:dyDescent="0.2">
      <c r="A41" s="2609"/>
      <c r="B41" s="2609"/>
      <c r="D41" s="1047"/>
    </row>
    <row r="42" spans="1:4" x14ac:dyDescent="0.2">
      <c r="A42" s="2609"/>
      <c r="B42" s="2609"/>
      <c r="D42" s="1047"/>
    </row>
    <row r="43" spans="1:4" x14ac:dyDescent="0.2">
      <c r="A43" s="2609"/>
      <c r="B43" s="2609"/>
      <c r="D43" s="1047"/>
    </row>
    <row r="44" spans="1:4" x14ac:dyDescent="0.2">
      <c r="A44" s="2609"/>
      <c r="B44" s="2609"/>
      <c r="D44" s="1047"/>
    </row>
    <row r="45" spans="1:4" x14ac:dyDescent="0.2">
      <c r="A45" s="2609"/>
      <c r="B45" s="2609"/>
      <c r="D45" s="1047"/>
    </row>
    <row r="47" spans="1:4" x14ac:dyDescent="0.2">
      <c r="B47" s="1048" t="s">
        <v>1216</v>
      </c>
      <c r="C47" s="1048"/>
      <c r="D47" s="1049">
        <f>SUM(D35:D45)</f>
        <v>0</v>
      </c>
    </row>
    <row r="49" spans="2:4" x14ac:dyDescent="0.2">
      <c r="B49" s="1048" t="s">
        <v>1215</v>
      </c>
      <c r="C49" s="1048"/>
      <c r="D49" s="1049">
        <f>D32-D47</f>
        <v>230589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2" t="str">
        <f>'Single Audit Cover'!A7</f>
        <v xml:space="preserve">  Rankin CSD 98</v>
      </c>
      <c r="C1" s="2614"/>
      <c r="D1" s="2614"/>
      <c r="E1" s="2614"/>
      <c r="F1" s="2614"/>
      <c r="G1" s="2614"/>
      <c r="H1" s="2614"/>
      <c r="I1" s="2614"/>
      <c r="J1" s="2614"/>
      <c r="K1" s="2614"/>
      <c r="L1" s="2614"/>
      <c r="M1" s="2614"/>
    </row>
    <row r="2" spans="2:14" ht="15" x14ac:dyDescent="0.2">
      <c r="B2" s="2615">
        <f>'Single Audit Cover'!E7</f>
        <v>53090098002</v>
      </c>
      <c r="C2" s="2615"/>
      <c r="D2" s="2615"/>
      <c r="E2" s="2615"/>
      <c r="F2" s="2615"/>
      <c r="G2" s="2615"/>
      <c r="H2" s="2615"/>
      <c r="I2" s="2615"/>
      <c r="J2" s="2615"/>
      <c r="K2" s="2615"/>
      <c r="L2" s="2615"/>
      <c r="M2" s="2615"/>
      <c r="N2" s="1078"/>
    </row>
    <row r="3" spans="2:14" ht="15" x14ac:dyDescent="0.2">
      <c r="B3" s="2616" t="s">
        <v>1208</v>
      </c>
      <c r="C3" s="2616"/>
      <c r="D3" s="2616"/>
      <c r="E3" s="2616"/>
      <c r="F3" s="2616"/>
      <c r="G3" s="2616"/>
      <c r="H3" s="2616"/>
      <c r="I3" s="2616"/>
      <c r="J3" s="2616"/>
      <c r="K3" s="2616"/>
      <c r="L3" s="2616"/>
      <c r="M3" s="2616"/>
      <c r="N3" s="1078"/>
    </row>
    <row r="4" spans="2:14" ht="15" x14ac:dyDescent="0.2">
      <c r="B4" s="2617" t="str">
        <f>'Single Audit Cover'!A4</f>
        <v>Year Ending June 30, 2020</v>
      </c>
      <c r="C4" s="2617"/>
      <c r="D4" s="2617"/>
      <c r="E4" s="2617"/>
      <c r="F4" s="2617"/>
      <c r="G4" s="2617"/>
      <c r="H4" s="2617"/>
      <c r="I4" s="2617"/>
      <c r="J4" s="2617"/>
      <c r="K4" s="2617"/>
      <c r="L4" s="2617"/>
      <c r="M4" s="2617"/>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2058</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7" t="str">
        <f>'Single Audit Cover'!A7</f>
        <v xml:space="preserve">  Rankin CSD 98</v>
      </c>
      <c r="B1" s="2627"/>
      <c r="C1" s="2627"/>
      <c r="D1" s="2627"/>
      <c r="E1" s="2627"/>
      <c r="F1" s="2627"/>
    </row>
    <row r="2" spans="1:7" ht="13.5" customHeight="1" x14ac:dyDescent="0.2">
      <c r="A2" s="2615">
        <f>'Single Audit Cover'!E7</f>
        <v>53090098002</v>
      </c>
      <c r="B2" s="2615"/>
      <c r="C2" s="2615"/>
      <c r="D2" s="2615"/>
      <c r="E2" s="2615"/>
      <c r="F2" s="2615"/>
      <c r="G2" s="1051"/>
    </row>
    <row r="3" spans="1:7" ht="15.75" customHeight="1" x14ac:dyDescent="0.2">
      <c r="A3" s="2628" t="s">
        <v>1260</v>
      </c>
      <c r="B3" s="2628"/>
      <c r="C3" s="2628"/>
      <c r="D3" s="2628"/>
      <c r="E3" s="2628"/>
      <c r="F3" s="2628"/>
    </row>
    <row r="4" spans="1:7" ht="13.5" customHeight="1" x14ac:dyDescent="0.2">
      <c r="A4" s="2629" t="str">
        <f>'Single Audit Cover'!A4</f>
        <v>Year Ending June 30, 2020</v>
      </c>
      <c r="B4" s="2629"/>
      <c r="C4" s="2629"/>
      <c r="D4" s="2629"/>
      <c r="E4" s="2629"/>
      <c r="F4" s="2629"/>
    </row>
    <row r="5" spans="1:7" ht="8.25" customHeight="1" x14ac:dyDescent="0.2">
      <c r="C5" s="295"/>
      <c r="D5" s="295"/>
    </row>
    <row r="6" spans="1:7" ht="13.5" customHeight="1" x14ac:dyDescent="0.2">
      <c r="A6" s="1052" t="s">
        <v>1705</v>
      </c>
      <c r="C6" s="295"/>
      <c r="D6" s="295"/>
    </row>
    <row r="7" spans="1:7" ht="60.95" customHeight="1" x14ac:dyDescent="0.2">
      <c r="A7" s="2626" t="s">
        <v>1706</v>
      </c>
      <c r="B7" s="2626"/>
      <c r="C7" s="2626"/>
      <c r="D7" s="2626"/>
      <c r="E7" s="2626"/>
      <c r="F7" s="262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6" t="s">
        <v>1708</v>
      </c>
      <c r="B13" s="2626"/>
      <c r="C13" s="2626"/>
      <c r="D13" s="2626"/>
      <c r="E13" s="2626"/>
      <c r="F13" s="2626"/>
    </row>
    <row r="14" spans="1:7" ht="9.75" customHeight="1" x14ac:dyDescent="0.2">
      <c r="C14" s="1036"/>
      <c r="D14" s="1036"/>
    </row>
    <row r="15" spans="1:7" ht="13.5" customHeight="1" x14ac:dyDescent="0.2">
      <c r="C15" s="1476" t="s">
        <v>1259</v>
      </c>
      <c r="D15" s="2624" t="s">
        <v>1258</v>
      </c>
      <c r="E15" s="2624"/>
      <c r="F15" s="2624"/>
    </row>
    <row r="16" spans="1:7" ht="13.5" customHeight="1" x14ac:dyDescent="0.2">
      <c r="A16" s="1058"/>
      <c r="B16" s="1052" t="s">
        <v>1257</v>
      </c>
      <c r="C16" s="1476" t="s">
        <v>1256</v>
      </c>
      <c r="D16" s="2625" t="s">
        <v>1571</v>
      </c>
      <c r="E16" s="2625"/>
      <c r="F16" s="2625"/>
    </row>
    <row r="17" spans="1:6" ht="20.45" customHeight="1" x14ac:dyDescent="0.2">
      <c r="A17" s="1059"/>
      <c r="B17" s="1060"/>
      <c r="C17" s="1061"/>
      <c r="D17" s="2619"/>
      <c r="E17" s="2619"/>
      <c r="F17" s="2619"/>
    </row>
    <row r="18" spans="1:6" ht="20.65" customHeight="1" x14ac:dyDescent="0.2">
      <c r="A18" s="1059"/>
      <c r="B18" s="1060"/>
      <c r="C18" s="1061"/>
      <c r="D18" s="2619"/>
      <c r="E18" s="2619"/>
      <c r="F18" s="2619"/>
    </row>
    <row r="19" spans="1:6" ht="20.65" customHeight="1" x14ac:dyDescent="0.2">
      <c r="A19" s="1059"/>
      <c r="B19" s="1060"/>
      <c r="C19" s="1061"/>
      <c r="D19" s="2619"/>
      <c r="E19" s="2619"/>
      <c r="F19" s="2619"/>
    </row>
    <row r="20" spans="1:6" ht="20.65" customHeight="1" x14ac:dyDescent="0.2">
      <c r="A20" s="1059"/>
      <c r="B20" s="1060"/>
      <c r="C20" s="1061"/>
      <c r="D20" s="2619"/>
      <c r="E20" s="2619"/>
      <c r="F20" s="2619"/>
    </row>
    <row r="21" spans="1:6" ht="20.65" customHeight="1" x14ac:dyDescent="0.2">
      <c r="A21" s="1059"/>
      <c r="B21" s="1060"/>
      <c r="C21" s="1061"/>
      <c r="D21" s="2619"/>
      <c r="E21" s="2619"/>
      <c r="F21" s="2619"/>
    </row>
    <row r="22" spans="1:6" ht="20.65" customHeight="1" x14ac:dyDescent="0.2">
      <c r="A22" s="1059"/>
      <c r="B22" s="1060"/>
      <c r="C22" s="1061"/>
      <c r="D22" s="2619"/>
      <c r="E22" s="2619"/>
      <c r="F22" s="2619"/>
    </row>
    <row r="23" spans="1:6" ht="20.65" customHeight="1" x14ac:dyDescent="0.2">
      <c r="A23" s="1059"/>
      <c r="B23" s="1060"/>
      <c r="C23" s="1061"/>
      <c r="D23" s="2619"/>
      <c r="E23" s="2619"/>
      <c r="F23" s="2619"/>
    </row>
    <row r="24" spans="1:6" ht="20.65" customHeight="1" x14ac:dyDescent="0.2">
      <c r="A24" s="1059"/>
      <c r="B24" s="1060"/>
      <c r="C24" s="1061"/>
      <c r="D24" s="2619"/>
      <c r="E24" s="2619"/>
      <c r="F24" s="2619"/>
    </row>
    <row r="25" spans="1:6" ht="20.65" customHeight="1" x14ac:dyDescent="0.2">
      <c r="A25" s="1059"/>
      <c r="B25" s="1060"/>
      <c r="C25" s="1061"/>
      <c r="D25" s="2619"/>
      <c r="E25" s="2619"/>
      <c r="F25" s="2619"/>
    </row>
    <row r="26" spans="1:6" ht="20.65" customHeight="1" x14ac:dyDescent="0.2">
      <c r="A26" s="1059"/>
      <c r="B26" s="1060"/>
      <c r="C26" s="1061"/>
      <c r="D26" s="2619"/>
      <c r="E26" s="2619"/>
      <c r="F26" s="2619"/>
    </row>
    <row r="27" spans="1:6" ht="20.65" customHeight="1" x14ac:dyDescent="0.2">
      <c r="A27" s="1059"/>
      <c r="B27" s="1060"/>
      <c r="C27" s="1061"/>
      <c r="D27" s="2619"/>
      <c r="E27" s="2619"/>
      <c r="F27" s="2619"/>
    </row>
    <row r="28" spans="1:6" ht="20.65" customHeight="1" x14ac:dyDescent="0.2">
      <c r="A28" s="1059"/>
      <c r="B28" s="1060"/>
      <c r="C28" s="1061"/>
      <c r="D28" s="2619"/>
      <c r="E28" s="2619"/>
      <c r="F28" s="2619"/>
    </row>
    <row r="29" spans="1:6" ht="20.65" customHeight="1" x14ac:dyDescent="0.2">
      <c r="A29" s="1059"/>
      <c r="B29" s="1060"/>
      <c r="C29" s="1061"/>
      <c r="D29" s="2619"/>
      <c r="E29" s="2619"/>
      <c r="F29" s="261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0" t="s">
        <v>1709</v>
      </c>
      <c r="B32" s="2620"/>
      <c r="C32" s="2620"/>
      <c r="D32" s="2620"/>
      <c r="E32" s="2620"/>
      <c r="F32" s="2620"/>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621">
        <f>+C33+C34</f>
        <v>0</v>
      </c>
      <c r="F34" s="262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3" t="s">
        <v>1573</v>
      </c>
      <c r="C49" s="2623"/>
      <c r="D49" s="2623"/>
      <c r="E49" s="1168"/>
    </row>
    <row r="50" spans="1:5" s="1076" customFormat="1" ht="3.75" customHeight="1" x14ac:dyDescent="0.2">
      <c r="A50" s="1075"/>
      <c r="B50" s="1475"/>
      <c r="C50" s="1475"/>
      <c r="D50" s="1475"/>
      <c r="E50" s="1168"/>
    </row>
    <row r="51" spans="1:5" s="1076" customFormat="1" ht="20.25" customHeight="1" x14ac:dyDescent="0.2">
      <c r="A51" s="1077">
        <v>6</v>
      </c>
      <c r="B51" s="2618" t="s">
        <v>1534</v>
      </c>
      <c r="C51" s="2618"/>
      <c r="D51" s="2618"/>
    </row>
    <row r="52" spans="1:5" ht="14.25" customHeight="1" x14ac:dyDescent="0.2">
      <c r="A52" s="1077"/>
      <c r="B52" s="2618"/>
      <c r="C52" s="2618"/>
      <c r="D52" s="261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2" t="s">
        <v>1158</v>
      </c>
      <c r="B2" s="2202"/>
      <c r="C2" s="2202"/>
      <c r="D2" s="2202"/>
      <c r="E2" s="2202"/>
      <c r="F2" s="2202"/>
      <c r="G2" s="2202"/>
      <c r="H2" s="2202"/>
      <c r="I2" s="2202"/>
      <c r="J2" s="220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6" t="s">
        <v>1616</v>
      </c>
      <c r="B35" s="2217"/>
      <c r="C35" s="2217"/>
      <c r="D35" s="2217"/>
      <c r="E35" s="2218"/>
      <c r="F35" s="2218"/>
      <c r="G35" s="2218"/>
      <c r="H35" s="2218"/>
      <c r="I35" s="22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6" t="s">
        <v>310</v>
      </c>
      <c r="B47" s="2219"/>
      <c r="C47" s="2219"/>
      <c r="D47" s="2219"/>
      <c r="E47" s="2220"/>
      <c r="F47" s="2220"/>
      <c r="G47" s="2220"/>
      <c r="H47" s="2220"/>
      <c r="I47" s="22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2050</v>
      </c>
      <c r="C53" s="174">
        <v>22</v>
      </c>
      <c r="D53" s="242" t="s">
        <v>1445</v>
      </c>
      <c r="E53" s="243"/>
      <c r="F53" s="244"/>
      <c r="G53" s="244" t="s">
        <v>1444</v>
      </c>
      <c r="H53" s="245">
        <v>35855</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3"/>
      <c r="C57" s="2224"/>
      <c r="D57" s="2224"/>
      <c r="E57" s="2224"/>
      <c r="F57" s="2224"/>
      <c r="G57" s="2224"/>
      <c r="H57" s="2224"/>
      <c r="I57" s="2224"/>
      <c r="J57" s="2225"/>
    </row>
    <row r="58" spans="1:10" s="176" customFormat="1" x14ac:dyDescent="0.2">
      <c r="A58" s="248"/>
      <c r="B58" s="2226"/>
      <c r="C58" s="2227"/>
      <c r="D58" s="2227"/>
      <c r="E58" s="2227"/>
      <c r="F58" s="2227"/>
      <c r="G58" s="2227"/>
      <c r="H58" s="2227"/>
      <c r="I58" s="2227"/>
      <c r="J58" s="2228"/>
    </row>
    <row r="59" spans="1:10" s="176" customFormat="1" x14ac:dyDescent="0.2">
      <c r="A59" s="248"/>
      <c r="B59" s="2226"/>
      <c r="C59" s="2227"/>
      <c r="D59" s="2227"/>
      <c r="E59" s="2227"/>
      <c r="F59" s="2227"/>
      <c r="G59" s="2227"/>
      <c r="H59" s="2227"/>
      <c r="I59" s="2227"/>
      <c r="J59" s="2228"/>
    </row>
    <row r="60" spans="1:10" s="176" customFormat="1" x14ac:dyDescent="0.2">
      <c r="A60" s="248"/>
      <c r="B60" s="2226"/>
      <c r="C60" s="2227"/>
      <c r="D60" s="2227"/>
      <c r="E60" s="2227"/>
      <c r="F60" s="2227"/>
      <c r="G60" s="2227"/>
      <c r="H60" s="2227"/>
      <c r="I60" s="2227"/>
      <c r="J60" s="2228"/>
    </row>
    <row r="61" spans="1:10" s="176" customFormat="1" x14ac:dyDescent="0.2">
      <c r="A61" s="248"/>
      <c r="B61" s="2226"/>
      <c r="C61" s="2227"/>
      <c r="D61" s="2227"/>
      <c r="E61" s="2227"/>
      <c r="F61" s="2227"/>
      <c r="G61" s="2227"/>
      <c r="H61" s="2227"/>
      <c r="I61" s="2227"/>
      <c r="J61" s="2228"/>
    </row>
    <row r="62" spans="1:10" s="176" customFormat="1" x14ac:dyDescent="0.2">
      <c r="A62" s="248"/>
      <c r="B62" s="2226"/>
      <c r="C62" s="2227"/>
      <c r="D62" s="2227"/>
      <c r="E62" s="2227"/>
      <c r="F62" s="2227"/>
      <c r="G62" s="2227"/>
      <c r="H62" s="2227"/>
      <c r="I62" s="2227"/>
      <c r="J62" s="2228"/>
    </row>
    <row r="63" spans="1:10" s="176" customFormat="1" x14ac:dyDescent="0.2">
      <c r="A63" s="248"/>
      <c r="B63" s="2226"/>
      <c r="C63" s="2227"/>
      <c r="D63" s="2227"/>
      <c r="E63" s="2227"/>
      <c r="F63" s="2227"/>
      <c r="G63" s="2227"/>
      <c r="H63" s="2227"/>
      <c r="I63" s="2227"/>
      <c r="J63" s="2228"/>
    </row>
    <row r="64" spans="1:10" s="176" customFormat="1" x14ac:dyDescent="0.2">
      <c r="A64" s="248"/>
      <c r="B64" s="2226"/>
      <c r="C64" s="2227"/>
      <c r="D64" s="2227"/>
      <c r="E64" s="2227"/>
      <c r="F64" s="2227"/>
      <c r="G64" s="2227"/>
      <c r="H64" s="2227"/>
      <c r="I64" s="2227"/>
      <c r="J64" s="2228"/>
    </row>
    <row r="65" spans="1:11" s="176" customFormat="1" x14ac:dyDescent="0.2">
      <c r="A65" s="248"/>
      <c r="B65" s="2226"/>
      <c r="C65" s="2227"/>
      <c r="D65" s="2227"/>
      <c r="E65" s="2227"/>
      <c r="F65" s="2227"/>
      <c r="G65" s="2227"/>
      <c r="H65" s="2227"/>
      <c r="I65" s="2227"/>
      <c r="J65" s="2228"/>
    </row>
    <row r="66" spans="1:11" s="176" customFormat="1" x14ac:dyDescent="0.2">
      <c r="A66" s="248"/>
      <c r="B66" s="2226"/>
      <c r="C66" s="2227"/>
      <c r="D66" s="2227"/>
      <c r="E66" s="2227"/>
      <c r="F66" s="2227"/>
      <c r="G66" s="2227"/>
      <c r="H66" s="2227"/>
      <c r="I66" s="2227"/>
      <c r="J66" s="2228"/>
    </row>
    <row r="67" spans="1:11" s="176" customFormat="1" ht="9" customHeight="1" x14ac:dyDescent="0.2">
      <c r="A67" s="249"/>
      <c r="B67" s="2229"/>
      <c r="C67" s="2230"/>
      <c r="D67" s="2230"/>
      <c r="E67" s="2230"/>
      <c r="F67" s="2230"/>
      <c r="G67" s="2230"/>
      <c r="H67" s="2230"/>
      <c r="I67" s="2230"/>
      <c r="J67" s="22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6" t="s">
        <v>1312</v>
      </c>
      <c r="B70" s="2219"/>
      <c r="C70" s="2219"/>
      <c r="D70" s="2219"/>
      <c r="E70" s="2220"/>
      <c r="F70" s="2220"/>
      <c r="G70" s="2220"/>
      <c r="H70" s="2220"/>
      <c r="I70" s="222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1" t="s">
        <v>1309</v>
      </c>
      <c r="B83" s="2221"/>
      <c r="C83" s="2221"/>
      <c r="D83" s="222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2" t="s">
        <v>1988</v>
      </c>
      <c r="B85" s="2232"/>
      <c r="C85" s="2232"/>
      <c r="D85" s="223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4" t="s">
        <v>1988</v>
      </c>
      <c r="B88" s="2235"/>
      <c r="C88" s="2235"/>
      <c r="D88" s="223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3" t="s">
        <v>2098</v>
      </c>
      <c r="C102" s="2204"/>
      <c r="D102" s="2204"/>
      <c r="E102" s="2204"/>
      <c r="F102" s="2204"/>
      <c r="G102" s="2204"/>
      <c r="H102" s="2204"/>
      <c r="I102" s="2205"/>
    </row>
    <row r="103" spans="1:9" s="176" customFormat="1" ht="11.25" customHeight="1" x14ac:dyDescent="0.2">
      <c r="A103" s="294"/>
      <c r="B103" s="2206"/>
      <c r="C103" s="2207"/>
      <c r="D103" s="2207"/>
      <c r="E103" s="2207"/>
      <c r="F103" s="2207"/>
      <c r="G103" s="2207"/>
      <c r="H103" s="2207"/>
      <c r="I103" s="2208"/>
    </row>
    <row r="104" spans="1:9" s="176" customFormat="1" ht="11.25" customHeight="1" x14ac:dyDescent="0.2">
      <c r="A104" s="294"/>
      <c r="B104" s="2206"/>
      <c r="C104" s="2207"/>
      <c r="D104" s="2207"/>
      <c r="E104" s="2207"/>
      <c r="F104" s="2207"/>
      <c r="G104" s="2207"/>
      <c r="H104" s="2207"/>
      <c r="I104" s="2208"/>
    </row>
    <row r="105" spans="1:9" s="176" customFormat="1" x14ac:dyDescent="0.2">
      <c r="A105" s="294"/>
      <c r="B105" s="2206"/>
      <c r="C105" s="2207"/>
      <c r="D105" s="2207"/>
      <c r="E105" s="2207"/>
      <c r="F105" s="2207"/>
      <c r="G105" s="2207"/>
      <c r="H105" s="2207"/>
      <c r="I105" s="2208"/>
    </row>
    <row r="106" spans="1:9" s="176" customFormat="1" ht="11.25" customHeight="1" x14ac:dyDescent="0.2">
      <c r="A106" s="294"/>
      <c r="B106" s="2206"/>
      <c r="C106" s="2207"/>
      <c r="D106" s="2207"/>
      <c r="E106" s="2207"/>
      <c r="F106" s="2207"/>
      <c r="G106" s="2207"/>
      <c r="H106" s="2207"/>
      <c r="I106" s="2208"/>
    </row>
    <row r="107" spans="1:9" s="176" customFormat="1" ht="11.25" customHeight="1" x14ac:dyDescent="0.2">
      <c r="A107" s="294"/>
      <c r="B107" s="2206"/>
      <c r="C107" s="2207"/>
      <c r="D107" s="2207"/>
      <c r="E107" s="2207"/>
      <c r="F107" s="2207"/>
      <c r="G107" s="2207"/>
      <c r="H107" s="2207"/>
      <c r="I107" s="2208"/>
    </row>
    <row r="108" spans="1:9" s="176" customFormat="1" ht="11.25" customHeight="1" x14ac:dyDescent="0.2">
      <c r="A108" s="294"/>
      <c r="B108" s="2206"/>
      <c r="C108" s="2207"/>
      <c r="D108" s="2207"/>
      <c r="E108" s="2207"/>
      <c r="F108" s="2207"/>
      <c r="G108" s="2207"/>
      <c r="H108" s="2207"/>
      <c r="I108" s="2208"/>
    </row>
    <row r="109" spans="1:9" s="176" customFormat="1" ht="11.25" customHeight="1" x14ac:dyDescent="0.2">
      <c r="A109" s="294"/>
      <c r="B109" s="2206"/>
      <c r="C109" s="2207"/>
      <c r="D109" s="2207"/>
      <c r="E109" s="2207"/>
      <c r="F109" s="2207"/>
      <c r="G109" s="2207"/>
      <c r="H109" s="2207"/>
      <c r="I109" s="2208"/>
    </row>
    <row r="110" spans="1:9" s="176" customFormat="1" ht="11.25" customHeight="1" x14ac:dyDescent="0.2">
      <c r="A110" s="294"/>
      <c r="B110" s="2206"/>
      <c r="C110" s="2207"/>
      <c r="D110" s="2207"/>
      <c r="E110" s="2207"/>
      <c r="F110" s="2207"/>
      <c r="G110" s="2207"/>
      <c r="H110" s="2207"/>
      <c r="I110" s="2208"/>
    </row>
    <row r="111" spans="1:9" s="176" customFormat="1" ht="11.25" customHeight="1" x14ac:dyDescent="0.2">
      <c r="A111" s="294"/>
      <c r="B111" s="2206"/>
      <c r="C111" s="2207"/>
      <c r="D111" s="2207"/>
      <c r="E111" s="2207"/>
      <c r="F111" s="2207"/>
      <c r="G111" s="2207"/>
      <c r="H111" s="2207"/>
      <c r="I111" s="2208"/>
    </row>
    <row r="112" spans="1:9" s="176" customFormat="1" ht="11.25" customHeight="1" x14ac:dyDescent="0.2">
      <c r="A112" s="294"/>
      <c r="B112" s="2209"/>
      <c r="C112" s="2210"/>
      <c r="D112" s="2210"/>
      <c r="E112" s="2210"/>
      <c r="F112" s="2210"/>
      <c r="G112" s="2210"/>
      <c r="H112" s="2210"/>
      <c r="I112" s="22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2" t="s">
        <v>2051</v>
      </c>
      <c r="D114" s="221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3" t="s">
        <v>1319</v>
      </c>
      <c r="D117" s="2214"/>
      <c r="E117" s="2215"/>
      <c r="F117" s="2215"/>
      <c r="G117" s="2215"/>
      <c r="H117" s="2215"/>
      <c r="I117" s="282"/>
    </row>
    <row r="118" spans="1:9" s="176" customFormat="1" ht="24" customHeight="1" x14ac:dyDescent="0.2">
      <c r="A118" s="294"/>
      <c r="B118" s="294"/>
      <c r="C118" s="294"/>
      <c r="D118" s="301" t="s">
        <v>2121</v>
      </c>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1" t="str">
        <f>'Single Audit Cover'!A7</f>
        <v xml:space="preserve">  Rankin CSD 98</v>
      </c>
      <c r="C1" s="2642"/>
      <c r="D1" s="2642"/>
      <c r="E1" s="2642"/>
      <c r="F1" s="2642"/>
      <c r="G1" s="2642"/>
      <c r="H1" s="2642"/>
      <c r="I1" s="2642"/>
      <c r="J1" s="1178"/>
    </row>
    <row r="2" spans="2:10" s="295" customFormat="1" ht="12.75" customHeight="1" x14ac:dyDescent="0.2">
      <c r="B2" s="2643">
        <f>'Single Audit Cover'!E7</f>
        <v>53090098002</v>
      </c>
      <c r="C2" s="2644"/>
      <c r="D2" s="2644"/>
      <c r="E2" s="2644"/>
      <c r="F2" s="2644"/>
      <c r="G2" s="2644"/>
      <c r="H2" s="2644"/>
      <c r="I2" s="2644"/>
      <c r="J2" s="1178"/>
    </row>
    <row r="3" spans="2:10" s="295" customFormat="1" ht="12.75" customHeight="1" x14ac:dyDescent="0.2">
      <c r="B3" s="2645" t="s">
        <v>1274</v>
      </c>
      <c r="C3" s="2646"/>
      <c r="D3" s="2646"/>
      <c r="E3" s="2646"/>
      <c r="F3" s="2646"/>
      <c r="G3" s="2646"/>
      <c r="H3" s="2646"/>
      <c r="I3" s="2646"/>
      <c r="J3" s="1179"/>
    </row>
    <row r="4" spans="2:10" s="295" customFormat="1" ht="12.75" customHeight="1" x14ac:dyDescent="0.2">
      <c r="B4" s="2645" t="str">
        <f>'Single Audit Cover'!A4</f>
        <v>Year Ending June 30, 2020</v>
      </c>
      <c r="C4" s="2646"/>
      <c r="D4" s="2646"/>
      <c r="E4" s="2646"/>
      <c r="F4" s="2646"/>
      <c r="G4" s="2646"/>
      <c r="H4" s="2646"/>
      <c r="I4" s="264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5" t="s">
        <v>1273</v>
      </c>
      <c r="C7" s="2646"/>
      <c r="D7" s="2646"/>
      <c r="E7" s="2646"/>
      <c r="F7" s="2646"/>
      <c r="G7" s="2646"/>
      <c r="H7" s="2646"/>
      <c r="I7" s="264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7"/>
      <c r="D11" s="264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8"/>
      <c r="E29" s="2648"/>
      <c r="F29" s="2648"/>
      <c r="G29" s="2648"/>
      <c r="H29" s="2648"/>
      <c r="I29" s="264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9" t="s">
        <v>1728</v>
      </c>
      <c r="D37" s="2650"/>
      <c r="E37" s="2650"/>
      <c r="F37" s="2651"/>
      <c r="G37" s="2649" t="s">
        <v>1575</v>
      </c>
      <c r="H37" s="2650"/>
      <c r="I37" s="2651"/>
    </row>
    <row r="38" spans="2:9" ht="16.5" customHeight="1" x14ac:dyDescent="0.2">
      <c r="B38" s="1200"/>
      <c r="C38" s="2637"/>
      <c r="D38" s="2638"/>
      <c r="E38" s="2638"/>
      <c r="F38" s="2639"/>
      <c r="G38" s="2652"/>
      <c r="H38" s="2653"/>
      <c r="I38" s="2654"/>
    </row>
    <row r="39" spans="2:9" ht="16.5" customHeight="1" x14ac:dyDescent="0.2">
      <c r="B39" s="1200"/>
      <c r="C39" s="2637"/>
      <c r="D39" s="2638"/>
      <c r="E39" s="2638"/>
      <c r="F39" s="2639"/>
      <c r="G39" s="2640"/>
      <c r="H39" s="2640"/>
      <c r="I39" s="2640"/>
    </row>
    <row r="40" spans="2:9" ht="16.5" customHeight="1" x14ac:dyDescent="0.2">
      <c r="B40" s="1200"/>
      <c r="C40" s="2637"/>
      <c r="D40" s="2638"/>
      <c r="E40" s="2638"/>
      <c r="F40" s="2639"/>
      <c r="G40" s="2640"/>
      <c r="H40" s="2640"/>
      <c r="I40" s="2640"/>
    </row>
    <row r="41" spans="2:9" ht="16.5" customHeight="1" x14ac:dyDescent="0.2">
      <c r="B41" s="1200"/>
      <c r="C41" s="2637"/>
      <c r="D41" s="2638"/>
      <c r="E41" s="2638"/>
      <c r="F41" s="2639"/>
      <c r="G41" s="2640"/>
      <c r="H41" s="2640"/>
      <c r="I41" s="2640"/>
    </row>
    <row r="42" spans="2:9" ht="16.5" customHeight="1" x14ac:dyDescent="0.2">
      <c r="B42" s="1200"/>
      <c r="C42" s="2637"/>
      <c r="D42" s="2638"/>
      <c r="E42" s="2638"/>
      <c r="F42" s="2639"/>
      <c r="G42" s="2640"/>
      <c r="H42" s="2640"/>
      <c r="I42" s="2640"/>
    </row>
    <row r="43" spans="2:9" ht="16.5" customHeight="1" x14ac:dyDescent="0.2">
      <c r="B43" s="1200"/>
      <c r="C43" s="2630" t="s">
        <v>1576</v>
      </c>
      <c r="D43" s="2631"/>
      <c r="E43" s="2631"/>
      <c r="F43" s="2632"/>
      <c r="G43" s="2633">
        <f>SUM(G38:I42)</f>
        <v>0</v>
      </c>
      <c r="H43" s="2633"/>
      <c r="I43" s="2633"/>
    </row>
    <row r="44" spans="2:9" ht="12.75" customHeight="1" x14ac:dyDescent="0.2"/>
    <row r="45" spans="2:9" ht="12.75" customHeight="1" x14ac:dyDescent="0.2">
      <c r="B45" s="1918" t="str">
        <f>"Total Federal Expenditures for 7/1/"&amp;MID('AFR20'!E2,3,2)-1&amp;"-6/30/"&amp;MID('AFR20'!E2,3,2)</f>
        <v>Total Federal Expenditures for 7/1/19-6/30/20</v>
      </c>
      <c r="C45" s="1919"/>
      <c r="D45" s="2634">
        <v>0</v>
      </c>
      <c r="E45" s="263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6"/>
      <c r="F49" s="2636"/>
      <c r="G49" s="263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1" t="str">
        <f>'Single Audit Cover'!A7</f>
        <v xml:space="preserve">  Rankin CSD 98</v>
      </c>
      <c r="C1" s="2641"/>
      <c r="D1" s="2641"/>
      <c r="E1" s="2641"/>
      <c r="F1" s="2641"/>
      <c r="G1" s="2641"/>
      <c r="H1" s="2641"/>
      <c r="I1" s="2641"/>
      <c r="J1" s="2641"/>
      <c r="K1" s="2641"/>
      <c r="L1" s="1144"/>
      <c r="M1" s="1144"/>
    </row>
    <row r="2" spans="1:13" ht="12" customHeight="1" x14ac:dyDescent="0.2">
      <c r="B2" s="2643">
        <f>'Single Audit Cover'!E7</f>
        <v>53090098002</v>
      </c>
      <c r="C2" s="2643"/>
      <c r="D2" s="2643"/>
      <c r="E2" s="2643"/>
      <c r="F2" s="2643"/>
      <c r="G2" s="2643"/>
      <c r="H2" s="2643"/>
      <c r="I2" s="2643"/>
      <c r="J2" s="2643"/>
      <c r="K2" s="2643"/>
      <c r="L2" s="1145"/>
      <c r="M2" s="1146"/>
    </row>
    <row r="3" spans="1:13" ht="10.35" customHeight="1" x14ac:dyDescent="0.2">
      <c r="B3" s="2657" t="s">
        <v>1274</v>
      </c>
      <c r="C3" s="2657"/>
      <c r="D3" s="2657"/>
      <c r="E3" s="2657"/>
      <c r="F3" s="2657"/>
      <c r="G3" s="2657"/>
      <c r="H3" s="2657"/>
      <c r="I3" s="2657"/>
      <c r="J3" s="2657"/>
      <c r="K3" s="2657"/>
      <c r="L3" s="1147"/>
      <c r="M3" s="1147"/>
    </row>
    <row r="4" spans="1:13" ht="14.25" customHeight="1" x14ac:dyDescent="0.2">
      <c r="B4" s="2658" t="str">
        <f>'Single Audit Cover'!A4</f>
        <v>Year Ending June 30, 2020</v>
      </c>
      <c r="C4" s="2658"/>
      <c r="D4" s="2658"/>
      <c r="E4" s="2658"/>
      <c r="F4" s="2658"/>
      <c r="G4" s="2658"/>
      <c r="H4" s="2658"/>
      <c r="I4" s="2658"/>
      <c r="J4" s="2658"/>
      <c r="K4" s="265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8" t="s">
        <v>1285</v>
      </c>
      <c r="C7" s="2658"/>
      <c r="D7" s="2659"/>
      <c r="E7" s="2659"/>
      <c r="F7" s="2659"/>
      <c r="G7" s="2659"/>
      <c r="H7" s="2659"/>
      <c r="I7" s="2659"/>
      <c r="J7" s="2659"/>
      <c r="K7" s="265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6"/>
      <c r="C14" s="2656"/>
      <c r="D14" s="2656"/>
      <c r="E14" s="2656"/>
      <c r="F14" s="2656"/>
      <c r="G14" s="2656"/>
      <c r="H14" s="2656"/>
      <c r="I14" s="2656"/>
      <c r="J14" s="2656"/>
      <c r="K14" s="265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6"/>
      <c r="C17" s="2656"/>
      <c r="D17" s="2656"/>
      <c r="E17" s="2656"/>
      <c r="F17" s="2656"/>
      <c r="G17" s="2656"/>
      <c r="H17" s="2656"/>
      <c r="I17" s="2656"/>
      <c r="J17" s="2656"/>
      <c r="K17" s="265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0"/>
      <c r="C20" s="2660"/>
      <c r="D20" s="2656"/>
      <c r="E20" s="2656"/>
      <c r="F20" s="2656"/>
      <c r="G20" s="2656"/>
      <c r="H20" s="2656"/>
      <c r="I20" s="2656"/>
      <c r="J20" s="2656"/>
      <c r="K20" s="265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6"/>
      <c r="C23" s="2656"/>
      <c r="D23" s="2656"/>
      <c r="E23" s="2656"/>
      <c r="F23" s="2656"/>
      <c r="G23" s="2656"/>
      <c r="H23" s="2656"/>
      <c r="I23" s="2656"/>
      <c r="J23" s="2656"/>
      <c r="K23" s="265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6"/>
      <c r="C26" s="2656"/>
      <c r="D26" s="2656"/>
      <c r="E26" s="2656"/>
      <c r="F26" s="2656"/>
      <c r="G26" s="2656"/>
      <c r="H26" s="2656"/>
      <c r="I26" s="2656"/>
      <c r="J26" s="2656"/>
      <c r="K26" s="265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5"/>
      <c r="C29" s="2655"/>
      <c r="D29" s="2656"/>
      <c r="E29" s="2656"/>
      <c r="F29" s="2656"/>
      <c r="G29" s="2656"/>
      <c r="H29" s="2656"/>
      <c r="I29" s="2656"/>
      <c r="J29" s="2656"/>
      <c r="K29" s="265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5"/>
      <c r="C32" s="2655"/>
      <c r="D32" s="2656"/>
      <c r="E32" s="2656"/>
      <c r="F32" s="2656"/>
      <c r="G32" s="2656"/>
      <c r="H32" s="2656"/>
      <c r="I32" s="2656"/>
      <c r="J32" s="2656"/>
      <c r="K32" s="265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4" t="str">
        <f>'Single Audit Cover'!A7</f>
        <v xml:space="preserve">  Rankin CSD 98</v>
      </c>
      <c r="C1" s="2664"/>
      <c r="D1" s="2664"/>
      <c r="E1" s="2664"/>
      <c r="F1" s="2664"/>
      <c r="G1" s="2664"/>
      <c r="H1" s="2664"/>
      <c r="I1" s="2664"/>
      <c r="J1" s="2664"/>
      <c r="K1" s="2664"/>
      <c r="L1" s="1221"/>
    </row>
    <row r="2" spans="1:12" ht="12.75" customHeight="1" x14ac:dyDescent="0.2">
      <c r="B2" s="2665">
        <f>'Single Audit Cover'!E7</f>
        <v>53090098002</v>
      </c>
      <c r="C2" s="2665"/>
      <c r="D2" s="2665"/>
      <c r="E2" s="2665"/>
      <c r="F2" s="2665"/>
      <c r="G2" s="2665"/>
      <c r="H2" s="2665"/>
      <c r="I2" s="2665"/>
      <c r="J2" s="2665"/>
      <c r="K2" s="2665"/>
      <c r="L2" s="1222"/>
    </row>
    <row r="3" spans="1:12" ht="12.75" customHeight="1" x14ac:dyDescent="0.2">
      <c r="B3" s="2657" t="s">
        <v>1274</v>
      </c>
      <c r="C3" s="2657"/>
      <c r="D3" s="2657"/>
      <c r="E3" s="2657"/>
      <c r="F3" s="2657"/>
      <c r="G3" s="2657"/>
      <c r="H3" s="2657"/>
      <c r="I3" s="2657"/>
      <c r="J3" s="2657"/>
      <c r="K3" s="2657"/>
      <c r="L3" s="1147"/>
    </row>
    <row r="4" spans="1:12" ht="12.75" customHeight="1" x14ac:dyDescent="0.2">
      <c r="B4" s="2657" t="str">
        <f>'Single Audit Cover'!A4</f>
        <v>Year Ending June 30, 2020</v>
      </c>
      <c r="C4" s="2657"/>
      <c r="D4" s="2657"/>
      <c r="E4" s="2657"/>
      <c r="F4" s="2657"/>
      <c r="G4" s="2657"/>
      <c r="H4" s="2657"/>
      <c r="I4" s="2657"/>
      <c r="J4" s="2657"/>
      <c r="K4" s="2657"/>
      <c r="L4" s="1147"/>
    </row>
    <row r="5" spans="1:12" ht="5.25" customHeight="1" x14ac:dyDescent="0.2">
      <c r="B5" s="1036" t="s">
        <v>1159</v>
      </c>
      <c r="C5" s="1036"/>
      <c r="L5" s="300"/>
    </row>
    <row r="6" spans="1:12" ht="30.75" customHeight="1" x14ac:dyDescent="0.2">
      <c r="A6" s="300"/>
      <c r="B6" s="2666" t="s">
        <v>1297</v>
      </c>
      <c r="C6" s="2666"/>
      <c r="D6" s="2666"/>
      <c r="E6" s="2666"/>
      <c r="F6" s="2666"/>
      <c r="G6" s="2666"/>
      <c r="H6" s="2666"/>
      <c r="I6" s="2666"/>
      <c r="J6" s="2666"/>
      <c r="K6" s="266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8"/>
      <c r="G12" s="2648"/>
      <c r="H12" s="2648"/>
      <c r="I12" s="2648"/>
      <c r="J12" s="2648"/>
      <c r="K12" s="264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1"/>
      <c r="E14" s="2661"/>
      <c r="F14" s="2661"/>
      <c r="H14" s="1230" t="s">
        <v>1292</v>
      </c>
      <c r="I14" s="2662"/>
      <c r="J14" s="2662"/>
      <c r="K14" s="266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2"/>
      <c r="E16" s="2662"/>
      <c r="F16" s="2662"/>
      <c r="G16" s="2662"/>
      <c r="H16" s="2662"/>
      <c r="I16" s="2662"/>
      <c r="J16" s="2662"/>
      <c r="K16" s="2662"/>
      <c r="L16" s="300"/>
    </row>
    <row r="17" spans="2:12" ht="13.5" customHeight="1" x14ac:dyDescent="0.2">
      <c r="B17" s="1156" t="s">
        <v>1290</v>
      </c>
      <c r="C17" s="1156"/>
      <c r="D17" s="2663"/>
      <c r="E17" s="2663"/>
      <c r="F17" s="2663"/>
      <c r="G17" s="2663"/>
      <c r="H17" s="2663"/>
      <c r="I17" s="2663"/>
      <c r="J17" s="2663"/>
      <c r="K17" s="266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6"/>
      <c r="C20" s="2656"/>
      <c r="D20" s="2656"/>
      <c r="E20" s="2656"/>
      <c r="F20" s="2656"/>
      <c r="G20" s="2656"/>
      <c r="H20" s="2656"/>
      <c r="I20" s="2656"/>
      <c r="J20" s="2656"/>
      <c r="K20" s="265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6"/>
      <c r="C23" s="2656"/>
      <c r="D23" s="2656"/>
      <c r="E23" s="2656"/>
      <c r="F23" s="2656"/>
      <c r="G23" s="2656"/>
      <c r="H23" s="2656"/>
      <c r="I23" s="2656"/>
      <c r="J23" s="2656"/>
      <c r="K23" s="265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6"/>
      <c r="C26" s="2656"/>
      <c r="D26" s="2656"/>
      <c r="E26" s="2656"/>
      <c r="F26" s="2656"/>
      <c r="G26" s="2656"/>
      <c r="H26" s="2656"/>
      <c r="I26" s="2656"/>
      <c r="J26" s="2656"/>
      <c r="K26" s="265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6"/>
      <c r="C29" s="2656"/>
      <c r="D29" s="2656"/>
      <c r="E29" s="2656"/>
      <c r="F29" s="2656"/>
      <c r="G29" s="2656"/>
      <c r="H29" s="2656"/>
      <c r="I29" s="2656"/>
      <c r="J29" s="2656"/>
      <c r="K29" s="265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6"/>
      <c r="C32" s="2656"/>
      <c r="D32" s="2656"/>
      <c r="E32" s="2656"/>
      <c r="F32" s="2656"/>
      <c r="G32" s="2656"/>
      <c r="H32" s="2656"/>
      <c r="I32" s="2656"/>
      <c r="J32" s="2656"/>
      <c r="K32" s="265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6"/>
      <c r="C35" s="2656"/>
      <c r="D35" s="2656"/>
      <c r="E35" s="2656"/>
      <c r="F35" s="2656"/>
      <c r="G35" s="2656"/>
      <c r="H35" s="2656"/>
      <c r="I35" s="2656"/>
      <c r="J35" s="2656"/>
      <c r="K35" s="265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6"/>
      <c r="C38" s="2656"/>
      <c r="D38" s="2656"/>
      <c r="E38" s="2656"/>
      <c r="F38" s="2656"/>
      <c r="G38" s="2656"/>
      <c r="H38" s="2656"/>
      <c r="I38" s="2656"/>
      <c r="J38" s="2656"/>
      <c r="K38" s="265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6"/>
      <c r="C41" s="2656"/>
      <c r="D41" s="2656"/>
      <c r="E41" s="2656"/>
      <c r="F41" s="2656"/>
      <c r="G41" s="2656"/>
      <c r="H41" s="2656"/>
      <c r="I41" s="2656"/>
      <c r="J41" s="2656"/>
      <c r="K41" s="265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86D37-244C-4C62-A00C-D6DE766CE448}">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7" t="s">
        <v>2062</v>
      </c>
      <c r="C1" s="2667"/>
      <c r="D1" s="2667"/>
      <c r="E1" s="2667"/>
      <c r="F1" s="2667"/>
      <c r="G1" s="2667"/>
      <c r="H1" s="2667"/>
      <c r="I1" s="2667"/>
      <c r="J1" s="2667"/>
      <c r="K1" s="2667"/>
      <c r="L1" s="2037"/>
      <c r="M1" s="2037"/>
    </row>
    <row r="2" spans="1:13" ht="12" customHeight="1" x14ac:dyDescent="0.2">
      <c r="B2" s="2668" t="s">
        <v>2060</v>
      </c>
      <c r="C2" s="2668"/>
      <c r="D2" s="2668"/>
      <c r="E2" s="2668"/>
      <c r="F2" s="2668"/>
      <c r="G2" s="2668"/>
      <c r="H2" s="2668"/>
      <c r="I2" s="2668"/>
      <c r="J2" s="2668"/>
      <c r="K2" s="2668"/>
      <c r="L2" s="2038"/>
      <c r="M2" s="2039"/>
    </row>
    <row r="3" spans="1:13" ht="10.35" customHeight="1" x14ac:dyDescent="0.2">
      <c r="B3" s="2669" t="s">
        <v>1274</v>
      </c>
      <c r="C3" s="2669"/>
      <c r="D3" s="2669"/>
      <c r="E3" s="2669"/>
      <c r="F3" s="2669"/>
      <c r="G3" s="2669"/>
      <c r="H3" s="2669"/>
      <c r="I3" s="2669"/>
      <c r="J3" s="2669"/>
      <c r="K3" s="2669"/>
      <c r="L3" s="2036"/>
      <c r="M3" s="2036"/>
    </row>
    <row r="4" spans="1:13" ht="14.25" customHeight="1" x14ac:dyDescent="0.2">
      <c r="B4" s="2658" t="str">
        <f>'Single Audit Cover'!A4</f>
        <v>Year Ending June 30, 2020</v>
      </c>
      <c r="C4" s="2658"/>
      <c r="D4" s="2658"/>
      <c r="E4" s="2658"/>
      <c r="F4" s="2658"/>
      <c r="G4" s="2658"/>
      <c r="H4" s="2658"/>
      <c r="I4" s="2658"/>
      <c r="J4" s="2658"/>
      <c r="K4" s="2658"/>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69" t="s">
        <v>1285</v>
      </c>
      <c r="C7" s="2669"/>
      <c r="D7" s="2644"/>
      <c r="E7" s="2644"/>
      <c r="F7" s="2644"/>
      <c r="G7" s="2644"/>
      <c r="H7" s="2644"/>
      <c r="I7" s="2644"/>
      <c r="J7" s="2644"/>
      <c r="K7" s="2644"/>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2079</v>
      </c>
      <c r="D10" s="1155">
        <v>1</v>
      </c>
      <c r="F10" s="995" t="s">
        <v>1284</v>
      </c>
      <c r="G10" s="1157"/>
      <c r="H10" s="2047" t="s">
        <v>1283</v>
      </c>
      <c r="I10" s="1157" t="s">
        <v>2059</v>
      </c>
      <c r="J10" s="2048" t="s">
        <v>1282</v>
      </c>
    </row>
    <row r="11" spans="1:13" ht="13.5" customHeight="1" x14ac:dyDescent="0.2">
      <c r="I11" s="2049" t="s">
        <v>1281</v>
      </c>
      <c r="K11" s="1161">
        <v>1990</v>
      </c>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52.5" customHeight="1" x14ac:dyDescent="0.2">
      <c r="B14" s="2656" t="s">
        <v>2072</v>
      </c>
      <c r="C14" s="2656"/>
      <c r="D14" s="2656"/>
      <c r="E14" s="2656"/>
      <c r="F14" s="2656"/>
      <c r="G14" s="2656"/>
      <c r="H14" s="2656"/>
      <c r="I14" s="2656"/>
      <c r="J14" s="2656"/>
      <c r="K14" s="2656"/>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45.75" customHeight="1" x14ac:dyDescent="0.2">
      <c r="B17" s="2656" t="s">
        <v>2073</v>
      </c>
      <c r="C17" s="2656"/>
      <c r="D17" s="2656"/>
      <c r="E17" s="2656"/>
      <c r="F17" s="2656"/>
      <c r="G17" s="2656"/>
      <c r="H17" s="2656"/>
      <c r="I17" s="2656"/>
      <c r="J17" s="2656"/>
      <c r="K17" s="2656"/>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45.75" customHeight="1" x14ac:dyDescent="0.2">
      <c r="B20" s="2660" t="s">
        <v>2074</v>
      </c>
      <c r="C20" s="2660"/>
      <c r="D20" s="2656"/>
      <c r="E20" s="2656"/>
      <c r="F20" s="2656"/>
      <c r="G20" s="2656"/>
      <c r="H20" s="2656"/>
      <c r="I20" s="2656"/>
      <c r="J20" s="2656"/>
      <c r="K20" s="2656"/>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 customHeight="1" x14ac:dyDescent="0.2">
      <c r="B23" s="2656" t="s">
        <v>2075</v>
      </c>
      <c r="C23" s="2656"/>
      <c r="D23" s="2656"/>
      <c r="E23" s="2656"/>
      <c r="F23" s="2656"/>
      <c r="G23" s="2656"/>
      <c r="H23" s="2656"/>
      <c r="I23" s="2656"/>
      <c r="J23" s="2656"/>
      <c r="K23" s="2656"/>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45.75" customHeight="1" x14ac:dyDescent="0.2">
      <c r="B26" s="2656" t="s">
        <v>2076</v>
      </c>
      <c r="C26" s="2656"/>
      <c r="D26" s="2656"/>
      <c r="E26" s="2656"/>
      <c r="F26" s="2656"/>
      <c r="G26" s="2656"/>
      <c r="H26" s="2656"/>
      <c r="I26" s="2656"/>
      <c r="J26" s="2656"/>
      <c r="K26" s="2656"/>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5.75" customHeight="1" x14ac:dyDescent="0.2">
      <c r="B29" s="2656" t="s">
        <v>2077</v>
      </c>
      <c r="C29" s="2656"/>
      <c r="D29" s="2656"/>
      <c r="E29" s="2656"/>
      <c r="F29" s="2656"/>
      <c r="G29" s="2656"/>
      <c r="H29" s="2656"/>
      <c r="I29" s="2656"/>
      <c r="J29" s="2656"/>
      <c r="K29" s="2656"/>
    </row>
    <row r="30" spans="2:11" ht="4.5" customHeight="1" x14ac:dyDescent="0.2">
      <c r="B30" s="865"/>
      <c r="C30" s="865"/>
    </row>
    <row r="31" spans="2:11" ht="13.5" customHeight="1" x14ac:dyDescent="0.2">
      <c r="B31" s="2055" t="s">
        <v>1721</v>
      </c>
      <c r="C31" s="2055"/>
      <c r="D31" s="2042"/>
      <c r="E31" s="2043"/>
      <c r="F31" s="2043"/>
      <c r="G31" s="2044"/>
      <c r="H31" s="2043"/>
      <c r="I31" s="2044"/>
      <c r="J31" s="2043"/>
      <c r="K31" s="2043"/>
    </row>
    <row r="32" spans="2:11" ht="44.25" customHeight="1" x14ac:dyDescent="0.2">
      <c r="B32" s="2656" t="s">
        <v>2078</v>
      </c>
      <c r="C32" s="2656"/>
      <c r="D32" s="2656"/>
      <c r="E32" s="2656"/>
      <c r="F32" s="2656"/>
      <c r="G32" s="2656"/>
      <c r="H32" s="2656"/>
      <c r="I32" s="2656"/>
      <c r="J32" s="2656"/>
      <c r="K32" s="2656"/>
    </row>
    <row r="33" spans="1:13" ht="4.5" customHeight="1" x14ac:dyDescent="0.2">
      <c r="B33" s="865"/>
      <c r="C33" s="865"/>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8" t="s">
        <v>2114</v>
      </c>
      <c r="C36" s="998"/>
    </row>
    <row r="37" spans="1:13" ht="9.6" customHeight="1" x14ac:dyDescent="0.2">
      <c r="B37" s="998" t="s">
        <v>2115</v>
      </c>
      <c r="C37" s="998"/>
    </row>
    <row r="38" spans="1:13" ht="11.85" customHeight="1" x14ac:dyDescent="0.2">
      <c r="B38" s="2058" t="s">
        <v>1723</v>
      </c>
      <c r="C38" s="2058"/>
    </row>
    <row r="39" spans="1:13" ht="9.6" customHeight="1" x14ac:dyDescent="0.2">
      <c r="B39" s="998" t="s">
        <v>1275</v>
      </c>
      <c r="C39" s="998"/>
      <c r="M39" s="2059"/>
    </row>
    <row r="40" spans="1:13" ht="12.6" customHeight="1" x14ac:dyDescent="0.2">
      <c r="B40" s="2058" t="s">
        <v>1724</v>
      </c>
      <c r="C40" s="2058"/>
      <c r="M40" s="2059"/>
    </row>
    <row r="41" spans="1:13" ht="9.6" customHeight="1" x14ac:dyDescent="0.2">
      <c r="B41" s="998"/>
      <c r="C41" s="998"/>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1" t="str">
        <f>'Single Audit Cover'!A7</f>
        <v xml:space="preserve">  Rankin CSD 98</v>
      </c>
      <c r="C1" s="2641"/>
      <c r="D1" s="2641"/>
      <c r="E1" s="1240"/>
    </row>
    <row r="2" spans="2:5" s="1058" customFormat="1" ht="12.75" customHeight="1" x14ac:dyDescent="0.2">
      <c r="B2" s="2643">
        <f>'Single Audit Cover'!E7</f>
        <v>53090098002</v>
      </c>
      <c r="C2" s="2643"/>
      <c r="D2" s="2643"/>
      <c r="E2" s="1241"/>
    </row>
    <row r="3" spans="2:5" ht="12.75" customHeight="1" x14ac:dyDescent="0.2">
      <c r="B3" s="2657" t="s">
        <v>1743</v>
      </c>
      <c r="C3" s="2657"/>
      <c r="D3" s="2657"/>
      <c r="E3" s="1050"/>
    </row>
    <row r="4" spans="2:5" s="1058" customFormat="1" ht="12.75" customHeight="1" x14ac:dyDescent="0.2">
      <c r="B4" s="2670" t="str">
        <f>'Single Audit Cover'!A4</f>
        <v>Year Ending June 30, 2020</v>
      </c>
      <c r="C4" s="2670"/>
      <c r="D4" s="2670"/>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t="s">
        <v>2080</v>
      </c>
      <c r="C7" s="302" t="s">
        <v>2082</v>
      </c>
      <c r="D7" s="302" t="s">
        <v>2084</v>
      </c>
      <c r="E7" s="302"/>
    </row>
    <row r="8" spans="2:5" ht="13.5" customHeight="1" x14ac:dyDescent="0.2">
      <c r="B8" s="1245" t="s">
        <v>2081</v>
      </c>
      <c r="C8" s="302" t="s">
        <v>2083</v>
      </c>
      <c r="D8" s="302" t="s">
        <v>2085</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C2EA-FD10-44DE-B288-17D07D45C102}">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1" t="s">
        <v>2062</v>
      </c>
      <c r="C1" s="2671"/>
      <c r="D1" s="2671"/>
      <c r="E1" s="2671"/>
      <c r="F1" s="2060"/>
      <c r="G1" s="2060"/>
      <c r="H1" s="2060"/>
      <c r="I1" s="2060"/>
      <c r="J1" s="2060"/>
      <c r="K1" s="2060"/>
      <c r="L1" s="2060"/>
    </row>
    <row r="2" spans="2:12" ht="13.5" customHeight="1" x14ac:dyDescent="0.2">
      <c r="B2" s="2672" t="s">
        <v>2060</v>
      </c>
      <c r="C2" s="2672"/>
      <c r="D2" s="2672"/>
      <c r="E2" s="2672"/>
      <c r="F2" s="2062"/>
      <c r="G2" s="2062"/>
      <c r="H2" s="2062"/>
      <c r="I2" s="2062"/>
      <c r="J2" s="2062"/>
      <c r="K2" s="2062"/>
      <c r="L2" s="2062"/>
    </row>
    <row r="3" spans="2:12" ht="13.5" customHeight="1" x14ac:dyDescent="0.2">
      <c r="B3" s="2673" t="s">
        <v>2086</v>
      </c>
      <c r="C3" s="2673"/>
      <c r="D3" s="2673"/>
      <c r="E3" s="2673"/>
      <c r="F3" s="2063"/>
      <c r="G3" s="2063"/>
      <c r="H3" s="2063"/>
      <c r="I3" s="2063"/>
      <c r="J3" s="2063"/>
      <c r="K3" s="2063"/>
      <c r="L3" s="2063"/>
    </row>
    <row r="4" spans="2:12" ht="13.5" customHeight="1" x14ac:dyDescent="0.2">
      <c r="B4" s="2658" t="str">
        <f>'Single Audit Cover'!A4</f>
        <v>Year Ending June 30, 2020</v>
      </c>
      <c r="C4" s="2658"/>
      <c r="D4" s="2658"/>
      <c r="E4" s="2658"/>
      <c r="F4" s="2658"/>
      <c r="G4" s="2658"/>
      <c r="H4" s="2083"/>
      <c r="I4" s="2083"/>
      <c r="J4" s="2083"/>
      <c r="K4" s="2083"/>
      <c r="L4" s="2064"/>
    </row>
    <row r="5" spans="2:12" ht="29.85" customHeight="1" x14ac:dyDescent="0.2"/>
    <row r="6" spans="2:12" ht="13.5" customHeight="1" x14ac:dyDescent="0.2">
      <c r="B6" s="2065" t="s">
        <v>2087</v>
      </c>
      <c r="C6" s="2065"/>
      <c r="D6" s="2066"/>
      <c r="E6" s="2067"/>
      <c r="F6" s="2067"/>
      <c r="G6" s="2068"/>
      <c r="H6" s="2068"/>
      <c r="I6" s="2068"/>
    </row>
    <row r="7" spans="2:12" ht="13.5" customHeight="1" x14ac:dyDescent="0.2">
      <c r="B7" s="2061" t="s">
        <v>1159</v>
      </c>
    </row>
    <row r="8" spans="2:12" ht="13.5" customHeight="1" x14ac:dyDescent="0.2">
      <c r="B8" s="2069" t="s">
        <v>2088</v>
      </c>
      <c r="C8" s="2070">
        <v>2020</v>
      </c>
      <c r="D8" s="2071">
        <v>1</v>
      </c>
    </row>
    <row r="9" spans="2:12" ht="13.5" customHeight="1" x14ac:dyDescent="0.2">
      <c r="B9" s="2072"/>
      <c r="C9" s="2072"/>
      <c r="D9" s="2072"/>
    </row>
    <row r="10" spans="2:12" ht="13.5" customHeight="1" x14ac:dyDescent="0.2">
      <c r="B10" s="2069" t="s">
        <v>2089</v>
      </c>
      <c r="C10" s="2069"/>
    </row>
    <row r="11" spans="2:12" ht="66.75" customHeight="1" x14ac:dyDescent="0.2">
      <c r="B11" s="2674" t="s">
        <v>2090</v>
      </c>
      <c r="C11" s="2674"/>
      <c r="D11" s="2674"/>
      <c r="E11" s="2674"/>
    </row>
    <row r="12" spans="2:12" ht="13.5" customHeight="1" x14ac:dyDescent="0.2"/>
    <row r="13" spans="2:12" ht="13.5" customHeight="1" x14ac:dyDescent="0.2">
      <c r="B13" s="2069" t="s">
        <v>2091</v>
      </c>
      <c r="C13" s="2069"/>
    </row>
    <row r="14" spans="2:12" ht="76.5" customHeight="1" x14ac:dyDescent="0.2">
      <c r="B14" s="2674" t="s">
        <v>2119</v>
      </c>
      <c r="C14" s="2674"/>
      <c r="D14" s="2674"/>
      <c r="E14" s="2674"/>
    </row>
    <row r="15" spans="2:12" ht="13.5" customHeight="1" x14ac:dyDescent="0.2"/>
    <row r="16" spans="2:12" ht="13.5" customHeight="1" x14ac:dyDescent="0.2">
      <c r="B16" s="2069" t="s">
        <v>2092</v>
      </c>
      <c r="C16" s="2069"/>
      <c r="E16" s="2073" t="s">
        <v>2097</v>
      </c>
    </row>
    <row r="17" spans="2:5" ht="13.5" customHeight="1" x14ac:dyDescent="0.2"/>
    <row r="18" spans="2:5" ht="13.5" customHeight="1" x14ac:dyDescent="0.2">
      <c r="B18" s="2069" t="s">
        <v>2093</v>
      </c>
      <c r="C18" s="2069"/>
      <c r="E18" s="2074" t="s">
        <v>2094</v>
      </c>
    </row>
    <row r="19" spans="2:5" ht="13.5" customHeight="1" x14ac:dyDescent="0.2"/>
    <row r="20" spans="2:5" ht="13.5" customHeight="1" x14ac:dyDescent="0.2">
      <c r="B20" s="2069" t="s">
        <v>2095</v>
      </c>
      <c r="C20" s="2069"/>
      <c r="E20" s="2075" t="s">
        <v>2116</v>
      </c>
    </row>
    <row r="21" spans="2:5" ht="13.5" customHeight="1" x14ac:dyDescent="0.2">
      <c r="E21" s="2075" t="s">
        <v>2117</v>
      </c>
    </row>
    <row r="22" spans="2:5" ht="13.5" customHeight="1" x14ac:dyDescent="0.2">
      <c r="E22" s="2074" t="s">
        <v>2118</v>
      </c>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2096</v>
      </c>
      <c r="C42" s="2079"/>
      <c r="D42" s="2079"/>
    </row>
    <row r="43" spans="2:5" ht="12.2" customHeight="1" x14ac:dyDescent="0.2">
      <c r="B43" s="2080"/>
      <c r="C43" s="2080"/>
      <c r="D43" s="2080"/>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69"/>
      <c r="C65" s="2069"/>
      <c r="D65" s="2069"/>
    </row>
    <row r="66" spans="2:4" x14ac:dyDescent="0.2">
      <c r="B66" s="2069"/>
      <c r="C66" s="2069"/>
      <c r="D66" s="2069"/>
    </row>
    <row r="67" spans="2:4" x14ac:dyDescent="0.2">
      <c r="B67" s="2082"/>
      <c r="C67" s="2082"/>
      <c r="D67" s="2082"/>
    </row>
    <row r="68" spans="2:4" x14ac:dyDescent="0.2">
      <c r="B68" s="2082"/>
      <c r="C68" s="2082"/>
      <c r="D68" s="2082"/>
    </row>
    <row r="69" spans="2:4" x14ac:dyDescent="0.2">
      <c r="B69" s="2082"/>
      <c r="C69" s="2082"/>
      <c r="D69" s="2082"/>
    </row>
    <row r="70" spans="2:4" x14ac:dyDescent="0.2">
      <c r="B70" s="2069"/>
      <c r="C70" s="2069"/>
      <c r="D70" s="2069"/>
    </row>
  </sheetData>
  <mergeCells count="6">
    <mergeCell ref="B1:E1"/>
    <mergeCell ref="B2:E2"/>
    <mergeCell ref="B3:E3"/>
    <mergeCell ref="B11:E11"/>
    <mergeCell ref="B14:E14"/>
    <mergeCell ref="B4:G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7" t="s">
        <v>383</v>
      </c>
      <c r="B1" s="2237"/>
      <c r="C1" s="2237"/>
      <c r="D1" s="2237"/>
      <c r="E1" s="2237"/>
      <c r="F1" s="2237"/>
      <c r="G1" s="2237"/>
      <c r="H1" s="2237"/>
      <c r="I1" s="2237"/>
      <c r="J1" s="2237"/>
      <c r="K1" s="2237"/>
      <c r="L1" s="2237"/>
      <c r="M1" s="22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67596713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2.69064E-2</v>
      </c>
      <c r="E10" s="333" t="s">
        <v>998</v>
      </c>
      <c r="F10" s="332">
        <v>3.2816999999999998E-3</v>
      </c>
      <c r="G10" s="333" t="s">
        <v>998</v>
      </c>
      <c r="H10" s="332">
        <v>1.8871999999999999E-3</v>
      </c>
      <c r="I10" s="333" t="s">
        <v>999</v>
      </c>
      <c r="J10" s="1424">
        <f>ROUND(D10+F10+H10,5)</f>
        <v>3.2079999999999997E-2</v>
      </c>
      <c r="K10" s="217"/>
      <c r="L10" s="332">
        <v>4.7600000000000002E-4</v>
      </c>
      <c r="M10" s="217"/>
    </row>
    <row r="11" spans="1:14" ht="7.5" customHeight="1" x14ac:dyDescent="0.2">
      <c r="B11" s="217"/>
      <c r="C11" s="217"/>
      <c r="D11" s="2247" t="str">
        <f>IF(SUM(J10)&lt;=0.0999999,"","Enter the Tax Rates by moving the decimal two places to the left.")</f>
        <v/>
      </c>
      <c r="E11" s="2248"/>
      <c r="F11" s="2248"/>
      <c r="G11" s="2248"/>
      <c r="H11" s="2248"/>
      <c r="I11" s="2248"/>
      <c r="J11" s="22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3146152</v>
      </c>
      <c r="E16" s="1547"/>
      <c r="F16" s="1546">
        <f>SUM('Acct Summary 7-8'!C17,'Acct Summary 7-8'!D17,'Acct Summary 7-8'!F17)</f>
        <v>2937126</v>
      </c>
      <c r="G16" s="1547"/>
      <c r="H16" s="1546">
        <f>SUM(D16-F16)</f>
        <v>209026</v>
      </c>
      <c r="I16" s="1548"/>
      <c r="J16" s="1546">
        <f>SUM('Acct Summary 7-8'!C81,'Acct Summary 7-8'!D81,'Acct Summary 7-8'!F81,'Acct Summary 7-8'!I81)</f>
        <v>3470581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1063</v>
      </c>
      <c r="E31" s="217"/>
      <c r="F31" s="217"/>
      <c r="G31" s="340"/>
      <c r="H31" s="1425">
        <f>IF(B31="X",(J7*0.069),IF(B32="X",(J7*0.138),"Enter x in a.or b."))</f>
        <v>4664173.1970000006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3233000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8"/>
      <c r="C54" s="2239"/>
      <c r="D54" s="2239"/>
      <c r="E54" s="2239"/>
      <c r="F54" s="2239"/>
      <c r="G54" s="2239"/>
      <c r="H54" s="2239"/>
      <c r="I54" s="2239"/>
      <c r="J54" s="2239"/>
      <c r="K54" s="2239"/>
      <c r="L54" s="2240"/>
      <c r="M54" s="357"/>
    </row>
    <row r="55" spans="1:13" ht="12.75" customHeight="1" x14ac:dyDescent="0.2">
      <c r="B55" s="2241"/>
      <c r="C55" s="2242"/>
      <c r="D55" s="2242"/>
      <c r="E55" s="2242"/>
      <c r="F55" s="2242"/>
      <c r="G55" s="2242"/>
      <c r="H55" s="2242"/>
      <c r="I55" s="2242"/>
      <c r="J55" s="2242"/>
      <c r="K55" s="2242"/>
      <c r="L55" s="2243"/>
      <c r="M55" s="357"/>
    </row>
    <row r="56" spans="1:13" ht="12.75" customHeight="1" x14ac:dyDescent="0.2">
      <c r="B56" s="2241"/>
      <c r="C56" s="2242"/>
      <c r="D56" s="2242"/>
      <c r="E56" s="2242"/>
      <c r="F56" s="2242"/>
      <c r="G56" s="2242"/>
      <c r="H56" s="2242"/>
      <c r="I56" s="2242"/>
      <c r="J56" s="2242"/>
      <c r="K56" s="2242"/>
      <c r="L56" s="2243"/>
      <c r="M56" s="217"/>
    </row>
    <row r="57" spans="1:13" ht="12.75" customHeight="1" x14ac:dyDescent="0.2">
      <c r="B57" s="2241"/>
      <c r="C57" s="2242"/>
      <c r="D57" s="2242"/>
      <c r="E57" s="2242"/>
      <c r="F57" s="2242"/>
      <c r="G57" s="2242"/>
      <c r="H57" s="2242"/>
      <c r="I57" s="2242"/>
      <c r="J57" s="2242"/>
      <c r="K57" s="2242"/>
      <c r="L57" s="2243"/>
      <c r="M57" s="217"/>
    </row>
    <row r="58" spans="1:13" x14ac:dyDescent="0.2">
      <c r="B58" s="2244"/>
      <c r="C58" s="2245"/>
      <c r="D58" s="2245"/>
      <c r="E58" s="2245"/>
      <c r="F58" s="2245"/>
      <c r="G58" s="2245"/>
      <c r="H58" s="2245"/>
      <c r="I58" s="2245"/>
      <c r="J58" s="2245"/>
      <c r="K58" s="2245"/>
      <c r="L58" s="22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9"/>
      <c r="D61" s="22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2"/>
      <c r="B1" s="2253"/>
      <c r="C1" s="2253"/>
      <c r="D1" s="361"/>
      <c r="E1" s="361"/>
      <c r="F1" s="361"/>
      <c r="G1" s="361"/>
      <c r="H1" s="361"/>
      <c r="I1" s="361"/>
      <c r="J1" s="361"/>
      <c r="K1" s="361"/>
      <c r="L1" s="361"/>
      <c r="M1" s="361"/>
      <c r="N1" s="361"/>
      <c r="O1" s="2252"/>
      <c r="P1" s="2253"/>
      <c r="Q1" s="2253"/>
    </row>
    <row r="2" spans="1:18" ht="15" x14ac:dyDescent="0.2">
      <c r="A2" s="2256" t="s">
        <v>552</v>
      </c>
      <c r="B2" s="2256"/>
      <c r="C2" s="2256"/>
      <c r="D2" s="2256"/>
      <c r="E2" s="2256"/>
      <c r="F2" s="2256"/>
      <c r="G2" s="2256"/>
      <c r="H2" s="2256"/>
      <c r="I2" s="2256"/>
      <c r="J2" s="2256"/>
      <c r="K2" s="2256"/>
      <c r="L2" s="2256"/>
      <c r="M2" s="2256"/>
      <c r="N2" s="2256"/>
      <c r="O2" s="2256"/>
      <c r="P2" s="2256"/>
      <c r="Q2" s="2256"/>
      <c r="R2" s="2256"/>
    </row>
    <row r="3" spans="1:18" ht="12.75" x14ac:dyDescent="0.2">
      <c r="A3" s="2257" t="s">
        <v>1396</v>
      </c>
      <c r="B3" s="2257"/>
      <c r="C3" s="2257"/>
      <c r="D3" s="2257"/>
      <c r="E3" s="2257"/>
      <c r="F3" s="2257"/>
      <c r="G3" s="2257"/>
      <c r="H3" s="2257"/>
      <c r="I3" s="2257"/>
      <c r="J3" s="2257"/>
      <c r="K3" s="2257"/>
      <c r="L3" s="2257"/>
      <c r="M3" s="2257"/>
      <c r="N3" s="2257"/>
      <c r="O3" s="2257"/>
      <c r="P3" s="2257"/>
      <c r="Q3" s="2257"/>
      <c r="R3" s="2257"/>
    </row>
    <row r="4" spans="1:18" x14ac:dyDescent="0.2">
      <c r="A4" s="2258" t="s">
        <v>1537</v>
      </c>
      <c r="B4" s="2258"/>
      <c r="C4" s="2258"/>
      <c r="D4" s="2258"/>
      <c r="E4" s="2258"/>
      <c r="F4" s="2258"/>
      <c r="G4" s="2258"/>
      <c r="H4" s="2258"/>
      <c r="I4" s="2258"/>
      <c r="J4" s="2258"/>
      <c r="K4" s="2258"/>
      <c r="L4" s="2258"/>
      <c r="M4" s="2258"/>
      <c r="N4" s="2258"/>
      <c r="O4" s="2258"/>
      <c r="P4" s="2258"/>
      <c r="Q4" s="2258"/>
      <c r="R4" s="22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Rankin CSD 98</v>
      </c>
      <c r="E7" s="368"/>
      <c r="G7" s="247"/>
      <c r="H7" s="364"/>
      <c r="I7" s="364"/>
      <c r="J7" s="364"/>
      <c r="K7" s="364"/>
      <c r="L7" s="307"/>
      <c r="M7" s="307"/>
      <c r="N7" s="307"/>
      <c r="O7" s="307"/>
      <c r="P7" s="307"/>
    </row>
    <row r="8" spans="1:18" ht="12.75" x14ac:dyDescent="0.2">
      <c r="A8" s="307"/>
      <c r="B8" s="307"/>
      <c r="C8" s="366" t="s">
        <v>1115</v>
      </c>
      <c r="D8" s="369">
        <f>COVER!A13</f>
        <v>53090098002</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3470581</v>
      </c>
      <c r="I12" s="380"/>
      <c r="J12" s="380"/>
      <c r="K12" s="1559">
        <f>TRUNC((H12/H13*100000),5)/100000</f>
        <v>1.1031193025000001</v>
      </c>
      <c r="L12" s="381"/>
      <c r="M12" s="337" t="s">
        <v>1134</v>
      </c>
      <c r="N12" s="337"/>
      <c r="O12" s="1562">
        <v>0.35</v>
      </c>
      <c r="P12" s="213"/>
      <c r="Q12" s="213"/>
    </row>
    <row r="13" spans="1:18" s="382" customFormat="1" ht="12.75" x14ac:dyDescent="0.2">
      <c r="A13" s="213"/>
      <c r="B13" s="377"/>
      <c r="C13" s="2254" t="s">
        <v>1313</v>
      </c>
      <c r="D13" s="2255"/>
      <c r="E13" s="213"/>
      <c r="F13" s="383" t="s">
        <v>788</v>
      </c>
      <c r="G13" s="378"/>
      <c r="H13" s="1551">
        <f>SUM('Acct Summary 7-8'!C8+'Acct Summary 7-8'!D8+'Acct Summary 7-8'!F8+'Acct Summary 7-8'!I8)+H14</f>
        <v>3146152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2937126</v>
      </c>
      <c r="I17" s="380"/>
      <c r="J17" s="389"/>
      <c r="K17" s="1559">
        <f>TRUNC((H17/H18*100000),5)/100000</f>
        <v>0.93356137910000003</v>
      </c>
      <c r="L17" s="381"/>
      <c r="M17" s="390" t="s">
        <v>1161</v>
      </c>
      <c r="O17" s="1565" t="str">
        <f>IF(AND(O16="2", J20 &gt; 2),"1",IF(AND(O16 = "1", J20 &gt; 2),"2",IF(AND(O16="1", J20 &gt;1),"1","0")))</f>
        <v>0</v>
      </c>
      <c r="P17" s="213"/>
    </row>
    <row r="18" spans="1:18" s="382" customFormat="1" ht="11.25" x14ac:dyDescent="0.2">
      <c r="A18" s="213"/>
      <c r="B18" s="377"/>
      <c r="C18" s="2254" t="s">
        <v>1306</v>
      </c>
      <c r="D18" s="2255"/>
      <c r="E18" s="213"/>
      <c r="F18" s="391" t="s">
        <v>789</v>
      </c>
      <c r="G18" s="378"/>
      <c r="H18" s="1551">
        <f>SUM('Acct Summary 7-8'!C8+'Acct Summary 7-8'!D8+'Acct Summary 7-8'!F8+'Acct Summary 7-8'!I8)+H19</f>
        <v>3146152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1" t="s">
        <v>1395</v>
      </c>
      <c r="D24" s="2251"/>
      <c r="E24" s="213"/>
      <c r="F24" s="213" t="s">
        <v>442</v>
      </c>
      <c r="G24" s="378"/>
      <c r="H24" s="1551">
        <f>SUM('Assets-Liab 5-6'!C4+'Assets-Liab 5-6'!D4+'Assets-Liab 5-6'!F4+'Assets-Liab 5-6'!I4+'Assets-Liab 5-6'!C5+'Assets-Liab 5-6'!D5+'Assets-Liab 5-6'!F5+'Assets-Liab 5-6'!I5)</f>
        <v>3470581</v>
      </c>
      <c r="I24" s="394"/>
      <c r="J24" s="394"/>
      <c r="K24" s="1555">
        <f>TRUNC(((H24/H25*100000)/100000),2)</f>
        <v>425.38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8158.6833299999998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1843227.1700800001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3233000</v>
      </c>
      <c r="I32" s="392"/>
      <c r="J32" s="392"/>
      <c r="K32" s="1555">
        <f>TRUNC(100-((((H32/H33*100))*100)/100),2)</f>
        <v>30.68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4664173.1970000006</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zoomScaleSheetLayoutView="100" workbookViewId="0">
      <pane ySplit="2" topLeftCell="A3" activePane="bottomLeft" state="frozen"/>
      <selection activeCell="AB34" activeCellId="1" sqref="D33 AB3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1" t="s">
        <v>967</v>
      </c>
      <c r="B3" s="2262"/>
      <c r="C3" s="1306"/>
      <c r="D3" s="1307"/>
      <c r="E3" s="1307"/>
      <c r="F3" s="1307"/>
      <c r="G3" s="1307"/>
      <c r="H3" s="1307"/>
      <c r="I3" s="1307"/>
      <c r="J3" s="1307"/>
      <c r="K3" s="1307"/>
      <c r="L3" s="1307"/>
      <c r="M3" s="1308"/>
      <c r="N3" s="1309"/>
    </row>
    <row r="4" spans="1:14" ht="13.5" customHeight="1" x14ac:dyDescent="0.2">
      <c r="A4" s="427" t="s">
        <v>1632</v>
      </c>
      <c r="B4" s="428"/>
      <c r="C4" s="1572">
        <v>66127</v>
      </c>
      <c r="D4" s="1573">
        <v>359121</v>
      </c>
      <c r="E4" s="1573">
        <v>14841</v>
      </c>
      <c r="F4" s="1573">
        <v>442555</v>
      </c>
      <c r="G4" s="1573">
        <v>182866</v>
      </c>
      <c r="H4" s="1573">
        <v>0</v>
      </c>
      <c r="I4" s="1573">
        <v>206380</v>
      </c>
      <c r="J4" s="1574">
        <v>0</v>
      </c>
      <c r="K4" s="1573">
        <v>81422</v>
      </c>
      <c r="L4" s="1573">
        <v>21468</v>
      </c>
      <c r="M4" s="1575"/>
      <c r="N4" s="1576"/>
    </row>
    <row r="5" spans="1:14" x14ac:dyDescent="0.2">
      <c r="A5" s="427" t="s">
        <v>985</v>
      </c>
      <c r="B5" s="429">
        <v>120</v>
      </c>
      <c r="C5" s="1572">
        <v>2396398</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2462525</v>
      </c>
      <c r="D13" s="1587">
        <f t="shared" ref="D13:L13" si="0">SUM(D4:D12)</f>
        <v>359121</v>
      </c>
      <c r="E13" s="1587">
        <f t="shared" si="0"/>
        <v>14841</v>
      </c>
      <c r="F13" s="1587">
        <f t="shared" si="0"/>
        <v>442555</v>
      </c>
      <c r="G13" s="1587">
        <f t="shared" si="0"/>
        <v>182866</v>
      </c>
      <c r="H13" s="1587">
        <f t="shared" si="0"/>
        <v>0</v>
      </c>
      <c r="I13" s="1587">
        <f t="shared" si="0"/>
        <v>206380</v>
      </c>
      <c r="J13" s="1587">
        <f t="shared" si="0"/>
        <v>0</v>
      </c>
      <c r="K13" s="1587">
        <f t="shared" si="0"/>
        <v>81422</v>
      </c>
      <c r="L13" s="1587">
        <f t="shared" si="0"/>
        <v>21468</v>
      </c>
      <c r="M13" s="1575"/>
      <c r="N13" s="1576"/>
    </row>
    <row r="14" spans="1:14" ht="18" customHeight="1" thickTop="1" x14ac:dyDescent="0.2">
      <c r="A14" s="2263" t="s">
        <v>146</v>
      </c>
      <c r="B14" s="226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125600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8406214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890206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467283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14841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3218159</v>
      </c>
    </row>
    <row r="23" spans="1:14" ht="13.5" customHeight="1" thickBot="1" x14ac:dyDescent="0.25">
      <c r="A23" s="1426" t="s">
        <v>638</v>
      </c>
      <c r="B23" s="1429"/>
      <c r="C23" s="1575"/>
      <c r="D23" s="1575"/>
      <c r="E23" s="1575"/>
      <c r="F23" s="1575"/>
      <c r="G23" s="1575"/>
      <c r="H23" s="1575"/>
      <c r="I23" s="1575"/>
      <c r="J23" s="1575"/>
      <c r="K23" s="1575"/>
      <c r="L23" s="1575"/>
      <c r="M23" s="1594">
        <f>SUM(M15:M22)</f>
        <v>9889303</v>
      </c>
      <c r="N23" s="1594">
        <f>SUM(N21:N22)</f>
        <v>3233000</v>
      </c>
    </row>
    <row r="24" spans="1:14" ht="18" customHeight="1" thickTop="1" x14ac:dyDescent="0.2">
      <c r="A24" s="2265" t="s">
        <v>594</v>
      </c>
      <c r="B24" s="226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21468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21468</v>
      </c>
      <c r="M34" s="1575"/>
      <c r="N34" s="1585"/>
    </row>
    <row r="35" spans="1:14" ht="18" customHeight="1" thickTop="1" x14ac:dyDescent="0.2">
      <c r="A35" s="2267" t="s">
        <v>526</v>
      </c>
      <c r="B35" s="226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3233000</v>
      </c>
    </row>
    <row r="37" spans="1:14" ht="13.5" thickBot="1" x14ac:dyDescent="0.25">
      <c r="A37" s="1426" t="s">
        <v>648</v>
      </c>
      <c r="B37" s="1429"/>
      <c r="C37" s="1582"/>
      <c r="D37" s="1582"/>
      <c r="E37" s="1582"/>
      <c r="F37" s="1582"/>
      <c r="G37" s="1582"/>
      <c r="H37" s="1582"/>
      <c r="I37" s="1582"/>
      <c r="J37" s="1582"/>
      <c r="K37" s="1582"/>
      <c r="L37" s="1585"/>
      <c r="M37" s="1575"/>
      <c r="N37" s="1594">
        <f>SUM(N36:N36)</f>
        <v>3233000</v>
      </c>
    </row>
    <row r="38" spans="1:14" s="307" customFormat="1" ht="13.5" customHeight="1" thickTop="1" x14ac:dyDescent="0.2">
      <c r="A38" s="438" t="s">
        <v>417</v>
      </c>
      <c r="B38" s="432">
        <v>714</v>
      </c>
      <c r="C38" s="1573">
        <v>0</v>
      </c>
      <c r="D38" s="1573">
        <v>0</v>
      </c>
      <c r="E38" s="1573">
        <v>0</v>
      </c>
      <c r="F38" s="1573">
        <v>0</v>
      </c>
      <c r="G38" s="1573">
        <v>98292</v>
      </c>
      <c r="H38" s="1573">
        <v>0</v>
      </c>
      <c r="I38" s="1573">
        <v>0</v>
      </c>
      <c r="J38" s="1574">
        <v>0</v>
      </c>
      <c r="K38" s="1573">
        <v>0</v>
      </c>
      <c r="L38" s="1586">
        <v>0</v>
      </c>
      <c r="M38" s="1604"/>
      <c r="N38" s="1604"/>
    </row>
    <row r="39" spans="1:14" s="307" customFormat="1" ht="13.5" customHeight="1" x14ac:dyDescent="0.2">
      <c r="A39" s="438" t="s">
        <v>339</v>
      </c>
      <c r="B39" s="432">
        <v>730</v>
      </c>
      <c r="C39" s="1573">
        <v>2462525</v>
      </c>
      <c r="D39" s="1573">
        <v>359121</v>
      </c>
      <c r="E39" s="1573">
        <v>14841</v>
      </c>
      <c r="F39" s="1573">
        <v>442555</v>
      </c>
      <c r="G39" s="1573">
        <v>84574</v>
      </c>
      <c r="H39" s="1573">
        <v>0</v>
      </c>
      <c r="I39" s="1573">
        <v>206380</v>
      </c>
      <c r="J39" s="1574">
        <v>0</v>
      </c>
      <c r="K39" s="1573">
        <v>81422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9889303</v>
      </c>
      <c r="N40" s="1604"/>
    </row>
    <row r="41" spans="1:14" ht="13.5" customHeight="1" thickBot="1" x14ac:dyDescent="0.25">
      <c r="A41" s="1426" t="s">
        <v>650</v>
      </c>
      <c r="B41" s="1405"/>
      <c r="C41" s="1594">
        <f>(SUM(C34,C37,C38,C39))</f>
        <v>2462525</v>
      </c>
      <c r="D41" s="1594">
        <f t="shared" ref="D41:L41" si="2">SUM(D34,D37,D38:D39)</f>
        <v>359121</v>
      </c>
      <c r="E41" s="1594">
        <f t="shared" si="2"/>
        <v>14841</v>
      </c>
      <c r="F41" s="1594">
        <f t="shared" si="2"/>
        <v>442555</v>
      </c>
      <c r="G41" s="1594">
        <f t="shared" si="2"/>
        <v>182866</v>
      </c>
      <c r="H41" s="1594">
        <f t="shared" si="2"/>
        <v>0</v>
      </c>
      <c r="I41" s="1594">
        <f t="shared" si="2"/>
        <v>206380</v>
      </c>
      <c r="J41" s="1594">
        <f t="shared" si="2"/>
        <v>0</v>
      </c>
      <c r="K41" s="1594">
        <f t="shared" si="2"/>
        <v>81422</v>
      </c>
      <c r="L41" s="1594">
        <f t="shared" si="2"/>
        <v>21468</v>
      </c>
      <c r="M41" s="1594">
        <f>SUM(M40)</f>
        <v>9889303</v>
      </c>
      <c r="N41" s="1594">
        <f>SUM(N37)</f>
        <v>3233000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B34" activeCellId="1" sqref="D33 AB3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9" t="s">
        <v>1165</v>
      </c>
      <c r="B3" s="2290"/>
      <c r="C3" s="1311"/>
      <c r="D3" s="1312"/>
      <c r="E3" s="1312"/>
      <c r="F3" s="1312"/>
      <c r="G3" s="1312"/>
      <c r="H3" s="1312"/>
      <c r="I3" s="1312"/>
      <c r="J3" s="1312"/>
      <c r="K3" s="1313"/>
      <c r="L3" s="446"/>
    </row>
    <row r="4" spans="1:13" ht="15.75" customHeight="1" x14ac:dyDescent="0.2">
      <c r="A4" s="1537" t="s">
        <v>1482</v>
      </c>
      <c r="B4" s="1538">
        <v>1000</v>
      </c>
      <c r="C4" s="1606">
        <f>'Revenues 9-14'!C109</f>
        <v>2025738</v>
      </c>
      <c r="D4" s="1606">
        <f>'Revenues 9-14'!D109</f>
        <v>208463</v>
      </c>
      <c r="E4" s="1606">
        <f>'Revenues 9-14'!E109</f>
        <v>255290</v>
      </c>
      <c r="F4" s="1606">
        <f>'Revenues 9-14'!F109</f>
        <v>120185</v>
      </c>
      <c r="G4" s="1606">
        <f>'Revenues 9-14'!G109</f>
        <v>105387</v>
      </c>
      <c r="H4" s="1606">
        <f>'Revenues 9-14'!H109</f>
        <v>3030</v>
      </c>
      <c r="I4" s="1606">
        <f>'Revenues 9-14'!I109</f>
        <v>30467</v>
      </c>
      <c r="J4" s="1606">
        <f>'Revenues 9-14'!J109</f>
        <v>0</v>
      </c>
      <c r="K4" s="1606">
        <f>'Revenues 9-14'!K109</f>
        <v>40673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331482</v>
      </c>
      <c r="D6" s="1607">
        <f>'Revenues 9-14'!D170</f>
        <v>100000</v>
      </c>
      <c r="E6" s="1607">
        <f>'Revenues 9-14'!E170</f>
        <v>0</v>
      </c>
      <c r="F6" s="1607">
        <f>'Revenues 9-14'!F170</f>
        <v>95669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234148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2591368</v>
      </c>
      <c r="D8" s="1594">
        <f t="shared" ref="D8:K8" si="0">SUM(D4:D7)</f>
        <v>308463</v>
      </c>
      <c r="E8" s="1594">
        <f t="shared" si="0"/>
        <v>255290</v>
      </c>
      <c r="F8" s="1594">
        <f t="shared" si="0"/>
        <v>215854</v>
      </c>
      <c r="G8" s="1594">
        <f t="shared" si="0"/>
        <v>105387</v>
      </c>
      <c r="H8" s="1594">
        <f t="shared" si="0"/>
        <v>3030</v>
      </c>
      <c r="I8" s="1594">
        <f t="shared" si="0"/>
        <v>30467</v>
      </c>
      <c r="J8" s="1594">
        <f t="shared" si="0"/>
        <v>0</v>
      </c>
      <c r="K8" s="1594">
        <f t="shared" si="0"/>
        <v>40673</v>
      </c>
      <c r="L8" s="325"/>
    </row>
    <row r="9" spans="1:13" ht="15.75" thickTop="1" x14ac:dyDescent="0.2">
      <c r="A9" s="449" t="s">
        <v>1634</v>
      </c>
      <c r="B9" s="450">
        <v>3998</v>
      </c>
      <c r="C9" s="1586">
        <v>1010335</v>
      </c>
      <c r="D9" s="1613"/>
      <c r="E9" s="1586"/>
      <c r="F9" s="1586"/>
      <c r="G9" s="1614"/>
      <c r="H9" s="1586"/>
      <c r="I9" s="1609" t="s">
        <v>1159</v>
      </c>
      <c r="J9" s="1583"/>
      <c r="K9" s="1586"/>
      <c r="L9" s="325"/>
    </row>
    <row r="10" spans="1:13" s="452" customFormat="1" ht="13.5" thickBot="1" x14ac:dyDescent="0.25">
      <c r="A10" s="1426" t="s">
        <v>1163</v>
      </c>
      <c r="B10" s="1407"/>
      <c r="C10" s="1594">
        <f>SUM(C8:C9)</f>
        <v>3601703</v>
      </c>
      <c r="D10" s="1594">
        <f t="shared" ref="D10:K10" si="1">SUM(D8:D9)</f>
        <v>308463</v>
      </c>
      <c r="E10" s="1594">
        <f t="shared" si="1"/>
        <v>255290</v>
      </c>
      <c r="F10" s="1594">
        <f t="shared" si="1"/>
        <v>215854</v>
      </c>
      <c r="G10" s="1594">
        <f t="shared" si="1"/>
        <v>105387</v>
      </c>
      <c r="H10" s="1594">
        <f t="shared" si="1"/>
        <v>3030</v>
      </c>
      <c r="I10" s="1594">
        <f t="shared" si="1"/>
        <v>30467</v>
      </c>
      <c r="J10" s="1594">
        <f t="shared" si="1"/>
        <v>0</v>
      </c>
      <c r="K10" s="1594">
        <f t="shared" si="1"/>
        <v>40673</v>
      </c>
      <c r="L10" s="451"/>
    </row>
    <row r="11" spans="1:13" s="452" customFormat="1" ht="16.7" customHeight="1" thickTop="1" x14ac:dyDescent="0.2">
      <c r="A11" s="2263" t="s">
        <v>1166</v>
      </c>
      <c r="B11" s="2264"/>
      <c r="C11" s="1602"/>
      <c r="D11" s="1603"/>
      <c r="E11" s="1603"/>
      <c r="F11" s="1603"/>
      <c r="G11" s="1603"/>
      <c r="H11" s="1603"/>
      <c r="I11" s="1603"/>
      <c r="J11" s="1603"/>
      <c r="K11" s="1615"/>
      <c r="L11" s="451"/>
    </row>
    <row r="12" spans="1:13" ht="15.75" customHeight="1" x14ac:dyDescent="0.2">
      <c r="A12" s="1314" t="s">
        <v>453</v>
      </c>
      <c r="B12" s="1316">
        <v>1000</v>
      </c>
      <c r="C12" s="1606">
        <f>'Expenditures 15-22'!K33</f>
        <v>1611363</v>
      </c>
      <c r="D12" s="1616" t="s">
        <v>1159</v>
      </c>
      <c r="E12" s="1575" t="s">
        <v>1159</v>
      </c>
      <c r="F12" s="1575" t="s">
        <v>1159</v>
      </c>
      <c r="G12" s="1606">
        <f>'Expenditures 15-22'!K229</f>
        <v>29272</v>
      </c>
      <c r="H12" s="1617"/>
      <c r="I12" s="1575" t="s">
        <v>1159</v>
      </c>
      <c r="J12" s="1575" t="s">
        <v>1159</v>
      </c>
      <c r="K12" s="1617" t="s">
        <v>1159</v>
      </c>
      <c r="L12" s="325"/>
    </row>
    <row r="13" spans="1:13" ht="15.75" customHeight="1" x14ac:dyDescent="0.2">
      <c r="A13" s="1314" t="s">
        <v>454</v>
      </c>
      <c r="B13" s="1316">
        <v>2000</v>
      </c>
      <c r="C13" s="1607">
        <f>'Expenditures 15-22'!K74</f>
        <v>818506</v>
      </c>
      <c r="D13" s="1607">
        <f>'Expenditures 15-22'!K129</f>
        <v>304755</v>
      </c>
      <c r="E13" s="1576" t="s">
        <v>1159</v>
      </c>
      <c r="F13" s="1607">
        <f>'Expenditures 15-22'!K184</f>
        <v>945</v>
      </c>
      <c r="G13" s="1607">
        <f>'Expenditures 15-22'!K279</f>
        <v>50486</v>
      </c>
      <c r="H13" s="1607">
        <f>'Expenditures 15-22'!K303</f>
        <v>281377</v>
      </c>
      <c r="I13" s="1575" t="s">
        <v>1159</v>
      </c>
      <c r="J13" s="1607">
        <f>'Expenditures 15-22'!K330</f>
        <v>0</v>
      </c>
      <c r="K13" s="1618">
        <f>'Expenditures 15-22'!K352</f>
        <v>31166</v>
      </c>
      <c r="L13" s="325"/>
    </row>
    <row r="14" spans="1:13" ht="15.75" customHeight="1" x14ac:dyDescent="0.2">
      <c r="A14" s="1314" t="s">
        <v>446</v>
      </c>
      <c r="B14" s="1316">
        <v>3000</v>
      </c>
      <c r="C14" s="1607">
        <f>'Expenditures 15-22'!K75</f>
        <v>2334</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51862</v>
      </c>
      <c r="D15" s="1607">
        <f>'Expenditures 15-22'!K139</f>
        <v>0</v>
      </c>
      <c r="E15" s="1607">
        <f>'Expenditures 15-22'!K160</f>
        <v>0</v>
      </c>
      <c r="F15" s="1607">
        <f>'Expenditures 15-22'!K196</f>
        <v>147361</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254200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2484065</v>
      </c>
      <c r="D17" s="1594">
        <f t="shared" si="2"/>
        <v>304755</v>
      </c>
      <c r="E17" s="1594">
        <f t="shared" si="2"/>
        <v>254200</v>
      </c>
      <c r="F17" s="1594">
        <f t="shared" si="2"/>
        <v>148306</v>
      </c>
      <c r="G17" s="1594">
        <f t="shared" si="2"/>
        <v>79758</v>
      </c>
      <c r="H17" s="1594">
        <f t="shared" si="2"/>
        <v>281377</v>
      </c>
      <c r="I17" s="1575"/>
      <c r="J17" s="1594">
        <f>SUM(J12:J16)</f>
        <v>0</v>
      </c>
      <c r="K17" s="1594">
        <f>SUM(K12:K16)</f>
        <v>31166</v>
      </c>
      <c r="L17" s="325"/>
    </row>
    <row r="18" spans="1:12" ht="15" customHeight="1" thickTop="1" x14ac:dyDescent="0.2">
      <c r="A18" s="1430" t="s">
        <v>1635</v>
      </c>
      <c r="B18" s="1431">
        <v>4180</v>
      </c>
      <c r="C18" s="1606">
        <f t="shared" ref="C18:H18" si="3">C9</f>
        <v>1010335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3494400</v>
      </c>
      <c r="D19" s="1594">
        <f t="shared" si="4"/>
        <v>304755</v>
      </c>
      <c r="E19" s="1594">
        <f t="shared" si="4"/>
        <v>254200</v>
      </c>
      <c r="F19" s="1594">
        <f t="shared" si="4"/>
        <v>148306</v>
      </c>
      <c r="G19" s="1594">
        <f t="shared" si="4"/>
        <v>79758</v>
      </c>
      <c r="H19" s="1594">
        <f t="shared" si="4"/>
        <v>281377</v>
      </c>
      <c r="I19" s="1575"/>
      <c r="J19" s="1594">
        <f>SUM(J17:J18)</f>
        <v>0</v>
      </c>
      <c r="K19" s="1594">
        <f>SUM(K17:K18)</f>
        <v>31166</v>
      </c>
      <c r="L19" s="325"/>
    </row>
    <row r="20" spans="1:12" ht="16.5" thickTop="1" thickBot="1" x14ac:dyDescent="0.25">
      <c r="A20" s="2279" t="s">
        <v>1636</v>
      </c>
      <c r="B20" s="2280"/>
      <c r="C20" s="1622">
        <f>C8-C17</f>
        <v>107303</v>
      </c>
      <c r="D20" s="1622">
        <f t="shared" ref="D20:K20" si="5">D8-D17</f>
        <v>3708</v>
      </c>
      <c r="E20" s="1622">
        <f t="shared" si="5"/>
        <v>1090</v>
      </c>
      <c r="F20" s="1622">
        <f t="shared" si="5"/>
        <v>67548</v>
      </c>
      <c r="G20" s="1622">
        <f t="shared" si="5"/>
        <v>25629</v>
      </c>
      <c r="H20" s="1622">
        <f t="shared" si="5"/>
        <v>-278347</v>
      </c>
      <c r="I20" s="1622">
        <f t="shared" si="5"/>
        <v>30467</v>
      </c>
      <c r="J20" s="1622">
        <f t="shared" si="5"/>
        <v>0</v>
      </c>
      <c r="K20" s="1622">
        <f t="shared" si="5"/>
        <v>9507</v>
      </c>
      <c r="L20" s="325"/>
    </row>
    <row r="21" spans="1:12" ht="16.7" customHeight="1" thickTop="1" x14ac:dyDescent="0.2">
      <c r="A21" s="2291" t="s">
        <v>591</v>
      </c>
      <c r="B21" s="2292"/>
      <c r="C21" s="1602"/>
      <c r="D21" s="1603"/>
      <c r="E21" s="1603"/>
      <c r="F21" s="1603"/>
      <c r="G21" s="1603"/>
      <c r="H21" s="1603"/>
      <c r="I21" s="1603"/>
      <c r="J21" s="1603"/>
      <c r="K21" s="1615"/>
      <c r="L21" s="453"/>
    </row>
    <row r="22" spans="1:12" ht="15.75" customHeight="1" collapsed="1" x14ac:dyDescent="0.2">
      <c r="A22" s="2287" t="s">
        <v>592</v>
      </c>
      <c r="B22" s="2288"/>
      <c r="C22" s="1582"/>
      <c r="D22" s="1582"/>
      <c r="E22" s="1582"/>
      <c r="F22" s="1582"/>
      <c r="G22" s="1582"/>
      <c r="H22" s="1582"/>
      <c r="I22" s="1582"/>
      <c r="J22" s="1582"/>
      <c r="K22" s="1582"/>
      <c r="L22" s="325"/>
    </row>
    <row r="23" spans="1:12" s="433" customFormat="1" ht="15.75" customHeight="1" x14ac:dyDescent="0.2">
      <c r="A23" s="2283" t="s">
        <v>290</v>
      </c>
      <c r="B23" s="228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94000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9">
        <v>0</v>
      </c>
      <c r="F31" s="1582"/>
      <c r="G31" s="1582"/>
      <c r="H31" s="1582"/>
      <c r="I31" s="1582"/>
      <c r="J31" s="1582"/>
      <c r="K31" s="1582"/>
      <c r="L31" s="453"/>
    </row>
    <row r="32" spans="1:12" s="433" customFormat="1" ht="15.75" customHeight="1" x14ac:dyDescent="0.2">
      <c r="A32" s="2285" t="s">
        <v>974</v>
      </c>
      <c r="B32" s="228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3" t="s">
        <v>371</v>
      </c>
      <c r="B44" s="2294"/>
      <c r="C44" s="1624">
        <f>SUM(C24:C43)</f>
        <v>0</v>
      </c>
      <c r="D44" s="1624">
        <f t="shared" ref="D44:K44" si="6">SUM(D24:D43)</f>
        <v>0</v>
      </c>
      <c r="E44" s="1624">
        <f t="shared" si="6"/>
        <v>0</v>
      </c>
      <c r="F44" s="1624">
        <f t="shared" si="6"/>
        <v>0</v>
      </c>
      <c r="G44" s="1624">
        <f t="shared" si="6"/>
        <v>0</v>
      </c>
      <c r="H44" s="1624">
        <f t="shared" si="6"/>
        <v>94000</v>
      </c>
      <c r="I44" s="1624">
        <f t="shared" si="6"/>
        <v>0</v>
      </c>
      <c r="J44" s="1624">
        <f t="shared" si="6"/>
        <v>0</v>
      </c>
      <c r="K44" s="1624">
        <f t="shared" si="6"/>
        <v>0</v>
      </c>
      <c r="L44" s="453"/>
    </row>
    <row r="45" spans="1:12" ht="15.75" customHeight="1" thickTop="1" x14ac:dyDescent="0.2">
      <c r="A45" s="2287" t="s">
        <v>108</v>
      </c>
      <c r="B45" s="2288"/>
      <c r="C45" s="1625"/>
      <c r="D45" s="1625"/>
      <c r="E45" s="1625"/>
      <c r="F45" s="1625"/>
      <c r="G45" s="1625"/>
      <c r="H45" s="1625"/>
      <c r="I45" s="1625"/>
      <c r="J45" s="1625"/>
      <c r="K45" s="1625"/>
      <c r="L45" s="325"/>
    </row>
    <row r="46" spans="1:12" s="433" customFormat="1" ht="15.75" customHeight="1" x14ac:dyDescent="0.2">
      <c r="A46" s="2295" t="s">
        <v>109</v>
      </c>
      <c r="B46" s="229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94000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9" t="s">
        <v>437</v>
      </c>
      <c r="B76" s="2270"/>
      <c r="C76" s="1624">
        <f t="shared" ref="C76:K76" si="7">SUM(C47:C75)</f>
        <v>0</v>
      </c>
      <c r="D76" s="1624">
        <f t="shared" si="7"/>
        <v>0</v>
      </c>
      <c r="E76" s="1624">
        <f t="shared" si="7"/>
        <v>0</v>
      </c>
      <c r="F76" s="1624">
        <f t="shared" si="7"/>
        <v>0</v>
      </c>
      <c r="G76" s="1624">
        <f t="shared" si="7"/>
        <v>0</v>
      </c>
      <c r="H76" s="1624">
        <f t="shared" si="7"/>
        <v>0</v>
      </c>
      <c r="I76" s="1624">
        <f t="shared" si="7"/>
        <v>94000</v>
      </c>
      <c r="J76" s="1624">
        <f t="shared" si="7"/>
        <v>0</v>
      </c>
      <c r="K76" s="1624">
        <f t="shared" si="7"/>
        <v>0</v>
      </c>
      <c r="L76" s="453"/>
    </row>
    <row r="77" spans="1:12" ht="14.25" thickTop="1" thickBot="1" x14ac:dyDescent="0.25">
      <c r="A77" s="2271" t="s">
        <v>1167</v>
      </c>
      <c r="B77" s="2272"/>
      <c r="C77" s="1624">
        <f t="shared" ref="C77:K77" si="8">C44-C76</f>
        <v>0</v>
      </c>
      <c r="D77" s="1624">
        <f t="shared" si="8"/>
        <v>0</v>
      </c>
      <c r="E77" s="1624">
        <f t="shared" si="8"/>
        <v>0</v>
      </c>
      <c r="F77" s="1624">
        <f t="shared" si="8"/>
        <v>0</v>
      </c>
      <c r="G77" s="1624">
        <f t="shared" si="8"/>
        <v>0</v>
      </c>
      <c r="H77" s="1624">
        <f t="shared" si="8"/>
        <v>94000</v>
      </c>
      <c r="I77" s="1624">
        <f t="shared" si="8"/>
        <v>-94000</v>
      </c>
      <c r="J77" s="1624">
        <f t="shared" si="8"/>
        <v>0</v>
      </c>
      <c r="K77" s="1624">
        <f t="shared" si="8"/>
        <v>0</v>
      </c>
      <c r="L77" s="325"/>
    </row>
    <row r="78" spans="1:12" ht="21.75" customHeight="1" thickTop="1" thickBot="1" x14ac:dyDescent="0.25">
      <c r="A78" s="2275" t="s">
        <v>593</v>
      </c>
      <c r="B78" s="2276"/>
      <c r="C78" s="1629">
        <f t="shared" ref="C78:K78" si="9">C20+C77</f>
        <v>107303</v>
      </c>
      <c r="D78" s="1629">
        <f t="shared" si="9"/>
        <v>3708</v>
      </c>
      <c r="E78" s="1629">
        <f t="shared" si="9"/>
        <v>1090</v>
      </c>
      <c r="F78" s="1629">
        <f t="shared" si="9"/>
        <v>67548</v>
      </c>
      <c r="G78" s="1629">
        <f t="shared" si="9"/>
        <v>25629</v>
      </c>
      <c r="H78" s="1629">
        <f t="shared" si="9"/>
        <v>-184347</v>
      </c>
      <c r="I78" s="1629">
        <f t="shared" si="9"/>
        <v>-63533</v>
      </c>
      <c r="J78" s="1629">
        <f t="shared" si="9"/>
        <v>0</v>
      </c>
      <c r="K78" s="1629">
        <f t="shared" si="9"/>
        <v>9507</v>
      </c>
      <c r="L78" s="457"/>
    </row>
    <row r="79" spans="1:12" ht="13.5" thickTop="1" x14ac:dyDescent="0.2">
      <c r="A79" s="1844" t="str">
        <f>"Fund Balances - July 1, "&amp;'AFR20'!E2-1</f>
        <v>Fund Balances - July 1, 2019</v>
      </c>
      <c r="B79" s="458"/>
      <c r="C79" s="1583">
        <v>2355222</v>
      </c>
      <c r="D79" s="1583">
        <v>355413</v>
      </c>
      <c r="E79" s="1630">
        <v>13751</v>
      </c>
      <c r="F79" s="1630">
        <v>375007</v>
      </c>
      <c r="G79" s="1630">
        <v>157237</v>
      </c>
      <c r="H79" s="1630">
        <v>184347</v>
      </c>
      <c r="I79" s="1630">
        <v>269913</v>
      </c>
      <c r="J79" s="1630">
        <v>0</v>
      </c>
      <c r="K79" s="1630">
        <v>71915</v>
      </c>
      <c r="L79" s="325"/>
    </row>
    <row r="80" spans="1:12" x14ac:dyDescent="0.2">
      <c r="A80" s="2281" t="s">
        <v>1771</v>
      </c>
      <c r="B80" s="2282"/>
      <c r="C80" s="1574">
        <v>0</v>
      </c>
      <c r="D80" s="1574">
        <v>0</v>
      </c>
      <c r="E80" s="1574">
        <v>0</v>
      </c>
      <c r="F80" s="1574">
        <v>0</v>
      </c>
      <c r="G80" s="1574">
        <v>0</v>
      </c>
      <c r="H80" s="1574">
        <v>0</v>
      </c>
      <c r="I80" s="1574">
        <v>0</v>
      </c>
      <c r="J80" s="1574">
        <v>0</v>
      </c>
      <c r="K80" s="1574">
        <v>0</v>
      </c>
      <c r="L80" s="325"/>
    </row>
    <row r="81" spans="1:12" ht="13.5" thickBot="1" x14ac:dyDescent="0.25">
      <c r="A81" s="2273" t="str">
        <f>"Fund Balances - June 30, "&amp;'AFR20'!E2</f>
        <v>Fund Balances - June 30, 2020</v>
      </c>
      <c r="B81" s="2274"/>
      <c r="C81" s="1594">
        <f>(SUM(C78:C80))</f>
        <v>2462525</v>
      </c>
      <c r="D81" s="1594">
        <f>SUM(D78:D80)</f>
        <v>359121</v>
      </c>
      <c r="E81" s="1594">
        <f t="shared" ref="E81:K81" si="10">SUM(E78:E80)</f>
        <v>14841</v>
      </c>
      <c r="F81" s="1594">
        <f t="shared" si="10"/>
        <v>442555</v>
      </c>
      <c r="G81" s="1594">
        <f t="shared" si="10"/>
        <v>182866</v>
      </c>
      <c r="H81" s="1594">
        <f t="shared" si="10"/>
        <v>0</v>
      </c>
      <c r="I81" s="1594">
        <f t="shared" si="10"/>
        <v>206380</v>
      </c>
      <c r="J81" s="1594">
        <f t="shared" si="10"/>
        <v>0</v>
      </c>
      <c r="K81" s="1594">
        <f t="shared" si="10"/>
        <v>81422</v>
      </c>
      <c r="L81" s="325"/>
    </row>
    <row r="82" spans="1:12" ht="0.75" customHeight="1" thickTop="1" thickBot="1" x14ac:dyDescent="0.25">
      <c r="A82" s="459" t="s">
        <v>340</v>
      </c>
      <c r="B82" s="460"/>
      <c r="C82" s="461">
        <f>(C81-C79)</f>
        <v>107303</v>
      </c>
      <c r="D82" s="461">
        <f t="shared" ref="D82:K82" si="11">(D81-D79)</f>
        <v>3708</v>
      </c>
      <c r="E82" s="461">
        <f t="shared" si="11"/>
        <v>1090</v>
      </c>
      <c r="F82" s="461">
        <f t="shared" si="11"/>
        <v>67548</v>
      </c>
      <c r="G82" s="461">
        <f t="shared" si="11"/>
        <v>25629</v>
      </c>
      <c r="H82" s="461">
        <f t="shared" si="11"/>
        <v>-184347</v>
      </c>
      <c r="I82" s="461">
        <f t="shared" si="11"/>
        <v>-63533</v>
      </c>
      <c r="J82" s="461">
        <f t="shared" si="11"/>
        <v>0</v>
      </c>
      <c r="K82" s="461">
        <f t="shared" si="11"/>
        <v>9507</v>
      </c>
    </row>
    <row r="83" spans="1:12" ht="14.25" hidden="1" thickTop="1" thickBot="1" x14ac:dyDescent="0.25">
      <c r="A83" s="462" t="s">
        <v>341</v>
      </c>
      <c r="B83" s="428"/>
      <c r="C83" s="463">
        <f>C82/C81</f>
        <v>4.3574379955533447E-2</v>
      </c>
      <c r="D83" s="463">
        <f t="shared" ref="D83:K83" si="12">D82/D81</f>
        <v>1.0325210722848288E-2</v>
      </c>
      <c r="E83" s="463">
        <f t="shared" si="12"/>
        <v>7.3445185634391216E-2</v>
      </c>
      <c r="F83" s="463">
        <f t="shared" si="12"/>
        <v>0.15263187626396718</v>
      </c>
      <c r="G83" s="463">
        <f t="shared" si="12"/>
        <v>0.1401518051469382</v>
      </c>
      <c r="H83" s="463" t="e">
        <f t="shared" si="12"/>
        <v>#DIV/0!</v>
      </c>
      <c r="I83" s="463">
        <f t="shared" si="12"/>
        <v>-0.30784475239848824</v>
      </c>
      <c r="J83" s="463" t="e">
        <f t="shared" si="12"/>
        <v>#DIV/0!</v>
      </c>
      <c r="K83" s="463">
        <f t="shared" si="12"/>
        <v>0.11676205448158974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B34" activeCellId="1" sqref="D33 AB3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7" t="s">
        <v>1778</v>
      </c>
      <c r="B1" s="416"/>
      <c r="C1" s="417" t="s">
        <v>422</v>
      </c>
      <c r="D1" s="417" t="s">
        <v>423</v>
      </c>
      <c r="E1" s="417" t="s">
        <v>424</v>
      </c>
      <c r="F1" s="417" t="s">
        <v>425</v>
      </c>
      <c r="G1" s="417" t="s">
        <v>426</v>
      </c>
      <c r="H1" s="417" t="s">
        <v>427</v>
      </c>
      <c r="I1" s="417" t="s">
        <v>428</v>
      </c>
      <c r="J1" s="417" t="s">
        <v>429</v>
      </c>
      <c r="K1" s="417" t="s">
        <v>751</v>
      </c>
    </row>
    <row r="2" spans="1:12" ht="36" x14ac:dyDescent="0.2">
      <c r="A2" s="227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1691272</v>
      </c>
      <c r="D5" s="1586">
        <v>207397</v>
      </c>
      <c r="E5" s="1573">
        <v>254784</v>
      </c>
      <c r="F5" s="1631">
        <v>119261</v>
      </c>
      <c r="G5" s="1573">
        <v>41497</v>
      </c>
      <c r="H5" s="1573">
        <v>0</v>
      </c>
      <c r="I5" s="1573">
        <v>30078</v>
      </c>
      <c r="J5" s="1574">
        <v>0</v>
      </c>
      <c r="K5" s="1573">
        <v>40457</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15565</v>
      </c>
      <c r="D7" s="1573">
        <v>0</v>
      </c>
      <c r="E7" s="1575"/>
      <c r="F7" s="1574">
        <v>0</v>
      </c>
      <c r="G7" s="1574">
        <v>0</v>
      </c>
      <c r="H7" s="1574">
        <v>0</v>
      </c>
      <c r="I7" s="1575"/>
      <c r="J7" s="1575"/>
      <c r="K7" s="1575"/>
    </row>
    <row r="8" spans="1:12" x14ac:dyDescent="0.2">
      <c r="A8" s="427" t="s">
        <v>410</v>
      </c>
      <c r="B8" s="429">
        <v>1150</v>
      </c>
      <c r="C8" s="1580"/>
      <c r="D8" s="1580"/>
      <c r="E8" s="1582"/>
      <c r="F8" s="1582"/>
      <c r="G8" s="1586">
        <v>56010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1706837</v>
      </c>
      <c r="D12" s="1633">
        <f t="shared" si="0"/>
        <v>207397</v>
      </c>
      <c r="E12" s="1633">
        <f t="shared" si="0"/>
        <v>254784</v>
      </c>
      <c r="F12" s="1633">
        <f t="shared" si="0"/>
        <v>119261</v>
      </c>
      <c r="G12" s="1633">
        <f t="shared" si="0"/>
        <v>97507</v>
      </c>
      <c r="H12" s="1633">
        <f t="shared" si="0"/>
        <v>0</v>
      </c>
      <c r="I12" s="1633">
        <f t="shared" si="0"/>
        <v>30078</v>
      </c>
      <c r="J12" s="1633">
        <f t="shared" si="0"/>
        <v>0</v>
      </c>
      <c r="K12" s="1594">
        <f t="shared" si="0"/>
        <v>40457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70456</v>
      </c>
      <c r="D16" s="1573">
        <v>0</v>
      </c>
      <c r="E16" s="1573">
        <v>0</v>
      </c>
      <c r="F16" s="1573">
        <v>0</v>
      </c>
      <c r="G16" s="1573">
        <v>7400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70456</v>
      </c>
      <c r="D18" s="1635">
        <f t="shared" ref="D18:K18" si="1">SUM(D14:D17)</f>
        <v>0</v>
      </c>
      <c r="E18" s="1635">
        <f t="shared" si="1"/>
        <v>0</v>
      </c>
      <c r="F18" s="1635">
        <f t="shared" si="1"/>
        <v>0</v>
      </c>
      <c r="G18" s="1635">
        <f t="shared" si="1"/>
        <v>7400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33216</v>
      </c>
      <c r="D20" s="1575"/>
      <c r="E20" s="1575"/>
      <c r="F20" s="1575"/>
      <c r="G20" s="1575"/>
      <c r="H20" s="1575"/>
      <c r="I20" s="1575"/>
      <c r="J20" s="1575"/>
      <c r="K20" s="1575"/>
    </row>
    <row r="21" spans="1:11" ht="12.75" customHeight="1" x14ac:dyDescent="0.2">
      <c r="A21" s="427" t="s">
        <v>827</v>
      </c>
      <c r="B21" s="429">
        <v>1312</v>
      </c>
      <c r="C21" s="1632">
        <v>76094</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109310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58157</v>
      </c>
      <c r="D65" s="1573">
        <v>1066</v>
      </c>
      <c r="E65" s="1573">
        <v>506</v>
      </c>
      <c r="F65" s="1574">
        <v>924</v>
      </c>
      <c r="G65" s="1573">
        <v>480</v>
      </c>
      <c r="H65" s="1573">
        <v>30</v>
      </c>
      <c r="I65" s="1573">
        <v>389</v>
      </c>
      <c r="J65" s="1574">
        <v>0</v>
      </c>
      <c r="K65" s="1573">
        <v>216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58157</v>
      </c>
      <c r="D67" s="1594">
        <f t="shared" ref="D67:K67" si="2">SUM(D65:D66)</f>
        <v>1066</v>
      </c>
      <c r="E67" s="1594">
        <f t="shared" si="2"/>
        <v>506</v>
      </c>
      <c r="F67" s="1594">
        <f t="shared" si="2"/>
        <v>924</v>
      </c>
      <c r="G67" s="1594">
        <f t="shared" si="2"/>
        <v>480</v>
      </c>
      <c r="H67" s="1594">
        <f t="shared" si="2"/>
        <v>30</v>
      </c>
      <c r="I67" s="1594">
        <f t="shared" si="2"/>
        <v>389</v>
      </c>
      <c r="J67" s="1594">
        <f t="shared" si="2"/>
        <v>0</v>
      </c>
      <c r="K67" s="1594">
        <f t="shared" si="2"/>
        <v>216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16382</v>
      </c>
      <c r="D69" s="1575"/>
      <c r="E69" s="1575"/>
      <c r="F69" s="1575"/>
      <c r="G69" s="1575"/>
      <c r="H69" s="1575"/>
      <c r="I69" s="1575"/>
      <c r="J69" s="1575"/>
      <c r="K69" s="1575"/>
    </row>
    <row r="70" spans="1:11" ht="12.75" customHeight="1" x14ac:dyDescent="0.2">
      <c r="A70" s="427" t="s">
        <v>990</v>
      </c>
      <c r="B70" s="429">
        <v>1612</v>
      </c>
      <c r="C70" s="1632">
        <v>5331</v>
      </c>
      <c r="D70" s="1575"/>
      <c r="E70" s="1575"/>
      <c r="F70" s="1575"/>
      <c r="G70" s="1575"/>
      <c r="H70" s="1575"/>
      <c r="I70" s="1575"/>
      <c r="J70" s="1575"/>
      <c r="K70" s="1575"/>
    </row>
    <row r="71" spans="1:11" ht="12.75" customHeight="1" x14ac:dyDescent="0.2">
      <c r="A71" s="427" t="s">
        <v>271</v>
      </c>
      <c r="B71" s="429">
        <v>1613</v>
      </c>
      <c r="C71" s="1632">
        <v>5220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1844</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28777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6192</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6192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11738</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11738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1000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23017</v>
      </c>
      <c r="D98" s="1573">
        <v>0</v>
      </c>
      <c r="E98" s="1612"/>
      <c r="F98" s="1573">
        <v>0</v>
      </c>
      <c r="G98" s="1612"/>
      <c r="H98" s="1612"/>
      <c r="I98" s="1610"/>
      <c r="J98" s="1612"/>
      <c r="K98" s="1612"/>
    </row>
    <row r="99" spans="1:12" ht="12.75" customHeight="1" x14ac:dyDescent="0.2">
      <c r="A99" s="427" t="s">
        <v>816</v>
      </c>
      <c r="B99" s="429">
        <v>1950</v>
      </c>
      <c r="C99" s="1598">
        <v>9638</v>
      </c>
      <c r="D99" s="1573">
        <v>0</v>
      </c>
      <c r="E99" s="1573">
        <v>0</v>
      </c>
      <c r="F99" s="1573">
        <v>0</v>
      </c>
      <c r="G99" s="1573">
        <v>0</v>
      </c>
      <c r="H99" s="1573">
        <v>3000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616</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34271</v>
      </c>
      <c r="D108" s="1633">
        <f t="shared" ref="D108:K108" si="3">SUM(D95:D107)</f>
        <v>0</v>
      </c>
      <c r="E108" s="1633">
        <f t="shared" si="3"/>
        <v>0</v>
      </c>
      <c r="F108" s="1633">
        <f t="shared" si="3"/>
        <v>0</v>
      </c>
      <c r="G108" s="1633">
        <f t="shared" si="3"/>
        <v>0</v>
      </c>
      <c r="H108" s="1633">
        <f t="shared" si="3"/>
        <v>3000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2025738</v>
      </c>
      <c r="D109" s="1641">
        <f t="shared" si="4"/>
        <v>208463</v>
      </c>
      <c r="E109" s="1641">
        <f t="shared" si="4"/>
        <v>255290</v>
      </c>
      <c r="F109" s="1641">
        <f t="shared" si="4"/>
        <v>120185</v>
      </c>
      <c r="G109" s="1641">
        <f t="shared" si="4"/>
        <v>105387</v>
      </c>
      <c r="H109" s="1641">
        <f t="shared" si="4"/>
        <v>3030</v>
      </c>
      <c r="I109" s="1641">
        <f t="shared" si="4"/>
        <v>30467</v>
      </c>
      <c r="J109" s="1641">
        <f t="shared" si="4"/>
        <v>0</v>
      </c>
      <c r="K109" s="1629">
        <f t="shared" si="4"/>
        <v>40673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307405</v>
      </c>
      <c r="D117" s="1586">
        <v>100000</v>
      </c>
      <c r="E117" s="1573">
        <v>0</v>
      </c>
      <c r="F117" s="1586">
        <v>0</v>
      </c>
      <c r="G117" s="1586">
        <v>0</v>
      </c>
      <c r="H117" s="1573">
        <v>0</v>
      </c>
      <c r="I117" s="1575"/>
      <c r="J117" s="1574">
        <v>0</v>
      </c>
      <c r="K117" s="1573">
        <v>0</v>
      </c>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1894</v>
      </c>
      <c r="B120" s="478">
        <v>3030</v>
      </c>
      <c r="C120" s="1632">
        <v>0</v>
      </c>
      <c r="D120" s="1573">
        <v>0</v>
      </c>
      <c r="E120" s="1573">
        <v>0</v>
      </c>
      <c r="F120" s="1573">
        <v>0</v>
      </c>
      <c r="G120" s="1573">
        <v>0</v>
      </c>
      <c r="H120" s="1573">
        <v>0</v>
      </c>
      <c r="I120" s="1575"/>
      <c r="J120" s="1574">
        <v>0</v>
      </c>
      <c r="K120" s="1573">
        <v>0</v>
      </c>
    </row>
    <row r="121" spans="1:11" x14ac:dyDescent="0.2">
      <c r="A121" s="1266" t="s">
        <v>1777</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307405</v>
      </c>
      <c r="D122" s="1633">
        <f t="shared" si="5"/>
        <v>100000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18795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4982</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23777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62126</v>
      </c>
      <c r="G152" s="1574">
        <v>0</v>
      </c>
      <c r="H152" s="1575"/>
      <c r="I152" s="1575"/>
      <c r="J152" s="1575"/>
      <c r="K152" s="1575"/>
    </row>
    <row r="153" spans="1:11" ht="12.75" customHeight="1" x14ac:dyDescent="0.2">
      <c r="A153" s="427" t="s">
        <v>1048</v>
      </c>
      <c r="B153" s="478">
        <v>3510</v>
      </c>
      <c r="C153" s="1632">
        <v>0</v>
      </c>
      <c r="D153" s="1573">
        <v>0</v>
      </c>
      <c r="E153" s="1640"/>
      <c r="F153" s="1573">
        <v>33543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95669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7" t="s">
        <v>395</v>
      </c>
      <c r="B169" s="2298"/>
      <c r="C169" s="1658">
        <f t="shared" ref="C169:K169" si="6">SUM(C132,C141,C145,C146:C150,C155,C156:C167,C168)</f>
        <v>24077</v>
      </c>
      <c r="D169" s="1658">
        <f t="shared" si="6"/>
        <v>0</v>
      </c>
      <c r="E169" s="1658">
        <f t="shared" si="6"/>
        <v>0</v>
      </c>
      <c r="F169" s="1658">
        <f t="shared" si="6"/>
        <v>95669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331482</v>
      </c>
      <c r="D170" s="1641">
        <f t="shared" si="7"/>
        <v>100000</v>
      </c>
      <c r="E170" s="1641">
        <f t="shared" si="7"/>
        <v>0</v>
      </c>
      <c r="F170" s="1641">
        <f t="shared" si="7"/>
        <v>95669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9" t="s">
        <v>1475</v>
      </c>
      <c r="B172" s="230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3" t="s">
        <v>1646</v>
      </c>
      <c r="B175" s="230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7" t="s">
        <v>1645</v>
      </c>
      <c r="B176" s="230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20231</v>
      </c>
      <c r="D180" s="1573">
        <v>0</v>
      </c>
      <c r="E180" s="1575"/>
      <c r="F180" s="1573">
        <v>0</v>
      </c>
      <c r="G180" s="1573">
        <v>0</v>
      </c>
      <c r="H180" s="1573">
        <v>0</v>
      </c>
      <c r="I180" s="1575"/>
      <c r="J180" s="1575"/>
      <c r="K180" s="1573">
        <v>0</v>
      </c>
    </row>
    <row r="181" spans="1:11" ht="13.5" thickBot="1" x14ac:dyDescent="0.25">
      <c r="A181" s="2305" t="s">
        <v>780</v>
      </c>
      <c r="B181" s="2306"/>
      <c r="C181" s="1633">
        <f>SUM(C177:C180)</f>
        <v>20231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1" t="s">
        <v>1779</v>
      </c>
      <c r="B182" s="230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16859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6103</v>
      </c>
      <c r="D193" s="1575"/>
      <c r="E193" s="1640"/>
      <c r="F193" s="1575"/>
      <c r="G193" s="1664">
        <v>0</v>
      </c>
      <c r="H193" s="1575"/>
      <c r="I193" s="1575"/>
      <c r="J193" s="1575"/>
      <c r="K193" s="1575"/>
    </row>
    <row r="194" spans="1:11" ht="12.75" customHeight="1" x14ac:dyDescent="0.2">
      <c r="A194" s="427" t="s">
        <v>1434</v>
      </c>
      <c r="B194" s="429">
        <v>4225</v>
      </c>
      <c r="C194" s="1632">
        <v>9249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32211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26816</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26816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16740</v>
      </c>
      <c r="D213" s="1573">
        <v>0</v>
      </c>
      <c r="E213" s="1575"/>
      <c r="F213" s="1573">
        <v>0</v>
      </c>
      <c r="G213" s="1573">
        <v>0</v>
      </c>
      <c r="H213" s="1575"/>
      <c r="I213" s="1575"/>
      <c r="J213" s="1575"/>
      <c r="K213" s="1575"/>
    </row>
    <row r="214" spans="1:11" ht="12.75" customHeight="1" x14ac:dyDescent="0.2">
      <c r="A214" s="427" t="s">
        <v>1045</v>
      </c>
      <c r="B214" s="429">
        <v>4625</v>
      </c>
      <c r="C214" s="1632">
        <v>122449</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139189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3992</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1895</v>
      </c>
      <c r="B261" s="429">
        <v>4981</v>
      </c>
      <c r="C261" s="1650">
        <v>0</v>
      </c>
      <c r="D261" s="1651">
        <v>0</v>
      </c>
      <c r="E261" s="1575"/>
      <c r="F261" s="1651">
        <v>0</v>
      </c>
      <c r="G261" s="1651">
        <v>0</v>
      </c>
      <c r="H261" s="1575"/>
      <c r="I261" s="1575"/>
      <c r="J261" s="1575"/>
      <c r="K261" s="1575"/>
    </row>
    <row r="262" spans="1:11" ht="12.75" customHeight="1" thickTop="1" thickBot="1" x14ac:dyDescent="0.25">
      <c r="A262" s="1540" t="s">
        <v>1896</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4707</v>
      </c>
      <c r="D263" s="1651">
        <v>0</v>
      </c>
      <c r="E263" s="1575"/>
      <c r="F263" s="1651">
        <v>0</v>
      </c>
      <c r="G263" s="1651">
        <v>0</v>
      </c>
      <c r="H263" s="1575"/>
      <c r="I263" s="1575"/>
      <c r="J263" s="1575"/>
      <c r="K263" s="1575"/>
    </row>
    <row r="264" spans="1:11" ht="12.75" customHeight="1" thickTop="1" thickBot="1" x14ac:dyDescent="0.25">
      <c r="A264" s="427" t="s">
        <v>374</v>
      </c>
      <c r="B264" s="429">
        <v>4992</v>
      </c>
      <c r="C264" s="1650">
        <v>7002</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213917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234148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2591368</v>
      </c>
      <c r="D268" s="1641">
        <f t="shared" si="12"/>
        <v>308463</v>
      </c>
      <c r="E268" s="1641">
        <f t="shared" si="12"/>
        <v>255290</v>
      </c>
      <c r="F268" s="1641">
        <f t="shared" si="12"/>
        <v>215854</v>
      </c>
      <c r="G268" s="1641">
        <f t="shared" si="12"/>
        <v>105387</v>
      </c>
      <c r="H268" s="1641">
        <f t="shared" si="12"/>
        <v>3030</v>
      </c>
      <c r="I268" s="1641">
        <f t="shared" si="12"/>
        <v>30467</v>
      </c>
      <c r="J268" s="1641">
        <f t="shared" si="12"/>
        <v>0</v>
      </c>
      <c r="K268" s="1629">
        <f t="shared" si="12"/>
        <v>40673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85" workbookViewId="0">
      <pane ySplit="2" topLeftCell="A3" activePane="bottomLeft" state="frozen"/>
      <selection activeCell="AB34" activeCellId="1" sqref="D33 AB3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7"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5" t="s">
        <v>294</v>
      </c>
      <c r="B3" s="231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834256</v>
      </c>
      <c r="D5" s="1573">
        <v>204551</v>
      </c>
      <c r="E5" s="1573">
        <v>39786</v>
      </c>
      <c r="F5" s="1573">
        <v>106307</v>
      </c>
      <c r="G5" s="1573">
        <v>23134</v>
      </c>
      <c r="H5" s="1573">
        <v>0</v>
      </c>
      <c r="I5" s="1574">
        <v>0</v>
      </c>
      <c r="J5" s="1574">
        <v>0</v>
      </c>
      <c r="K5" s="1672">
        <f>SUM(C5:J5)</f>
        <v>1208034</v>
      </c>
      <c r="L5" s="1573">
        <v>1211720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85305</v>
      </c>
      <c r="D8" s="1573">
        <v>27762</v>
      </c>
      <c r="E8" s="1573">
        <v>0</v>
      </c>
      <c r="F8" s="1573">
        <v>1110</v>
      </c>
      <c r="G8" s="1573">
        <v>0</v>
      </c>
      <c r="H8" s="1573">
        <v>0</v>
      </c>
      <c r="I8" s="1574">
        <v>0</v>
      </c>
      <c r="J8" s="1574">
        <v>0</v>
      </c>
      <c r="K8" s="1672">
        <f t="shared" si="0"/>
        <v>114177</v>
      </c>
      <c r="L8" s="1573">
        <v>114177</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44280</v>
      </c>
      <c r="D10" s="1573">
        <v>9005</v>
      </c>
      <c r="E10" s="1573">
        <v>525</v>
      </c>
      <c r="F10" s="1573">
        <v>7739</v>
      </c>
      <c r="G10" s="1573">
        <v>0</v>
      </c>
      <c r="H10" s="1573">
        <v>0</v>
      </c>
      <c r="I10" s="1574">
        <v>0</v>
      </c>
      <c r="J10" s="1574">
        <v>0</v>
      </c>
      <c r="K10" s="1672">
        <f t="shared" si="0"/>
        <v>61549</v>
      </c>
      <c r="L10" s="1573">
        <v>61752</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36306</v>
      </c>
      <c r="D14" s="1573">
        <v>3451</v>
      </c>
      <c r="E14" s="1573">
        <v>7991</v>
      </c>
      <c r="F14" s="1573">
        <v>7598</v>
      </c>
      <c r="G14" s="1573">
        <v>3792</v>
      </c>
      <c r="H14" s="1573">
        <v>2818</v>
      </c>
      <c r="I14" s="1574">
        <v>0</v>
      </c>
      <c r="J14" s="1574">
        <v>0</v>
      </c>
      <c r="K14" s="1672">
        <f t="shared" si="0"/>
        <v>61956</v>
      </c>
      <c r="L14" s="1573">
        <v>63872</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690</v>
      </c>
      <c r="D16" s="1573">
        <v>80</v>
      </c>
      <c r="E16" s="1573">
        <v>0</v>
      </c>
      <c r="F16" s="1573">
        <v>0</v>
      </c>
      <c r="G16" s="1573">
        <v>0</v>
      </c>
      <c r="H16" s="1573">
        <v>0</v>
      </c>
      <c r="I16" s="1574">
        <v>0</v>
      </c>
      <c r="J16" s="1574">
        <v>0</v>
      </c>
      <c r="K16" s="1672">
        <f t="shared" si="0"/>
        <v>770</v>
      </c>
      <c r="L16" s="1573">
        <v>770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164877</v>
      </c>
      <c r="I22" s="1673"/>
      <c r="J22" s="1582"/>
      <c r="K22" s="1672">
        <f t="shared" si="0"/>
        <v>164877</v>
      </c>
      <c r="L22" s="1577">
        <v>164877</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1000837</v>
      </c>
      <c r="D33" s="1674">
        <f t="shared" ref="D33:L33" si="1">SUM(D5:D32)</f>
        <v>244849</v>
      </c>
      <c r="E33" s="1674">
        <f t="shared" si="1"/>
        <v>48302</v>
      </c>
      <c r="F33" s="1674">
        <f t="shared" si="1"/>
        <v>122754</v>
      </c>
      <c r="G33" s="1674">
        <f t="shared" si="1"/>
        <v>26926</v>
      </c>
      <c r="H33" s="1674">
        <f t="shared" si="1"/>
        <v>167695</v>
      </c>
      <c r="I33" s="1674">
        <f t="shared" si="1"/>
        <v>0</v>
      </c>
      <c r="J33" s="1674">
        <f t="shared" si="1"/>
        <v>0</v>
      </c>
      <c r="K33" s="1674">
        <f t="shared" si="1"/>
        <v>1611363</v>
      </c>
      <c r="L33" s="1674">
        <f t="shared" si="1"/>
        <v>1617168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4269</v>
      </c>
      <c r="D36" s="1586">
        <v>154</v>
      </c>
      <c r="E36" s="1586">
        <v>0</v>
      </c>
      <c r="F36" s="1586">
        <v>83</v>
      </c>
      <c r="G36" s="1586">
        <v>0</v>
      </c>
      <c r="H36" s="1586">
        <v>0</v>
      </c>
      <c r="I36" s="1574">
        <v>0</v>
      </c>
      <c r="J36" s="1574">
        <v>0</v>
      </c>
      <c r="K36" s="1672">
        <f t="shared" ref="K36:K41" si="2">SUM(C36:J36)</f>
        <v>4506</v>
      </c>
      <c r="L36" s="1573">
        <v>4506</v>
      </c>
    </row>
    <row r="37" spans="1:14" x14ac:dyDescent="0.2">
      <c r="A37" s="1274" t="s">
        <v>1081</v>
      </c>
      <c r="B37" s="503">
        <v>2120</v>
      </c>
      <c r="C37" s="1573">
        <v>37362</v>
      </c>
      <c r="D37" s="1573">
        <v>13478</v>
      </c>
      <c r="E37" s="1573">
        <v>0</v>
      </c>
      <c r="F37" s="1573">
        <v>0</v>
      </c>
      <c r="G37" s="1573">
        <v>0</v>
      </c>
      <c r="H37" s="1573">
        <v>0</v>
      </c>
      <c r="I37" s="1574">
        <v>0</v>
      </c>
      <c r="J37" s="1574">
        <v>0</v>
      </c>
      <c r="K37" s="1672">
        <f t="shared" si="2"/>
        <v>50840</v>
      </c>
      <c r="L37" s="1573">
        <v>50841</v>
      </c>
    </row>
    <row r="38" spans="1:14" x14ac:dyDescent="0.2">
      <c r="A38" s="1274" t="s">
        <v>196</v>
      </c>
      <c r="B38" s="503">
        <v>2130</v>
      </c>
      <c r="C38" s="1573">
        <v>32925</v>
      </c>
      <c r="D38" s="1573">
        <v>0</v>
      </c>
      <c r="E38" s="1573">
        <v>0</v>
      </c>
      <c r="F38" s="1573">
        <v>760</v>
      </c>
      <c r="G38" s="1573">
        <v>0</v>
      </c>
      <c r="H38" s="1573">
        <v>0</v>
      </c>
      <c r="I38" s="1573">
        <v>0</v>
      </c>
      <c r="J38" s="1573">
        <v>0</v>
      </c>
      <c r="K38" s="1672">
        <f t="shared" si="2"/>
        <v>33685</v>
      </c>
      <c r="L38" s="1573">
        <v>33856</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42400</v>
      </c>
      <c r="D40" s="1573">
        <v>6787</v>
      </c>
      <c r="E40" s="1573">
        <v>0</v>
      </c>
      <c r="F40" s="1573">
        <v>635</v>
      </c>
      <c r="G40" s="1573">
        <v>0</v>
      </c>
      <c r="H40" s="1573">
        <v>0</v>
      </c>
      <c r="I40" s="1574">
        <v>0</v>
      </c>
      <c r="J40" s="1574">
        <v>0</v>
      </c>
      <c r="K40" s="1672">
        <f t="shared" si="2"/>
        <v>49822</v>
      </c>
      <c r="L40" s="1573">
        <v>50194</v>
      </c>
    </row>
    <row r="41" spans="1:14" x14ac:dyDescent="0.2">
      <c r="A41" s="1274" t="s">
        <v>1650</v>
      </c>
      <c r="B41" s="503">
        <v>2190</v>
      </c>
      <c r="C41" s="1573">
        <v>0</v>
      </c>
      <c r="D41" s="1573">
        <v>0</v>
      </c>
      <c r="E41" s="1573">
        <v>0</v>
      </c>
      <c r="F41" s="1573">
        <v>2424</v>
      </c>
      <c r="G41" s="1573">
        <v>0</v>
      </c>
      <c r="H41" s="1573">
        <v>0</v>
      </c>
      <c r="I41" s="1574">
        <v>0</v>
      </c>
      <c r="J41" s="1574">
        <v>0</v>
      </c>
      <c r="K41" s="1672">
        <f t="shared" si="2"/>
        <v>2424</v>
      </c>
      <c r="L41" s="1573">
        <v>2424</v>
      </c>
    </row>
    <row r="42" spans="1:14" ht="12.75" customHeight="1" thickBot="1" x14ac:dyDescent="0.25">
      <c r="A42" s="1380" t="s">
        <v>556</v>
      </c>
      <c r="B42" s="1381" t="s">
        <v>711</v>
      </c>
      <c r="C42" s="1674">
        <f>SUM(C36:C41)</f>
        <v>116956</v>
      </c>
      <c r="D42" s="1674">
        <f t="shared" ref="D42:L42" si="3">SUM(D36:D41)</f>
        <v>20419</v>
      </c>
      <c r="E42" s="1674">
        <f t="shared" si="3"/>
        <v>0</v>
      </c>
      <c r="F42" s="1674">
        <f t="shared" si="3"/>
        <v>3902</v>
      </c>
      <c r="G42" s="1674">
        <f t="shared" si="3"/>
        <v>0</v>
      </c>
      <c r="H42" s="1674">
        <f t="shared" si="3"/>
        <v>0</v>
      </c>
      <c r="I42" s="1674">
        <f t="shared" si="3"/>
        <v>0</v>
      </c>
      <c r="J42" s="1674">
        <f t="shared" si="3"/>
        <v>0</v>
      </c>
      <c r="K42" s="1674">
        <f t="shared" si="3"/>
        <v>141277</v>
      </c>
      <c r="L42" s="1674">
        <f t="shared" si="3"/>
        <v>141821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2069</v>
      </c>
      <c r="D44" s="1586">
        <v>5278</v>
      </c>
      <c r="E44" s="1586">
        <v>4550</v>
      </c>
      <c r="F44" s="1586">
        <v>0</v>
      </c>
      <c r="G44" s="1586">
        <v>0</v>
      </c>
      <c r="H44" s="1586">
        <v>0</v>
      </c>
      <c r="I44" s="1574">
        <v>0</v>
      </c>
      <c r="J44" s="1574">
        <v>0</v>
      </c>
      <c r="K44" s="1678">
        <f>SUM(C44:J44)</f>
        <v>11897</v>
      </c>
      <c r="L44" s="1586">
        <v>11897</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2069</v>
      </c>
      <c r="D47" s="1674">
        <f t="shared" ref="D47:K47" si="4">SUM(D44:D46)</f>
        <v>5278</v>
      </c>
      <c r="E47" s="1674">
        <f t="shared" si="4"/>
        <v>4550</v>
      </c>
      <c r="F47" s="1674">
        <f t="shared" si="4"/>
        <v>0</v>
      </c>
      <c r="G47" s="1674">
        <f t="shared" si="4"/>
        <v>0</v>
      </c>
      <c r="H47" s="1674">
        <f t="shared" si="4"/>
        <v>0</v>
      </c>
      <c r="I47" s="1674">
        <f t="shared" si="4"/>
        <v>0</v>
      </c>
      <c r="J47" s="1674">
        <f t="shared" si="4"/>
        <v>0</v>
      </c>
      <c r="K47" s="1674">
        <f t="shared" si="4"/>
        <v>11897</v>
      </c>
      <c r="L47" s="1674">
        <f>SUM(L44:L46)</f>
        <v>11897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4044</v>
      </c>
      <c r="D49" s="1586">
        <v>0</v>
      </c>
      <c r="E49" s="1586">
        <v>11205</v>
      </c>
      <c r="F49" s="1586">
        <v>851</v>
      </c>
      <c r="G49" s="1586">
        <v>0</v>
      </c>
      <c r="H49" s="1586">
        <v>16445</v>
      </c>
      <c r="I49" s="1574">
        <v>0</v>
      </c>
      <c r="J49" s="1574">
        <v>0</v>
      </c>
      <c r="K49" s="1678">
        <f>SUM(C49:J49)</f>
        <v>32545</v>
      </c>
      <c r="L49" s="1586">
        <v>32545</v>
      </c>
    </row>
    <row r="50" spans="1:14" x14ac:dyDescent="0.2">
      <c r="A50" s="1274" t="s">
        <v>813</v>
      </c>
      <c r="B50" s="503">
        <v>2320</v>
      </c>
      <c r="C50" s="1574">
        <v>148638</v>
      </c>
      <c r="D50" s="1573">
        <v>25916</v>
      </c>
      <c r="E50" s="1573">
        <v>48</v>
      </c>
      <c r="F50" s="1573">
        <v>6149</v>
      </c>
      <c r="G50" s="1573">
        <v>0</v>
      </c>
      <c r="H50" s="1573">
        <v>14199</v>
      </c>
      <c r="I50" s="1574">
        <v>0</v>
      </c>
      <c r="J50" s="1574">
        <v>0</v>
      </c>
      <c r="K50" s="1678">
        <f>SUM(C50:J50)</f>
        <v>194950</v>
      </c>
      <c r="L50" s="1573">
        <v>196104</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70375</v>
      </c>
      <c r="F52" s="1579">
        <v>0</v>
      </c>
      <c r="G52" s="1579">
        <v>0</v>
      </c>
      <c r="H52" s="1579">
        <v>0</v>
      </c>
      <c r="I52" s="1579">
        <v>0</v>
      </c>
      <c r="J52" s="1579">
        <v>0</v>
      </c>
      <c r="K52" s="1678">
        <f>SUM(C52:J52)</f>
        <v>70375</v>
      </c>
      <c r="L52" s="1579">
        <v>95849</v>
      </c>
    </row>
    <row r="53" spans="1:14" ht="12.75" customHeight="1" thickBot="1" x14ac:dyDescent="0.25">
      <c r="A53" s="1380" t="s">
        <v>712</v>
      </c>
      <c r="B53" s="1381" t="s">
        <v>33</v>
      </c>
      <c r="C53" s="1674">
        <f>SUM(C49:C52)</f>
        <v>152682</v>
      </c>
      <c r="D53" s="1674">
        <f t="shared" ref="D53:L53" si="5">SUM(D49:D52)</f>
        <v>25916</v>
      </c>
      <c r="E53" s="1674">
        <f t="shared" si="5"/>
        <v>81628</v>
      </c>
      <c r="F53" s="1674">
        <f t="shared" si="5"/>
        <v>7000</v>
      </c>
      <c r="G53" s="1674">
        <f t="shared" si="5"/>
        <v>0</v>
      </c>
      <c r="H53" s="1674">
        <f t="shared" si="5"/>
        <v>30644</v>
      </c>
      <c r="I53" s="1674">
        <f t="shared" si="5"/>
        <v>0</v>
      </c>
      <c r="J53" s="1674">
        <f t="shared" si="5"/>
        <v>0</v>
      </c>
      <c r="K53" s="1674">
        <f t="shared" si="5"/>
        <v>297870</v>
      </c>
      <c r="L53" s="1674">
        <f t="shared" si="5"/>
        <v>324498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106303</v>
      </c>
      <c r="D55" s="1586">
        <v>21089</v>
      </c>
      <c r="E55" s="1586">
        <v>0</v>
      </c>
      <c r="F55" s="1586">
        <v>0</v>
      </c>
      <c r="G55" s="1586">
        <v>0</v>
      </c>
      <c r="H55" s="1586">
        <v>0</v>
      </c>
      <c r="I55" s="1574">
        <v>0</v>
      </c>
      <c r="J55" s="1574">
        <v>0</v>
      </c>
      <c r="K55" s="1678">
        <f>SUM(C55:J55)</f>
        <v>127392</v>
      </c>
      <c r="L55" s="1586">
        <v>127573</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106303</v>
      </c>
      <c r="D57" s="1679">
        <f t="shared" ref="D57:K57" si="6">SUM(D55:D56)</f>
        <v>21089</v>
      </c>
      <c r="E57" s="1679">
        <f t="shared" si="6"/>
        <v>0</v>
      </c>
      <c r="F57" s="1679">
        <f t="shared" si="6"/>
        <v>0</v>
      </c>
      <c r="G57" s="1679">
        <f t="shared" si="6"/>
        <v>0</v>
      </c>
      <c r="H57" s="1679">
        <f t="shared" si="6"/>
        <v>0</v>
      </c>
      <c r="I57" s="1679">
        <f t="shared" si="6"/>
        <v>0</v>
      </c>
      <c r="J57" s="1679">
        <f t="shared" si="6"/>
        <v>0</v>
      </c>
      <c r="K57" s="1679">
        <f t="shared" si="6"/>
        <v>127392</v>
      </c>
      <c r="L57" s="1674">
        <f>SUM(L55:L56)</f>
        <v>127573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58562</v>
      </c>
      <c r="D60" s="1573">
        <v>9997</v>
      </c>
      <c r="E60" s="1573">
        <v>750</v>
      </c>
      <c r="F60" s="1573">
        <v>13881</v>
      </c>
      <c r="G60" s="1573">
        <v>0</v>
      </c>
      <c r="H60" s="1573">
        <v>0</v>
      </c>
      <c r="I60" s="1574">
        <v>0</v>
      </c>
      <c r="J60" s="1574">
        <v>0</v>
      </c>
      <c r="K60" s="1678">
        <f t="shared" si="7"/>
        <v>83190</v>
      </c>
      <c r="L60" s="1573">
        <v>83258</v>
      </c>
      <c r="M60" s="501"/>
      <c r="N60" s="501"/>
    </row>
    <row r="61" spans="1:14" s="321" customFormat="1" x14ac:dyDescent="0.2">
      <c r="A61" s="1274" t="s">
        <v>195</v>
      </c>
      <c r="B61" s="503">
        <v>2540</v>
      </c>
      <c r="C61" s="1573">
        <v>0</v>
      </c>
      <c r="D61" s="1573">
        <v>0</v>
      </c>
      <c r="E61" s="1573">
        <v>2671</v>
      </c>
      <c r="F61" s="1573">
        <v>71528</v>
      </c>
      <c r="G61" s="1573">
        <v>0</v>
      </c>
      <c r="H61" s="1573">
        <v>0</v>
      </c>
      <c r="I61" s="1574">
        <v>0</v>
      </c>
      <c r="J61" s="1574">
        <v>0</v>
      </c>
      <c r="K61" s="1678">
        <f t="shared" si="7"/>
        <v>74199</v>
      </c>
      <c r="L61" s="1573">
        <v>74785</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25114</v>
      </c>
      <c r="D63" s="1573">
        <v>0</v>
      </c>
      <c r="E63" s="1573">
        <v>3190</v>
      </c>
      <c r="F63" s="1573">
        <v>54377</v>
      </c>
      <c r="G63" s="1573">
        <v>0</v>
      </c>
      <c r="H63" s="1573">
        <v>0</v>
      </c>
      <c r="I63" s="1574">
        <v>0</v>
      </c>
      <c r="J63" s="1574">
        <v>0</v>
      </c>
      <c r="K63" s="1678">
        <f t="shared" si="7"/>
        <v>82681</v>
      </c>
      <c r="L63" s="1573">
        <v>83195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83676</v>
      </c>
      <c r="D65" s="1674">
        <f t="shared" ref="D65:L65" si="8">SUM(D59:D64)</f>
        <v>9997</v>
      </c>
      <c r="E65" s="1674">
        <f t="shared" si="8"/>
        <v>6611</v>
      </c>
      <c r="F65" s="1674">
        <f t="shared" si="8"/>
        <v>139786</v>
      </c>
      <c r="G65" s="1674">
        <f t="shared" si="8"/>
        <v>0</v>
      </c>
      <c r="H65" s="1674">
        <f t="shared" si="8"/>
        <v>0</v>
      </c>
      <c r="I65" s="1674">
        <f t="shared" si="8"/>
        <v>0</v>
      </c>
      <c r="J65" s="1674">
        <f t="shared" si="8"/>
        <v>0</v>
      </c>
      <c r="K65" s="1674">
        <f t="shared" si="8"/>
        <v>240070</v>
      </c>
      <c r="L65" s="1674">
        <f t="shared" si="8"/>
        <v>241238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461686</v>
      </c>
      <c r="D74" s="1681">
        <f t="shared" ref="D74:K74" si="10">SUM(D42,D47,D53,D57,D65,D72,D73)</f>
        <v>82699</v>
      </c>
      <c r="E74" s="1681">
        <f t="shared" si="10"/>
        <v>92789</v>
      </c>
      <c r="F74" s="1681">
        <f t="shared" si="10"/>
        <v>150688</v>
      </c>
      <c r="G74" s="1681">
        <f t="shared" si="10"/>
        <v>0</v>
      </c>
      <c r="H74" s="1681">
        <f t="shared" si="10"/>
        <v>30644</v>
      </c>
      <c r="I74" s="1681">
        <f t="shared" si="10"/>
        <v>0</v>
      </c>
      <c r="J74" s="1681">
        <f t="shared" si="10"/>
        <v>0</v>
      </c>
      <c r="K74" s="1681">
        <f t="shared" si="10"/>
        <v>818506</v>
      </c>
      <c r="L74" s="1681">
        <f>SUM(L42,L47,L53,L57,L65,L72,L73)</f>
        <v>847027</v>
      </c>
    </row>
    <row r="75" spans="1:14" s="254" customFormat="1" ht="15.75" customHeight="1" thickTop="1" thickBot="1" x14ac:dyDescent="0.25">
      <c r="A75" s="1348" t="s">
        <v>47</v>
      </c>
      <c r="B75" s="1349" t="s">
        <v>571</v>
      </c>
      <c r="C75" s="1649">
        <v>1933</v>
      </c>
      <c r="D75" s="1649">
        <v>0</v>
      </c>
      <c r="E75" s="1649">
        <v>0</v>
      </c>
      <c r="F75" s="1649">
        <v>401</v>
      </c>
      <c r="G75" s="1649">
        <v>0</v>
      </c>
      <c r="H75" s="1649">
        <v>0</v>
      </c>
      <c r="I75" s="1627">
        <v>0</v>
      </c>
      <c r="J75" s="1627">
        <v>0</v>
      </c>
      <c r="K75" s="1674">
        <f>SUM(C75:J75)</f>
        <v>2334</v>
      </c>
      <c r="L75" s="1651">
        <v>2334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26402</v>
      </c>
      <c r="F79" s="1673"/>
      <c r="G79" s="1673"/>
      <c r="H79" s="1573">
        <v>25460</v>
      </c>
      <c r="I79" s="1582"/>
      <c r="J79" s="1582"/>
      <c r="K79" s="1672">
        <f t="shared" si="11"/>
        <v>51862</v>
      </c>
      <c r="L79" s="1573">
        <v>54679</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26402</v>
      </c>
      <c r="F84" s="1673"/>
      <c r="G84" s="1673"/>
      <c r="H84" s="1674">
        <f>SUM(H78:H83)</f>
        <v>25460</v>
      </c>
      <c r="I84" s="1582"/>
      <c r="J84" s="1582"/>
      <c r="K84" s="1674">
        <f>SUM(K78:K83)</f>
        <v>51862</v>
      </c>
      <c r="L84" s="1674">
        <f>SUM(L78:L83)</f>
        <v>54679</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26402</v>
      </c>
      <c r="F102" s="1673"/>
      <c r="G102" s="1673"/>
      <c r="H102" s="1681">
        <f>SUM(H84,H92,H100,H101)</f>
        <v>25460</v>
      </c>
      <c r="I102" s="1582"/>
      <c r="J102" s="1582"/>
      <c r="K102" s="1681">
        <f>SUM(K84,K92,K100,K101)</f>
        <v>51862</v>
      </c>
      <c r="L102" s="1681">
        <f>SUM(L84,L92,L100,L101)</f>
        <v>54679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1464456</v>
      </c>
      <c r="D114" s="1674">
        <f t="shared" ref="D114:K114" si="13">SUM(D33,D74,D75,D102,D112,D113)</f>
        <v>327548</v>
      </c>
      <c r="E114" s="1674">
        <f t="shared" si="13"/>
        <v>167493</v>
      </c>
      <c r="F114" s="1674">
        <f t="shared" si="13"/>
        <v>273843</v>
      </c>
      <c r="G114" s="1674">
        <f t="shared" si="13"/>
        <v>26926</v>
      </c>
      <c r="H114" s="1674">
        <f>SUM(H33,H74,H75,H102,H112,H113)</f>
        <v>223799</v>
      </c>
      <c r="I114" s="1674">
        <f t="shared" si="13"/>
        <v>0</v>
      </c>
      <c r="J114" s="1674">
        <f t="shared" si="13"/>
        <v>0</v>
      </c>
      <c r="K114" s="1674">
        <f t="shared" si="13"/>
        <v>2484065</v>
      </c>
      <c r="L114" s="1674">
        <f>SUM(L33,L74,L75,L102,L112,L113)</f>
        <v>2521208</v>
      </c>
    </row>
    <row r="115" spans="1:14" ht="13.5" thickTop="1" x14ac:dyDescent="0.2">
      <c r="A115" s="2334" t="s">
        <v>989</v>
      </c>
      <c r="B115" s="2335"/>
      <c r="C115" s="1675"/>
      <c r="D115" s="1675"/>
      <c r="E115" s="1675"/>
      <c r="F115" s="1675"/>
      <c r="G115" s="1675"/>
      <c r="H115" s="1675"/>
      <c r="I115" s="1675"/>
      <c r="J115" s="1675"/>
      <c r="K115" s="1689">
        <f>'Revenues 9-14'!C268-'Expenditures 15-22'!K114</f>
        <v>107303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2" t="s">
        <v>293</v>
      </c>
      <c r="B117" s="231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136534</v>
      </c>
      <c r="D124" s="1573">
        <v>35615</v>
      </c>
      <c r="E124" s="1573">
        <v>66336</v>
      </c>
      <c r="F124" s="1573">
        <v>35448</v>
      </c>
      <c r="G124" s="1573">
        <v>30822</v>
      </c>
      <c r="H124" s="1573">
        <v>0</v>
      </c>
      <c r="I124" s="1574">
        <v>0</v>
      </c>
      <c r="J124" s="1574">
        <v>0</v>
      </c>
      <c r="K124" s="1674">
        <f>SUM(C124:J124)</f>
        <v>304755</v>
      </c>
      <c r="L124" s="1573">
        <v>306692</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136534</v>
      </c>
      <c r="D127" s="1674">
        <f t="shared" ref="D127:L127" si="14">SUM(D122:D126)</f>
        <v>35615</v>
      </c>
      <c r="E127" s="1674">
        <f t="shared" si="14"/>
        <v>66336</v>
      </c>
      <c r="F127" s="1674">
        <f t="shared" si="14"/>
        <v>35448</v>
      </c>
      <c r="G127" s="1674">
        <f t="shared" si="14"/>
        <v>30822</v>
      </c>
      <c r="H127" s="1674">
        <f t="shared" si="14"/>
        <v>0</v>
      </c>
      <c r="I127" s="1674">
        <f t="shared" si="14"/>
        <v>0</v>
      </c>
      <c r="J127" s="1674">
        <f t="shared" si="14"/>
        <v>0</v>
      </c>
      <c r="K127" s="1674">
        <f t="shared" si="14"/>
        <v>304755</v>
      </c>
      <c r="L127" s="1674">
        <f t="shared" si="14"/>
        <v>306692</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136534</v>
      </c>
      <c r="D129" s="1681">
        <f t="shared" ref="D129:L129" si="15">SUM(D120,D127,D128)</f>
        <v>35615</v>
      </c>
      <c r="E129" s="1681">
        <f t="shared" si="15"/>
        <v>66336</v>
      </c>
      <c r="F129" s="1681">
        <f t="shared" si="15"/>
        <v>35448</v>
      </c>
      <c r="G129" s="1681">
        <f t="shared" si="15"/>
        <v>30822</v>
      </c>
      <c r="H129" s="1681">
        <f t="shared" si="15"/>
        <v>0</v>
      </c>
      <c r="I129" s="1681">
        <f t="shared" si="15"/>
        <v>0</v>
      </c>
      <c r="J129" s="1681">
        <f t="shared" si="15"/>
        <v>0</v>
      </c>
      <c r="K129" s="1681">
        <f t="shared" si="15"/>
        <v>304755</v>
      </c>
      <c r="L129" s="1681">
        <f t="shared" si="15"/>
        <v>306692</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4" t="s">
        <v>616</v>
      </c>
      <c r="B151" s="2306"/>
      <c r="C151" s="1674">
        <f>SUM(C129,C130,C139,C149,C150)</f>
        <v>136534</v>
      </c>
      <c r="D151" s="1674">
        <f t="shared" ref="D151:K151" si="16">SUM(D129,D130,D139,D149,D150)</f>
        <v>35615</v>
      </c>
      <c r="E151" s="1674">
        <f t="shared" si="16"/>
        <v>66336</v>
      </c>
      <c r="F151" s="1674">
        <f t="shared" si="16"/>
        <v>35448</v>
      </c>
      <c r="G151" s="1674">
        <f t="shared" si="16"/>
        <v>30822</v>
      </c>
      <c r="H151" s="1674">
        <f t="shared" si="16"/>
        <v>0</v>
      </c>
      <c r="I151" s="1674">
        <f t="shared" si="16"/>
        <v>0</v>
      </c>
      <c r="J151" s="1674">
        <f t="shared" si="16"/>
        <v>0</v>
      </c>
      <c r="K151" s="1674">
        <f t="shared" si="16"/>
        <v>304755</v>
      </c>
      <c r="L151" s="1674">
        <f>SUM(L129,L130,L139,L149,L150)</f>
        <v>306692</v>
      </c>
    </row>
    <row r="152" spans="1:14" ht="12.75" customHeight="1" thickTop="1" x14ac:dyDescent="0.2">
      <c r="A152" s="2327" t="s">
        <v>1168</v>
      </c>
      <c r="B152" s="2328"/>
      <c r="C152" s="1675"/>
      <c r="D152" s="1675"/>
      <c r="E152" s="1675"/>
      <c r="F152" s="1675"/>
      <c r="G152" s="1675"/>
      <c r="H152" s="1675"/>
      <c r="I152" s="1675"/>
      <c r="J152" s="1673"/>
      <c r="K152" s="1689">
        <f>'Revenues 9-14'!D268-'Expenditures 15-22'!K151</f>
        <v>3708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2" t="s">
        <v>617</v>
      </c>
      <c r="B154" s="231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v>0</v>
      </c>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131350</v>
      </c>
      <c r="I169" s="1673"/>
      <c r="J169" s="1673"/>
      <c r="K169" s="1672">
        <f>SUM(C169:H169)</f>
        <v>131350</v>
      </c>
      <c r="L169" s="1695">
        <v>131350</v>
      </c>
    </row>
    <row r="170" spans="1:14" ht="33.75" customHeight="1" x14ac:dyDescent="0.2">
      <c r="A170" s="543" t="s">
        <v>1651</v>
      </c>
      <c r="B170" s="545" t="s">
        <v>31</v>
      </c>
      <c r="C170" s="1673"/>
      <c r="D170" s="1673"/>
      <c r="E170" s="1673"/>
      <c r="F170" s="1673"/>
      <c r="G170" s="1673"/>
      <c r="H170" s="1646">
        <v>122000</v>
      </c>
      <c r="I170" s="1673"/>
      <c r="J170" s="1673"/>
      <c r="K170" s="1672">
        <f>SUM(C170:J170)</f>
        <v>122000</v>
      </c>
      <c r="L170" s="1646">
        <v>122000</v>
      </c>
    </row>
    <row r="171" spans="1:14" ht="15.75" customHeight="1" x14ac:dyDescent="0.2">
      <c r="A171" s="507" t="s">
        <v>761</v>
      </c>
      <c r="B171" s="546" t="s">
        <v>84</v>
      </c>
      <c r="C171" s="1673"/>
      <c r="D171" s="1673"/>
      <c r="E171" s="1573">
        <v>850</v>
      </c>
      <c r="F171" s="1673"/>
      <c r="G171" s="1673"/>
      <c r="H171" s="1646">
        <v>0</v>
      </c>
      <c r="I171" s="1582"/>
      <c r="J171" s="1673"/>
      <c r="K171" s="1672">
        <f>SUM(C171:J171)</f>
        <v>850</v>
      </c>
      <c r="L171" s="1646">
        <v>1025</v>
      </c>
    </row>
    <row r="172" spans="1:14" ht="12.75" customHeight="1" thickBot="1" x14ac:dyDescent="0.25">
      <c r="A172" s="1380" t="s">
        <v>633</v>
      </c>
      <c r="B172" s="1381" t="s">
        <v>489</v>
      </c>
      <c r="C172" s="1673"/>
      <c r="D172" s="1673"/>
      <c r="E172" s="1681">
        <f>SUM(E168,E169,E170,E171)</f>
        <v>850</v>
      </c>
      <c r="F172" s="1673"/>
      <c r="G172" s="1673"/>
      <c r="H172" s="1681">
        <f>SUM(H168,H169,H170,H171)</f>
        <v>253350</v>
      </c>
      <c r="I172" s="1684"/>
      <c r="J172" s="1673"/>
      <c r="K172" s="1681">
        <f>SUM(K168,K169,K170,K171)</f>
        <v>254200</v>
      </c>
      <c r="L172" s="1681">
        <f>SUM(L168,L169,L170,L171)</f>
        <v>254375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850</v>
      </c>
      <c r="F174" s="1673"/>
      <c r="G174" s="1673"/>
      <c r="H174" s="1681">
        <f>SUM(H160,H172,H173)</f>
        <v>253350</v>
      </c>
      <c r="I174" s="1684"/>
      <c r="J174" s="1673"/>
      <c r="K174" s="1681">
        <f>SUM(K160,K172,K173)</f>
        <v>254200</v>
      </c>
      <c r="L174" s="1681">
        <f>SUM(L160,L172,L173)</f>
        <v>254375</v>
      </c>
    </row>
    <row r="175" spans="1:14" ht="13.5" thickTop="1" x14ac:dyDescent="0.2">
      <c r="A175" s="2334" t="s">
        <v>989</v>
      </c>
      <c r="B175" s="2335"/>
      <c r="C175" s="1673"/>
      <c r="D175" s="1673"/>
      <c r="E175" s="1673"/>
      <c r="F175" s="1673"/>
      <c r="G175" s="1673"/>
      <c r="H175" s="1675"/>
      <c r="I175" s="1673"/>
      <c r="J175" s="1673"/>
      <c r="K175" s="1689">
        <f>'Revenues 9-14'!E268-'Expenditures 15-22'!K174</f>
        <v>1090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945</v>
      </c>
      <c r="F182" s="1573">
        <v>0</v>
      </c>
      <c r="G182" s="1573">
        <v>0</v>
      </c>
      <c r="H182" s="1573">
        <v>0</v>
      </c>
      <c r="I182" s="1574">
        <v>0</v>
      </c>
      <c r="J182" s="1574">
        <v>0</v>
      </c>
      <c r="K182" s="1672">
        <f>SUM(C182:J182)</f>
        <v>945</v>
      </c>
      <c r="L182" s="1573">
        <v>946</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945</v>
      </c>
      <c r="F184" s="1681">
        <f t="shared" si="17"/>
        <v>0</v>
      </c>
      <c r="G184" s="1681">
        <f t="shared" si="17"/>
        <v>0</v>
      </c>
      <c r="H184" s="1681">
        <f t="shared" si="17"/>
        <v>0</v>
      </c>
      <c r="I184" s="1681">
        <f t="shared" si="17"/>
        <v>0</v>
      </c>
      <c r="J184" s="1681">
        <f t="shared" si="17"/>
        <v>0</v>
      </c>
      <c r="K184" s="1681">
        <f>SUM(K180,K182,K183)</f>
        <v>945</v>
      </c>
      <c r="L184" s="1681">
        <f>SUM(L180, L182:L183)</f>
        <v>946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140929</v>
      </c>
      <c r="F188" s="1673"/>
      <c r="G188" s="1673"/>
      <c r="H188" s="1573">
        <v>0</v>
      </c>
      <c r="I188" s="1582"/>
      <c r="J188" s="1673"/>
      <c r="K188" s="1672">
        <f t="shared" ref="K188:K193" si="18">SUM(E188,H188)</f>
        <v>140929</v>
      </c>
      <c r="L188" s="1573">
        <v>141365</v>
      </c>
    </row>
    <row r="189" spans="1:14" x14ac:dyDescent="0.2">
      <c r="A189" s="1274" t="s">
        <v>301</v>
      </c>
      <c r="B189" s="503">
        <v>4120</v>
      </c>
      <c r="C189" s="1673"/>
      <c r="D189" s="1673"/>
      <c r="E189" s="1573">
        <v>6432</v>
      </c>
      <c r="F189" s="1673"/>
      <c r="G189" s="1673"/>
      <c r="H189" s="1573">
        <v>0</v>
      </c>
      <c r="I189" s="1582"/>
      <c r="J189" s="1673"/>
      <c r="K189" s="1672">
        <f t="shared" si="18"/>
        <v>6432</v>
      </c>
      <c r="L189" s="1573">
        <v>8152</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147361</v>
      </c>
      <c r="F194" s="1673"/>
      <c r="G194" s="1673"/>
      <c r="H194" s="1674">
        <f>SUM(H188:H193)</f>
        <v>0</v>
      </c>
      <c r="I194" s="1582"/>
      <c r="J194" s="1673"/>
      <c r="K194" s="1674">
        <f>SUM(K188:K193)</f>
        <v>147361</v>
      </c>
      <c r="L194" s="1674">
        <f>SUM(L188:L193)</f>
        <v>149517</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147361</v>
      </c>
      <c r="F196" s="1673"/>
      <c r="G196" s="1673"/>
      <c r="H196" s="1681">
        <f>SUM(H194,H195)</f>
        <v>0</v>
      </c>
      <c r="I196" s="1582"/>
      <c r="J196" s="1673"/>
      <c r="K196" s="1681">
        <f>SUM(K194,K195)</f>
        <v>147361</v>
      </c>
      <c r="L196" s="1681">
        <f>SUM(L194,L195)</f>
        <v>149517</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148306</v>
      </c>
      <c r="F210" s="1674">
        <f>SUM(F184,F185)</f>
        <v>0</v>
      </c>
      <c r="G210" s="1674">
        <f>SUM(G184,G185)</f>
        <v>0</v>
      </c>
      <c r="H210" s="1674">
        <f>SUM(H184,H185,H196,H208,H209)</f>
        <v>0</v>
      </c>
      <c r="I210" s="1674">
        <f>SUM(I184,I185)</f>
        <v>0</v>
      </c>
      <c r="J210" s="1674">
        <f>SUM(J184,J185)</f>
        <v>0</v>
      </c>
      <c r="K210" s="1672">
        <f>SUM(K184,K185,K196,K208,K209)</f>
        <v>148306</v>
      </c>
      <c r="L210" s="1674">
        <f>SUM(L184,L185,L196,L208,L209)</f>
        <v>150463</v>
      </c>
    </row>
    <row r="211" spans="1:14" ht="13.5" thickTop="1" x14ac:dyDescent="0.2">
      <c r="A211" s="2334" t="s">
        <v>989</v>
      </c>
      <c r="B211" s="2335"/>
      <c r="C211" s="1675"/>
      <c r="D211" s="1675"/>
      <c r="E211" s="1675"/>
      <c r="F211" s="1675"/>
      <c r="G211" s="1675"/>
      <c r="H211" s="1675"/>
      <c r="I211" s="1673"/>
      <c r="J211" s="1673"/>
      <c r="K211" s="1689">
        <f>'Revenues 9-14'!F268-'Expenditures 15-22'!K210</f>
        <v>67548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9" t="s">
        <v>959</v>
      </c>
      <c r="B213" s="233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26400</v>
      </c>
      <c r="E215" s="1673"/>
      <c r="F215" s="1673"/>
      <c r="G215" s="1673"/>
      <c r="H215" s="1673"/>
      <c r="I215" s="1673"/>
      <c r="J215" s="1673"/>
      <c r="K215" s="1672">
        <f>D215</f>
        <v>26400</v>
      </c>
      <c r="L215" s="1573">
        <v>26424</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1209</v>
      </c>
      <c r="E217" s="1673"/>
      <c r="F217" s="1673"/>
      <c r="G217" s="1673"/>
      <c r="H217" s="1673"/>
      <c r="I217" s="1673"/>
      <c r="J217" s="1673"/>
      <c r="K217" s="1672">
        <f t="shared" si="19"/>
        <v>1209</v>
      </c>
      <c r="L217" s="1573">
        <v>1212</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647</v>
      </c>
      <c r="E219" s="1673"/>
      <c r="F219" s="1673"/>
      <c r="G219" s="1673"/>
      <c r="H219" s="1673"/>
      <c r="I219" s="1673"/>
      <c r="J219" s="1673"/>
      <c r="K219" s="1672">
        <f t="shared" si="19"/>
        <v>647</v>
      </c>
      <c r="L219" s="1573">
        <v>649</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1006</v>
      </c>
      <c r="E223" s="1673"/>
      <c r="F223" s="1673"/>
      <c r="G223" s="1673"/>
      <c r="H223" s="1673"/>
      <c r="I223" s="1673"/>
      <c r="J223" s="1673"/>
      <c r="K223" s="1672">
        <f t="shared" si="19"/>
        <v>1006</v>
      </c>
      <c r="L223" s="1573">
        <v>1008</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10</v>
      </c>
      <c r="E225" s="1673"/>
      <c r="F225" s="1673"/>
      <c r="G225" s="1673"/>
      <c r="H225" s="1673"/>
      <c r="I225" s="1673"/>
      <c r="J225" s="1673"/>
      <c r="K225" s="1672">
        <f t="shared" si="19"/>
        <v>10</v>
      </c>
      <c r="L225" s="1573">
        <v>11</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29272</v>
      </c>
      <c r="E229" s="1673"/>
      <c r="F229" s="1673"/>
      <c r="G229" s="1673"/>
      <c r="H229" s="1673"/>
      <c r="I229" s="1673"/>
      <c r="J229" s="1673"/>
      <c r="K229" s="1674">
        <f>SUM(K215:K228)</f>
        <v>29272</v>
      </c>
      <c r="L229" s="1674">
        <f>SUM(L215:L228)</f>
        <v>29304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62</v>
      </c>
      <c r="E232" s="1673"/>
      <c r="F232" s="1673"/>
      <c r="G232" s="1673"/>
      <c r="H232" s="1673"/>
      <c r="I232" s="1673"/>
      <c r="J232" s="1673"/>
      <c r="K232" s="1672">
        <f t="shared" ref="K232:K237" si="20">D232</f>
        <v>62</v>
      </c>
      <c r="L232" s="1573">
        <v>62</v>
      </c>
    </row>
    <row r="233" spans="1:12" x14ac:dyDescent="0.2">
      <c r="A233" s="1274" t="s">
        <v>1081</v>
      </c>
      <c r="B233" s="503">
        <v>2120</v>
      </c>
      <c r="C233" s="1673"/>
      <c r="D233" s="1573">
        <v>528</v>
      </c>
      <c r="E233" s="1673"/>
      <c r="F233" s="1673"/>
      <c r="G233" s="1673"/>
      <c r="H233" s="1673"/>
      <c r="I233" s="1673"/>
      <c r="J233" s="1673"/>
      <c r="K233" s="1672">
        <f t="shared" si="20"/>
        <v>528</v>
      </c>
      <c r="L233" s="1573">
        <v>530</v>
      </c>
    </row>
    <row r="234" spans="1:12" x14ac:dyDescent="0.2">
      <c r="A234" s="1274" t="s">
        <v>196</v>
      </c>
      <c r="B234" s="503">
        <v>2130</v>
      </c>
      <c r="C234" s="1673"/>
      <c r="D234" s="1573">
        <v>4996</v>
      </c>
      <c r="E234" s="1673"/>
      <c r="F234" s="1673"/>
      <c r="G234" s="1673"/>
      <c r="H234" s="1673"/>
      <c r="I234" s="1673"/>
      <c r="J234" s="1673"/>
      <c r="K234" s="1672">
        <f t="shared" si="20"/>
        <v>4996</v>
      </c>
      <c r="L234" s="1573">
        <v>5025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648</v>
      </c>
      <c r="E236" s="1673"/>
      <c r="F236" s="1673"/>
      <c r="G236" s="1673"/>
      <c r="H236" s="1673"/>
      <c r="I236" s="1673"/>
      <c r="J236" s="1673"/>
      <c r="K236" s="1672">
        <f t="shared" si="20"/>
        <v>648</v>
      </c>
      <c r="L236" s="1573">
        <v>652</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6234</v>
      </c>
      <c r="E238" s="1673"/>
      <c r="F238" s="1673"/>
      <c r="G238" s="1673"/>
      <c r="H238" s="1673"/>
      <c r="I238" s="1673"/>
      <c r="J238" s="1673"/>
      <c r="K238" s="1674">
        <f>SUM(K232:K237)</f>
        <v>6234</v>
      </c>
      <c r="L238" s="1674">
        <f>SUM(L232:L237)</f>
        <v>6269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30</v>
      </c>
      <c r="E240" s="1673"/>
      <c r="F240" s="1673"/>
      <c r="G240" s="1673"/>
      <c r="H240" s="1673"/>
      <c r="I240" s="1673"/>
      <c r="J240" s="1673"/>
      <c r="K240" s="1678">
        <f>D240</f>
        <v>30</v>
      </c>
      <c r="L240" s="1586">
        <v>34</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30</v>
      </c>
      <c r="E243" s="1673"/>
      <c r="F243" s="1673"/>
      <c r="G243" s="1673"/>
      <c r="H243" s="1673"/>
      <c r="I243" s="1673"/>
      <c r="J243" s="1673"/>
      <c r="K243" s="1674">
        <f>SUM(K240:K242)</f>
        <v>30</v>
      </c>
      <c r="L243" s="1674">
        <f>SUM(L240:L242)</f>
        <v>34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309</v>
      </c>
      <c r="E245" s="1673"/>
      <c r="F245" s="1673"/>
      <c r="G245" s="1673"/>
      <c r="H245" s="1673"/>
      <c r="I245" s="1673"/>
      <c r="J245" s="1673"/>
      <c r="K245" s="1678">
        <f>D245</f>
        <v>309</v>
      </c>
      <c r="L245" s="1586">
        <v>309</v>
      </c>
    </row>
    <row r="246" spans="1:12" x14ac:dyDescent="0.2">
      <c r="A246" s="1274" t="s">
        <v>813</v>
      </c>
      <c r="B246" s="503">
        <v>2320</v>
      </c>
      <c r="C246" s="1673"/>
      <c r="D246" s="1573">
        <v>6280</v>
      </c>
      <c r="E246" s="1673"/>
      <c r="F246" s="1673"/>
      <c r="G246" s="1673"/>
      <c r="H246" s="1673"/>
      <c r="I246" s="1673"/>
      <c r="J246" s="1673"/>
      <c r="K246" s="1678">
        <f t="shared" ref="K246:K256" si="21">D246</f>
        <v>6280</v>
      </c>
      <c r="L246" s="1573">
        <v>6326</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1781</v>
      </c>
      <c r="B249" s="557" t="s">
        <v>280</v>
      </c>
      <c r="C249" s="1673"/>
      <c r="D249" s="1579">
        <v>0</v>
      </c>
      <c r="E249" s="1673"/>
      <c r="F249" s="1673"/>
      <c r="G249" s="1673"/>
      <c r="H249" s="1673"/>
      <c r="I249" s="1673"/>
      <c r="J249" s="1673"/>
      <c r="K249" s="1678">
        <f t="shared" si="21"/>
        <v>0</v>
      </c>
      <c r="L249" s="1573">
        <v>0</v>
      </c>
    </row>
    <row r="250" spans="1:12" x14ac:dyDescent="0.2">
      <c r="A250" s="1275" t="s">
        <v>1782</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6589</v>
      </c>
      <c r="E257" s="1673"/>
      <c r="F257" s="1673"/>
      <c r="G257" s="1673"/>
      <c r="H257" s="1673"/>
      <c r="I257" s="1673"/>
      <c r="J257" s="1673"/>
      <c r="K257" s="1674">
        <f>SUM(K245:K256)</f>
        <v>6589</v>
      </c>
      <c r="L257" s="1674">
        <f>SUM(L245:L256)</f>
        <v>6635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4749</v>
      </c>
      <c r="E259" s="1673"/>
      <c r="F259" s="1673"/>
      <c r="G259" s="1673"/>
      <c r="H259" s="1673"/>
      <c r="I259" s="1673"/>
      <c r="J259" s="1673"/>
      <c r="K259" s="1678">
        <f>D259</f>
        <v>4749</v>
      </c>
      <c r="L259" s="1586">
        <v>4786</v>
      </c>
    </row>
    <row r="260" spans="1:14" s="493" customFormat="1" x14ac:dyDescent="0.2">
      <c r="A260" s="1292" t="s">
        <v>1780</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4749</v>
      </c>
      <c r="E261" s="1673"/>
      <c r="F261" s="1673"/>
      <c r="G261" s="1673"/>
      <c r="H261" s="1673"/>
      <c r="I261" s="1673"/>
      <c r="J261" s="1673"/>
      <c r="K261" s="1674">
        <f>SUM(K259:K260)</f>
        <v>4749</v>
      </c>
      <c r="L261" s="1674">
        <f>SUM(L259:L260)</f>
        <v>4786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8801</v>
      </c>
      <c r="E264" s="1673"/>
      <c r="F264" s="1673"/>
      <c r="G264" s="1673"/>
      <c r="H264" s="1673"/>
      <c r="I264" s="1673"/>
      <c r="J264" s="1673"/>
      <c r="K264" s="1678">
        <f t="shared" ref="K264:K269" si="22">D264</f>
        <v>8801</v>
      </c>
      <c r="L264" s="1573">
        <v>8808</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20248</v>
      </c>
      <c r="E266" s="1673"/>
      <c r="F266" s="1673"/>
      <c r="G266" s="1673"/>
      <c r="H266" s="1673"/>
      <c r="I266" s="1673"/>
      <c r="J266" s="1673"/>
      <c r="K266" s="1678">
        <f t="shared" si="22"/>
        <v>20248</v>
      </c>
      <c r="L266" s="1573">
        <v>20293</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3835</v>
      </c>
      <c r="E268" s="1673"/>
      <c r="F268" s="1673"/>
      <c r="G268" s="1673"/>
      <c r="H268" s="1673"/>
      <c r="I268" s="1673"/>
      <c r="J268" s="1673"/>
      <c r="K268" s="1678">
        <f t="shared" si="22"/>
        <v>3835</v>
      </c>
      <c r="L268" s="1573">
        <v>3861</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32884</v>
      </c>
      <c r="E270" s="1673"/>
      <c r="F270" s="1673"/>
      <c r="G270" s="1673"/>
      <c r="H270" s="1673"/>
      <c r="I270" s="1673"/>
      <c r="J270" s="1673"/>
      <c r="K270" s="1674">
        <f>SUM(K263:K269)</f>
        <v>32884</v>
      </c>
      <c r="L270" s="1674">
        <f>SUM(L263:L269)</f>
        <v>32962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50486</v>
      </c>
      <c r="E279" s="1673"/>
      <c r="F279" s="1673"/>
      <c r="G279" s="1673"/>
      <c r="H279" s="1673"/>
      <c r="I279" s="1673"/>
      <c r="J279" s="1673"/>
      <c r="K279" s="1681">
        <f>SUM(K238,K243,K257,K261,K270,K277,K278)</f>
        <v>50486</v>
      </c>
      <c r="L279" s="1681">
        <f>SUM(L238,L243,L257,L261,L270,L277,L278)</f>
        <v>50686</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5" t="s">
        <v>502</v>
      </c>
      <c r="B295" s="2326"/>
      <c r="C295" s="1673"/>
      <c r="D295" s="1674">
        <f>SUM(D229,D279,D280,D285)</f>
        <v>79758</v>
      </c>
      <c r="E295" s="1673"/>
      <c r="F295" s="1673"/>
      <c r="G295" s="1673"/>
      <c r="H295" s="1674">
        <f>H293</f>
        <v>0</v>
      </c>
      <c r="I295" s="1673"/>
      <c r="J295" s="1673"/>
      <c r="K295" s="1674">
        <f>SUM(K229,K279,K280,K285,K293,K294)</f>
        <v>79758</v>
      </c>
      <c r="L295" s="1674">
        <f>SUM(L229,L279,L280,L285,L293,L294)</f>
        <v>79990</v>
      </c>
    </row>
    <row r="296" spans="1:14" ht="13.5" thickTop="1" x14ac:dyDescent="0.2">
      <c r="A296" s="2334" t="s">
        <v>989</v>
      </c>
      <c r="B296" s="2335"/>
      <c r="C296" s="1673"/>
      <c r="D296" s="1675"/>
      <c r="E296" s="1673"/>
      <c r="F296" s="1673"/>
      <c r="G296" s="1673"/>
      <c r="H296" s="1707"/>
      <c r="I296" s="1673"/>
      <c r="J296" s="1673"/>
      <c r="K296" s="1689">
        <f>'Revenues 9-14'!G268-'Expenditures 15-22'!K295</f>
        <v>25629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7" t="s">
        <v>142</v>
      </c>
      <c r="B298" s="231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281377</v>
      </c>
      <c r="H301" s="1573">
        <v>0</v>
      </c>
      <c r="I301" s="1574">
        <v>0</v>
      </c>
      <c r="J301" s="1574">
        <v>0</v>
      </c>
      <c r="K301" s="1672">
        <f>SUM(C301:J301)</f>
        <v>281377</v>
      </c>
      <c r="L301" s="1574">
        <v>281377</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281377</v>
      </c>
      <c r="H303" s="1681">
        <f t="shared" si="23"/>
        <v>0</v>
      </c>
      <c r="I303" s="1681">
        <f t="shared" si="23"/>
        <v>0</v>
      </c>
      <c r="J303" s="1681">
        <f t="shared" si="23"/>
        <v>0</v>
      </c>
      <c r="K303" s="1681">
        <f t="shared" si="23"/>
        <v>281377</v>
      </c>
      <c r="L303" s="1681">
        <f t="shared" si="23"/>
        <v>281377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2" t="s">
        <v>275</v>
      </c>
      <c r="B312" s="2323"/>
      <c r="C312" s="1674">
        <f>SUM(C303)</f>
        <v>0</v>
      </c>
      <c r="D312" s="1674">
        <f>SUM(D303)</f>
        <v>0</v>
      </c>
      <c r="E312" s="1674">
        <f>SUM(E303,E310)</f>
        <v>0</v>
      </c>
      <c r="F312" s="1674">
        <f>SUM(F303)</f>
        <v>0</v>
      </c>
      <c r="G312" s="1674">
        <f>SUM(G303)</f>
        <v>281377</v>
      </c>
      <c r="H312" s="1674">
        <f>SUM(H303,H310)</f>
        <v>0</v>
      </c>
      <c r="I312" s="1674">
        <f>SUM(I303)</f>
        <v>0</v>
      </c>
      <c r="J312" s="1674">
        <f>SUM(J303)</f>
        <v>0</v>
      </c>
      <c r="K312" s="1674">
        <f>SUM(K303,K310,K311)</f>
        <v>281377</v>
      </c>
      <c r="L312" s="1674">
        <f>SUM(L303,L310,L311)</f>
        <v>281377</v>
      </c>
      <c r="M312" s="539"/>
      <c r="N312" s="539"/>
    </row>
    <row r="313" spans="1:14" ht="13.5" thickTop="1" x14ac:dyDescent="0.2">
      <c r="A313" s="2318" t="s">
        <v>989</v>
      </c>
      <c r="B313" s="2319"/>
      <c r="C313" s="1677"/>
      <c r="D313" s="1677"/>
      <c r="E313" s="1677"/>
      <c r="F313" s="1677"/>
      <c r="G313" s="1677"/>
      <c r="H313" s="1677"/>
      <c r="I313" s="1677"/>
      <c r="J313" s="1677"/>
      <c r="K313" s="1696">
        <f>'Revenues 9-14'!H268-'Expenditures 15-22'!K312</f>
        <v>-278347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1" t="s">
        <v>148</v>
      </c>
      <c r="B315" s="233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3" t="s">
        <v>892</v>
      </c>
      <c r="B317" s="233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1781</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320" t="s">
        <v>989</v>
      </c>
      <c r="B343" s="232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0" t="s">
        <v>960</v>
      </c>
      <c r="B345" s="231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11166</v>
      </c>
      <c r="F348" s="1573">
        <v>0</v>
      </c>
      <c r="G348" s="1573">
        <v>20000</v>
      </c>
      <c r="H348" s="1573">
        <v>0</v>
      </c>
      <c r="I348" s="1574">
        <v>0</v>
      </c>
      <c r="J348" s="1574">
        <v>0</v>
      </c>
      <c r="K348" s="1672">
        <f>SUM(C348:J348)</f>
        <v>31166</v>
      </c>
      <c r="L348" s="1573">
        <v>31166</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11166</v>
      </c>
      <c r="F350" s="1674">
        <f t="shared" si="26"/>
        <v>0</v>
      </c>
      <c r="G350" s="1674">
        <f t="shared" si="26"/>
        <v>20000</v>
      </c>
      <c r="H350" s="1674">
        <f t="shared" si="26"/>
        <v>0</v>
      </c>
      <c r="I350" s="1674">
        <f t="shared" si="26"/>
        <v>0</v>
      </c>
      <c r="J350" s="1674">
        <f t="shared" si="26"/>
        <v>0</v>
      </c>
      <c r="K350" s="1674">
        <f t="shared" si="26"/>
        <v>31166</v>
      </c>
      <c r="L350" s="1674">
        <f t="shared" si="26"/>
        <v>31166</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11166</v>
      </c>
      <c r="F352" s="1674">
        <f t="shared" si="27"/>
        <v>0</v>
      </c>
      <c r="G352" s="1674">
        <f t="shared" si="27"/>
        <v>20000</v>
      </c>
      <c r="H352" s="1674">
        <f t="shared" si="27"/>
        <v>0</v>
      </c>
      <c r="I352" s="1674">
        <f t="shared" si="27"/>
        <v>0</v>
      </c>
      <c r="J352" s="1674">
        <f t="shared" si="27"/>
        <v>0</v>
      </c>
      <c r="K352" s="1674">
        <f t="shared" si="27"/>
        <v>31166</v>
      </c>
      <c r="L352" s="1674">
        <f t="shared" si="27"/>
        <v>31166</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v>0</v>
      </c>
      <c r="I354" s="1716"/>
      <c r="J354" s="1673"/>
      <c r="K354" s="1713">
        <f>H354</f>
        <v>0</v>
      </c>
      <c r="L354" s="1577">
        <v>0</v>
      </c>
    </row>
    <row r="355" spans="1:14" ht="12.75" customHeight="1" x14ac:dyDescent="0.2">
      <c r="A355" s="1283" t="s">
        <v>1824</v>
      </c>
      <c r="B355" s="562" t="s">
        <v>1817</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11166</v>
      </c>
      <c r="F367" s="1674">
        <f t="shared" si="28"/>
        <v>0</v>
      </c>
      <c r="G367" s="1674">
        <f t="shared" si="28"/>
        <v>20000</v>
      </c>
      <c r="H367" s="1674">
        <f t="shared" si="28"/>
        <v>0</v>
      </c>
      <c r="I367" s="1674">
        <f t="shared" si="28"/>
        <v>0</v>
      </c>
      <c r="J367" s="1674">
        <f t="shared" si="28"/>
        <v>0</v>
      </c>
      <c r="K367" s="1674">
        <f t="shared" si="28"/>
        <v>31166</v>
      </c>
      <c r="L367" s="1674">
        <f t="shared" si="28"/>
        <v>31166</v>
      </c>
    </row>
    <row r="368" spans="1:14" ht="13.5" thickTop="1" x14ac:dyDescent="0.2">
      <c r="A368" s="2334" t="s">
        <v>989</v>
      </c>
      <c r="B368" s="2335"/>
      <c r="C368" s="1694"/>
      <c r="D368" s="1694"/>
      <c r="E368" s="1677"/>
      <c r="F368" s="1677"/>
      <c r="G368" s="1677"/>
      <c r="H368" s="1677"/>
      <c r="I368" s="1677"/>
      <c r="J368" s="1676"/>
      <c r="K368" s="1672">
        <f>'Revenues 9-14'!K268-'Expenditures 15-22'!K367</f>
        <v>9507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6ce3111e-7420-4802-b50a-75d4e9a0b980"/>
    <ds:schemaRef ds:uri="http://schemas.microsoft.com/office/2006/documentManagement/types"/>
    <ds:schemaRef ds:uri="d21dc803-237d-4c68-8692-8d731fd29118"/>
    <ds:schemaRef ds:uri="http://schemas.microsoft.com/office/infopath/2007/PartnerControls"/>
    <ds:schemaRef ds:uri="http://purl.org/dc/elements/1.1/"/>
    <ds:schemaRef ds:uri="http://schemas.microsoft.com/sharepoint/v3"/>
    <ds:schemaRef ds:uri="http://schemas.openxmlformats.org/package/2006/metadata/core-properties"/>
    <ds:schemaRef ds:uri="4d435f69-8686-490b-bd6d-b153bf22ab50"/>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Finding 2020-001</vt:lpstr>
      <vt:lpstr>SSPAF</vt:lpstr>
      <vt:lpstr>CAP Finding 001 (2)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2020-10-09T17:57:30Z</cp:lastPrinted>
  <dcterms:created xsi:type="dcterms:W3CDTF">2003-10-29T19:06:34Z</dcterms:created>
  <dcterms:modified xsi:type="dcterms:W3CDTF">2020-10-18T19:44:25Z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