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629C884-94A3-441B-BC4F-BD325B576921}"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20" sheetId="187" r:id="rId28"/>
    <sheet name=" SEFA" sheetId="179" r:id="rId29"/>
    <sheet name="SEFA NOTES " sheetId="185" r:id="rId30"/>
    <sheet name="SEFA NOTES" sheetId="173" state="hidden" r:id="rId31"/>
    <sheet name="SF&amp;QC Sec-1 (2)" sheetId="188" r:id="rId32"/>
    <sheet name="SF&amp;QC Sec-1" sheetId="174" state="hidden" r:id="rId33"/>
    <sheet name="SF&amp;QC Sec-2" sheetId="175" r:id="rId34"/>
    <sheet name="SF&amp;QC Sec-3" sheetId="176" r:id="rId35"/>
    <sheet name="SSPAF" sheetId="177" r:id="rId36"/>
  </sheets>
  <definedNames>
    <definedName name="_xlnm._FilterDatabase" localSheetId="23" hidden="1">'AFR20'!$A$1:$F$7884</definedName>
    <definedName name="goof" localSheetId="29">#REF!</definedName>
    <definedName name="goof" localSheetId="27">#REF!</definedName>
    <definedName name="goof" localSheetId="31">#REF!</definedName>
    <definedName name="goof">#REF!</definedName>
    <definedName name="oops" localSheetId="29">#REF!</definedName>
    <definedName name="oops" localSheetId="27">#REF!</definedName>
    <definedName name="oops" localSheetId="31">#REF!</definedName>
    <definedName name="oops">#REF!</definedName>
    <definedName name="pass" localSheetId="31">#REF!</definedName>
    <definedName name="pass">#REF!</definedName>
    <definedName name="pass1" localSheetId="31">#REF!</definedName>
    <definedName name="pass1">#REF!</definedName>
    <definedName name="pass2" localSheetId="31">#REF!</definedName>
    <definedName name="pass2">#REF!</definedName>
    <definedName name="pass3" localSheetId="31">#REF!</definedName>
    <definedName name="pass3">#REF!</definedName>
    <definedName name="pass4" localSheetId="31">#REF!</definedName>
    <definedName name="pass4">#REF!</definedName>
    <definedName name="_xlnm.Print_Area" localSheetId="28">' SEFA'!$B$1:$M$46</definedName>
    <definedName name="_xlnm.Print_Area" localSheetId="30">'SEFA NOTES'!$A$1:$F$52</definedName>
    <definedName name="_xlnm.Print_Area" localSheetId="29">'SEFA NOTES '!$A$1:$F$56</definedName>
    <definedName name="_xlnm.Print_Area" localSheetId="26">'SEFA Reconcile'!$A$1:$E$49</definedName>
    <definedName name="_xlnm.Print_Area" localSheetId="27">SEFA20!$A$12:$N$100</definedName>
    <definedName name="_xlnm.Print_Area" localSheetId="32">'SF&amp;QC Sec-1'!$A$1:$J$63</definedName>
    <definedName name="_xlnm.Print_Area" localSheetId="31">'SF&amp;QC Sec-1 (2)'!$A$1:$J$63</definedName>
    <definedName name="_xlnm.Print_Area" localSheetId="34">'SF&amp;QC Sec-3'!$A$1:$K$48</definedName>
    <definedName name="_xlnm.Print_Area" localSheetId="25">'Single Audit Checklist'!$A$1:$D$124</definedName>
    <definedName name="_xlnm.Print_Area" localSheetId="24">'Single Audit Cover'!$A$1:$L$51</definedName>
    <definedName name="Print_Area_MI" localSheetId="27">SEFA20!$B$14:$N$89</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SEFA20!$A:$D,SEFA20!$1:$10</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30">#REF!</definedName>
    <definedName name="SCHADDRS" localSheetId="29">#REF!</definedName>
    <definedName name="SCHADDRS" localSheetId="26">#REF!</definedName>
    <definedName name="SCHADDRS" localSheetId="27">#REF!</definedName>
    <definedName name="SCHADDRS" localSheetId="32">#REF!</definedName>
    <definedName name="SCHADDRS" localSheetId="31">#REF!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30">#REF!</definedName>
    <definedName name="SCHCTY" localSheetId="29">#REF!</definedName>
    <definedName name="SCHCTY" localSheetId="26">#REF!</definedName>
    <definedName name="SCHCTY" localSheetId="27">#REF!</definedName>
    <definedName name="SCHCTY" localSheetId="32">#REF!</definedName>
    <definedName name="SCHCTY" localSheetId="31">#REF!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30">#REF!</definedName>
    <definedName name="SCHNMBR" localSheetId="29">#REF!</definedName>
    <definedName name="SCHNMBR" localSheetId="26">#REF!</definedName>
    <definedName name="SCHNMBR" localSheetId="27">#REF!</definedName>
    <definedName name="SCHNMBR" localSheetId="32">#REF!</definedName>
    <definedName name="SCHNMBR" localSheetId="31">#REF!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30">#REF!</definedName>
    <definedName name="SCHNME" localSheetId="29">#REF!</definedName>
    <definedName name="SCHNME" localSheetId="26">#REF!</definedName>
    <definedName name="SCHNME" localSheetId="27">#REF!</definedName>
    <definedName name="SCHNME" localSheetId="32">#REF!</definedName>
    <definedName name="SCHNME" localSheetId="31">#REF!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30">#REF!</definedName>
    <definedName name="SUPT" localSheetId="29">#REF!</definedName>
    <definedName name="SUPT" localSheetId="26">#REF!</definedName>
    <definedName name="SUPT" localSheetId="27">#REF!</definedName>
    <definedName name="SUPT" localSheetId="32">#REF!</definedName>
    <definedName name="SUPT" localSheetId="31">#REF!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J32" i="8" l="1"/>
  <c r="J31" i="8"/>
  <c r="G43" i="188" l="1"/>
  <c r="D47" i="188" s="1"/>
  <c r="M50" i="187" l="1"/>
  <c r="D45" i="174" l="1"/>
  <c r="G38" i="174"/>
  <c r="K85" i="187"/>
  <c r="I85" i="187"/>
  <c r="H85" i="187"/>
  <c r="G85" i="187"/>
  <c r="G93" i="187" s="1"/>
  <c r="F85" i="187"/>
  <c r="M83" i="187"/>
  <c r="M82" i="187"/>
  <c r="M85" i="187" s="1"/>
  <c r="K74" i="187"/>
  <c r="I74" i="187"/>
  <c r="H74" i="187"/>
  <c r="H93" i="187" s="1"/>
  <c r="G74" i="187"/>
  <c r="M73" i="187"/>
  <c r="M72" i="187"/>
  <c r="M70" i="187"/>
  <c r="M69" i="187"/>
  <c r="F69" i="187"/>
  <c r="F74" i="187" s="1"/>
  <c r="M61" i="187"/>
  <c r="M59" i="187"/>
  <c r="M63" i="187" s="1"/>
  <c r="K59" i="187"/>
  <c r="I59" i="187"/>
  <c r="H59" i="187"/>
  <c r="G59" i="187"/>
  <c r="F59" i="187"/>
  <c r="M58" i="187"/>
  <c r="M57" i="187"/>
  <c r="M55" i="187"/>
  <c r="M54" i="187"/>
  <c r="M52" i="187"/>
  <c r="M51" i="187"/>
  <c r="K50" i="187"/>
  <c r="I50" i="187"/>
  <c r="I63" i="187" s="1"/>
  <c r="H50" i="187"/>
  <c r="F50" i="187"/>
  <c r="F63" i="187" s="1"/>
  <c r="M49" i="187"/>
  <c r="M48" i="187"/>
  <c r="M46" i="187"/>
  <c r="I45" i="187"/>
  <c r="M45" i="187" s="1"/>
  <c r="G45" i="187"/>
  <c r="G50" i="187" s="1"/>
  <c r="G63" i="187" s="1"/>
  <c r="G76" i="187" s="1"/>
  <c r="M37" i="187"/>
  <c r="K37" i="187"/>
  <c r="I37" i="187"/>
  <c r="H37" i="187"/>
  <c r="G37" i="187"/>
  <c r="F37" i="187"/>
  <c r="M36" i="187"/>
  <c r="K33" i="187"/>
  <c r="I33" i="187"/>
  <c r="H33" i="187"/>
  <c r="G33" i="187"/>
  <c r="F33" i="187"/>
  <c r="M32" i="187"/>
  <c r="M31" i="187"/>
  <c r="M33" i="187" s="1"/>
  <c r="K29" i="187"/>
  <c r="I29" i="187"/>
  <c r="H29" i="187"/>
  <c r="G29" i="187"/>
  <c r="M28" i="187"/>
  <c r="M27" i="187"/>
  <c r="M25" i="187"/>
  <c r="M24" i="187"/>
  <c r="M21" i="187"/>
  <c r="M20" i="187"/>
  <c r="M29" i="187" s="1"/>
  <c r="F20" i="187"/>
  <c r="F29" i="187" s="1"/>
  <c r="F39" i="187" s="1"/>
  <c r="F91" i="187" s="1"/>
  <c r="K18" i="187"/>
  <c r="K39" i="187" s="1"/>
  <c r="I18" i="187"/>
  <c r="H18" i="187"/>
  <c r="G18" i="187"/>
  <c r="F18" i="187"/>
  <c r="M17" i="187"/>
  <c r="M16" i="187"/>
  <c r="I9" i="187"/>
  <c r="H9" i="187"/>
  <c r="I8" i="187"/>
  <c r="M74" i="187" l="1"/>
  <c r="M93" i="187" s="1"/>
  <c r="M95" i="187" s="1"/>
  <c r="H39" i="187"/>
  <c r="I39" i="187"/>
  <c r="H63" i="187"/>
  <c r="H76" i="187" s="1"/>
  <c r="M18" i="187"/>
  <c r="M39" i="187" s="1"/>
  <c r="M91" i="187" s="1"/>
  <c r="K93" i="187"/>
  <c r="K63" i="187"/>
  <c r="K87" i="187" s="1"/>
  <c r="G39" i="187"/>
  <c r="G91" i="187" s="1"/>
  <c r="G95" i="187" s="1"/>
  <c r="F76" i="187"/>
  <c r="F93" i="187"/>
  <c r="F95" i="187"/>
  <c r="G87" i="187"/>
  <c r="I91" i="187"/>
  <c r="I87" i="187"/>
  <c r="I76" i="187"/>
  <c r="F87" i="187"/>
  <c r="K76" i="187"/>
  <c r="I93" i="187"/>
  <c r="E34" i="185"/>
  <c r="M87" i="187" l="1"/>
  <c r="M76" i="187"/>
  <c r="K91" i="187"/>
  <c r="K95" i="187" s="1"/>
  <c r="H91" i="187"/>
  <c r="H95" i="187" s="1"/>
  <c r="H87" i="187"/>
  <c r="I95" i="18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4" i="183"/>
  <c r="F23" i="183"/>
  <c r="F22" i="183"/>
  <c r="F21" i="183"/>
  <c r="F20"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4" i="183" l="1"/>
  <c r="A15" i="183"/>
  <c r="D82" i="36" l="1"/>
  <c r="F144" i="183"/>
  <c r="E14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B7078" i="106" l="1"/>
  <c r="D7078" i="106" s="1"/>
  <c r="F52" i="34"/>
  <c r="B7831" i="106" s="1"/>
  <c r="D7831" i="106" s="1"/>
  <c r="D69" i="36"/>
  <c r="B7047" i="106"/>
  <c r="D7047" i="106" s="1"/>
  <c r="D14" i="4"/>
  <c r="B2570" i="106" s="1"/>
  <c r="D2570" i="106" s="1"/>
  <c r="B2805" i="106"/>
  <c r="D2805" i="106" s="1"/>
  <c r="F50" i="34"/>
  <c r="G35" i="108"/>
  <c r="F42" i="34"/>
  <c r="H365" i="29"/>
  <c r="B7242" i="106" s="1"/>
  <c r="D7242" i="106" s="1"/>
  <c r="B2724" i="106"/>
  <c r="D2724" i="106" s="1"/>
  <c r="D36" i="108"/>
  <c r="C129" i="29"/>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C367" i="29"/>
  <c r="B3622" i="106" s="1"/>
  <c r="D3622" i="106" s="1"/>
  <c r="I7" i="4"/>
  <c r="B4444" i="106" s="1"/>
  <c r="D4444" i="106" s="1"/>
  <c r="I151" i="29"/>
  <c r="F59" i="34" s="1"/>
  <c r="B7215" i="106"/>
  <c r="D7215" i="106" s="1"/>
  <c r="J151" i="29"/>
  <c r="B7052" i="106" s="1"/>
  <c r="D7052" i="106"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6" i="36"/>
  <c r="H24" i="118"/>
  <c r="K24" i="118" s="1"/>
  <c r="O23" i="118" s="1"/>
  <c r="O25" i="118" s="1"/>
  <c r="D35" i="36"/>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<sst xmlns="http://schemas.openxmlformats.org/spreadsheetml/2006/main" count="5473" uniqueCount="2189">
  <si>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</si>
  <si>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</si>
  <si>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</si>
  <si>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</si>
  <si>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</si>
  <si>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</si>
  <si>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</si>
  <si>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</si>
  <si>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</si>
  <si>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</si>
  <si>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</si>
  <si>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</si>
  <si>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</si>
  <si>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</si>
  <si>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</si>
  <si>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</si>
  <si>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</si>
  <si>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</si>
  <si>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</si>
  <si>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</si>
  <si>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</si>
  <si>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</si>
  <si>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</si>
  <si>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</si>
  <si>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</si>
  <si>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</si>
  <si>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</si>
  <si>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</si>
  <si>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</si>
  <si>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</si>
  <si>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</si>
  <si>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</si>
  <si>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</si>
  <si>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</si>
  <si>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</si>
  <si>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</si>
  <si>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</si>
  <si>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</si>
  <si>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</si>
  <si>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</si>
  <si>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</si>
  <si>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</si>
  <si>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</si>
  <si>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</si>
  <si>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</si>
  <si>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</si>
  <si>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</si>
  <si>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</si>
  <si>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</si>
  <si>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</si>
  <si>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</si>
  <si>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</si>
  <si>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</si>
  <si>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</si>
  <si>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</si>
  <si>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</si>
  <si>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</si>
  <si>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</si>
  <si>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</si>
  <si>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</si>
  <si>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</si>
  <si>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</si>
  <si>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</si>
  <si>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</si>
  <si>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</si>
  <si>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</si>
  <si>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</si>
  <si>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</si>
  <si>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</si>
  <si>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</si>
  <si>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</si>
  <si>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</si>
  <si>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</si>
  <si>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</si>
  <si>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</si>
  <si>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</si>
  <si>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</si>
  <si>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</si>
  <si>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</si>
  <si>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</si>
  <si>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</si>
  <si>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</si>
  <si>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</si>
  <si>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</si>
  <si>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</si>
  <si>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</si>
  <si>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</si>
  <si>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</si>
  <si>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</si>
  <si>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</si>
  <si>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</si>
  <si>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</si>
  <si>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</si>
  <si>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</si>
  <si>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</si>
  <si>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</si>
  <si>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</si>
  <si>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</si>
  <si>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</si>
  <si>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</si>
  <si>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</si>
  <si>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</si>
  <si>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</si>
  <si>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</si>
  <si>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</si>
  <si>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</si>
  <si>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</si>
  <si>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</si>
  <si>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</si>
  <si>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</si>
  <si>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</si>
  <si>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</si>
  <si>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</si>
  <si>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</si>
  <si>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</si>
  <si>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</si>
  <si>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</si>
  <si>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</si>
  <si>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</si>
  <si>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</si>
  <si>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</si>
  <si>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</si>
  <si>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</si>
  <si>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</si>
  <si>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</si>
  <si>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</si>
  <si>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</si>
  <si>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</si>
  <si>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</si>
  <si>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</si>
  <si>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</si>
  <si>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</si>
  <si>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</si>
  <si>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</si>
  <si>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</si>
  <si>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</si>
  <si>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</si>
  <si>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</si>
  <si>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</si>
  <si>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</si>
  <si>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</si>
  <si>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</si>
  <si>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</si>
  <si>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</si>
  <si>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</si>
  <si>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</si>
  <si>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</si>
  <si>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</si>
  <si>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</si>
  <si>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</si>
  <si>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</si>
  <si>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</si>
  <si>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</si>
  <si>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</si>
  <si>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</si>
  <si>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</si>
  <si>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</si>
  <si>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</si>
  <si>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</si>
  <si>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</si>
  <si>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</si>
  <si>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</si>
  <si>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</si>
  <si>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</si>
  <si>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</si>
  <si>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</si>
  <si>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</si>
  <si>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</si>
  <si>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</si>
  <si>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</si>
  <si>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</si>
  <si>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</si>
  <si>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</si>
  <si>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</si>
  <si>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</si>
  <si>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</si>
  <si>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</si>
  <si>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</si>
  <si>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</si>
  <si>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</si>
  <si>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</si>
  <si>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</si>
  <si>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</si>
  <si>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</si>
  <si>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</si>
  <si>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</si>
  <si>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</si>
  <si>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</si>
  <si>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</si>
  <si>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</si>
  <si>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</si>
  <si>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</si>
  <si>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</si>
  <si>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</si>
  <si>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</si>
  <si>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</si>
  <si>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</si>
  <si>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</si>
  <si>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</si>
  <si>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</si>
  <si>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</si>
  <si>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</si>
  <si>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</si>
  <si>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</si>
  <si>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</si>
  <si>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</si>
  <si>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</si>
  <si>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</si>
  <si>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</si>
  <si>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</si>
  <si>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</si>
  <si>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</si>
  <si>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</si>
  <si>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</si>
  <si>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</si>
  <si>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</si>
  <si>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</si>
  <si>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</si>
  <si>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</si>
  <si>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</si>
  <si>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</si>
  <si>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</si>
  <si>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</si>
  <si>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</si>
  <si>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</si>
  <si>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</si>
  <si>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</si>
  <si>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</si>
  <si>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</si>
  <si>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</si>
  <si>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</si>
  <si>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</si>
  <si>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</si>
  <si>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</si>
  <si>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</si>
  <si>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</si>
  <si>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</si>
  <si>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</si>
  <si>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</si>
  <si>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</si>
  <si>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</si>
  <si>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</si>
  <si>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</si>
  <si>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</si>
  <si>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</si>
  <si>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</si>
  <si>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</si>
  <si>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</si>
  <si>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</si>
  <si>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</si>
  <si>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</si>
  <si>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</si>
  <si>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</si>
  <si>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</si>
  <si>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</si>
  <si>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</si>
  <si>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</si>
  <si>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</si>
  <si>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</si>
  <si>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</si>
  <si>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</si>
  <si>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</si>
  <si>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</si>
  <si>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</si>
  <si>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</si>
  <si>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</si>
  <si>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</si>
  <si>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</si>
  <si>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</si>
  <si>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</si>
  <si>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</si>
  <si>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</si>
  <si>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</si>
  <si>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</si>
  <si>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</si>
  <si>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</si>
  <si>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</si>
  <si>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</si>
  <si>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</si>
  <si>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</si>
  <si>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</si>
  <si>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</si>
  <si>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</si>
  <si>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</si>
  <si>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</si>
  <si>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</si>
  <si>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</si>
  <si>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</si>
  <si>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</si>
  <si>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</si>
  <si>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</si>
  <si>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</si>
  <si>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</si>
  <si>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</si>
  <si>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</si>
  <si>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</si>
  <si>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</si>
  <si>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</si>
  <si>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</si>
  <si>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</si>
  <si>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</si>
  <si>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</si>
  <si>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</si>
  <si>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</si>
  <si>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</si>
  <si>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</si>
  <si>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</si>
  <si>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</si>
  <si>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</si>
  <si>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</si>
  <si>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</si>
  <si>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</si>
  <si>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</si>
  <si>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</si>
  <si>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</si>
  <si>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</si>
  <si>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</si>
  <si>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</si>
  <si>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</si>
  <si>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</si>
  <si>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</si>
  <si>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</si>
  <si>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</si>
  <si>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</si>
  <si>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</si>
  <si>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</si>
  <si>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</si>
  <si>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</si>
  <si>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</si>
  <si>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</si>
  <si>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</si>
  <si>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</si>
  <si>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</si>
  <si>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</si>
  <si>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</si>
  <si>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</si>
  <si>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</si>
  <si>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</si>
  <si>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</si>
  <si>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</si>
  <si>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</si>
  <si>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</si>
  <si>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</si>
  <si>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</si>
  <si>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</si>
  <si>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</si>
  <si>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</si>
  <si>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</si>
  <si>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</si>
  <si>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</si>
  <si>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</si>
  <si>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</si>
  <si>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</si>
  <si>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</si>
  <si>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</si>
  <si>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</si>
  <si>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</si>
  <si>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</si>
  <si>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</si>
  <si>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</si>
  <si>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</si>
  <si>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</si>
  <si>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</si>
  <si>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</si>
  <si>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</si>
  <si>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</si>
  <si>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</si>
  <si>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</si>
  <si>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</si>
  <si>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</si>
  <si>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</si>
  <si>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</si>
  <si>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</si>
  <si>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</si>
  <si>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</si>
  <si>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</si>
  <si>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</si>
  <si>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</si>
  <si>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</si>
  <si>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</si>
  <si>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</si>
  <si>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</si>
  <si>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</si>
  <si>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</si>
  <si>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</si>
  <si>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</si>
  <si>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</si>
  <si>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</si>
  <si>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</si>
  <si>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</si>
  <si>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</si>
  <si>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</si>
  <si>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</si>
  <si>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</si>
  <si>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</si>
  <si>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</si>
  <si>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</si>
  <si>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</si>
  <si>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</si>
  <si>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</si>
  <si>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</si>
  <si>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</si>
  <si>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</si>
  <si>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</si>
  <si>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</si>
  <si>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</si>
  <si>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</si>
  <si>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</si>
  <si>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</si>
  <si>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</si>
  <si>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</si>
  <si>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</si>
  <si>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</si>
  <si>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</si>
  <si>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</si>
  <si>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</si>
  <si>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</si>
  <si>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</si>
  <si>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</si>
  <si>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</si>
  <si>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</si>
  <si>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</si>
  <si>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</si>
  <si>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</si>
  <si>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</si>
  <si>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</si>
  <si>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</si>
  <si>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</si>
  <si>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</si>
  <si>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</si>
  <si>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</si>
  <si>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</si>
  <si>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</si>
  <si>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</si>
  <si>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</si>
  <si>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</si>
  <si>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</si>
  <si>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</si>
  <si>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</si>
  <si>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</si>
  <si>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</si>
  <si>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</si>
  <si>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</si>
  <si>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</si>
  <si>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</si>
  <si>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</si>
  <si>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</si>
  <si>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</si>
  <si>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</si>
  <si>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</si>
  <si>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</si>
  <si>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</si>
  <si>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</si>
  <si>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</si>
  <si>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</si>
  <si>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</si>
  <si>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</si>
  <si>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</si>
  <si>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</si>
  <si>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</si>
  <si>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</si>
  <si>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</si>
  <si>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</si>
  <si>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</si>
  <si>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</si>
  <si>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</si>
  <si>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</si>
  <si>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</si>
  <si>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</si>
  <si>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</si>
  <si>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</si>
  <si>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</si>
  <si>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</si>
  <si>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</si>
  <si>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</si>
  <si>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</si>
  <si>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</si>
  <si>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</si>
  <si>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</si>
  <si>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</si>
  <si>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</si>
  <si>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</si>
  <si>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</si>
  <si>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</si>
  <si>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</si>
  <si>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</si>
  <si>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</si>
  <si>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</si>
  <si>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</si>
  <si>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</si>
  <si>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</si>
  <si>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</si>
  <si>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</si>
  <si>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</si>
  <si>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</si>
  <si>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</si>
  <si>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</si>
  <si>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</si>
  <si>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</si>
  <si>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</si>
  <si>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</si>
  <si>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</si>
  <si>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</si>
  <si>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</si>
  <si>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</si>
  <si>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</si>
  <si>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</si>
  <si>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</si>
  <si>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</si>
  <si>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</si>
  <si>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</si>
  <si>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</si>
  <si>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</si>
  <si>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</si>
  <si>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</si>
  <si>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</si>
  <si>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</si>
  <si>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</si>
  <si>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</si>
  <si>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</si>
  <si>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</si>
  <si>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</si>
  <si>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</si>
  <si>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</si>
  <si>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</si>
  <si>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</si>
  <si>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</si>
  <si>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</si>
  <si>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</si>
  <si>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</si>
  <si>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</si>
  <si>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</si>
  <si>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</si>
  <si>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</si>
  <si>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</si>
  <si>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</si>
  <si>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</si>
  <si>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</si>
  <si>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</si>
  <si>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</si>
  <si>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</si>
  <si>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</si>
  <si>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</si>
  <si>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</si>
  <si>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</si>
  <si>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</si>
  <si>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</si>
  <si>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</si>
  <si>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</si>
  <si>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</si>
  <si>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</si>
  <si>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</si>
  <si>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</si>
  <si>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</si>
  <si>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</si>
  <si>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</si>
  <si>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</si>
  <si>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</si>
  <si>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</si>
  <si>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</si>
  <si>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</si>
  <si>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</si>
  <si>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</si>
  <si>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</si>
  <si>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</si>
  <si>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</si>
  <si>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</si>
  <si>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</si>
  <si>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</si>
  <si>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</si>
  <si>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</si>
  <si>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</si>
  <si>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</si>
  <si>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</si>
  <si>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</si>
  <si>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</si>
  <si>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</si>
  <si>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</si>
  <si>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</si>
  <si>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</si>
  <si>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</si>
  <si>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</si>
  <si>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</si>
  <si>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</si>
  <si>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</si>
  <si>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</si>
  <si>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</si>
  <si>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</si>
  <si>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</si>
  <si>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</si>
  <si>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</si>
  <si>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</si>
  <si>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</si>
  <si>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</si>
  <si>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</si>
  <si>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</si>
  <si>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</si>
  <si>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</si>
  <si>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</si>
  <si>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</si>
  <si>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</si>
  <si>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</si>
  <si>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</si>
  <si>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</si>
  <si>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</si>
  <si>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</si>
  <si>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</si>
  <si>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</si>
  <si>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</si>
  <si>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</si>
  <si>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</si>
  <si>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</si>
  <si>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</si>
  <si>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</si>
  <si>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</si>
  <si>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</si>
  <si>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</si>
  <si>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</si>
  <si>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</si>
  <si>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</si>
  <si>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</si>
  <si>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</si>
  <si>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</si>
  <si>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</si>
  <si>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</si>
  <si>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</si>
  <si>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</si>
  <si>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</si>
  <si>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</si>
  <si>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</si>
  <si>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</si>
  <si>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</si>
  <si>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</si>
  <si>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</si>
  <si>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</si>
  <si>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</si>
  <si>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</si>
  <si>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</si>
  <si>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</si>
  <si>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</si>
  <si>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</si>
  <si>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</si>
  <si>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</si>
  <si>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</si>
  <si>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</si>
  <si>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</si>
  <si>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</si>
  <si>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</si>
  <si>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</si>
  <si>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</si>
  <si>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</si>
  <si>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</si>
  <si>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</si>
  <si>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</si>
  <si>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</si>
  <si>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</si>
  <si>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</si>
  <si>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</si>
  <si>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</si>
  <si>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</si>
  <si>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</si>
  <si>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</si>
  <si>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</si>
  <si>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</si>
  <si>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</si>
  <si>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</si>
  <si>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</si>
  <si>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</si>
  <si>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</si>
  <si>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</si>
  <si>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</si>
  <si>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</si>
  <si>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</si>
  <si>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</si>
  <si>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</si>
  <si>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</si>
  <si>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</si>
  <si>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</si>
  <si>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</si>
  <si>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</si>
  <si>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</si>
  <si>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</si>
  <si>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</si>
  <si>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</si>
  <si>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</si>
  <si>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</si>
  <si>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</si>
  <si>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</si>
  <si>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</si>
  <si>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</si>
  <si>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</si>
  <si>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</si>
  <si>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</si>
  <si>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</si>
  <si>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</si>
  <si>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</si>
  <si>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</si>
  <si>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</si>
  <si>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</si>
  <si>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</si>
  <si>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</si>
  <si>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</si>
  <si>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</si>
  <si>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</si>
  <si>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</si>
  <si>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</si>
  <si>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</si>
  <si>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</si>
  <si>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</si>
  <si>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</si>
  <si>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</si>
  <si>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</si>
  <si>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</si>
  <si>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</si>
  <si>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</si>
  <si>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</si>
  <si>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</si>
  <si>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</si>
  <si>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</si>
  <si>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</si>
  <si>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</si>
  <si>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</si>
  <si>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</si>
  <si>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</si>
  <si>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</si>
  <si>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</si>
  <si>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</si>
  <si>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</si>
  <si>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</si>
  <si>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</si>
  <si>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</si>
  <si>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</si>
  <si>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</si>
  <si>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</si>
  <si>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</si>
  <si>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</si>
  <si>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</si>
  <si>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</si>
  <si>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</si>
  <si>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</si>
  <si>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</si>
  <si>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</si>
  <si>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</si>
  <si>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</si>
  <si>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</si>
  <si>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</si>
  <si>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</si>
  <si>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</si>
  <si>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</si>
  <si>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</si>
  <si>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</si>
  <si>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</si>
  <si>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</si>
  <si>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</si>
  <si>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</si>
  <si>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</si>
  <si>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</si>
  <si>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</si>
  <si>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</si>
  <si>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</si>
  <si>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</si>
  <si>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</si>
  <si>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</si>
  <si>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</si>
  <si>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</si>
  <si>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</si>
  <si>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</si>
  <si>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</si>
  <si>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</si>
  <si>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</si>
  <si>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</si>
  <si>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</si>
  <si>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</si>
  <si>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</si>
  <si>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</si>
  <si>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</si>
  <si>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</si>
  <si>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</si>
  <si>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</si>
  <si>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</si>
  <si>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</si>
  <si>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</si>
  <si>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</si>
  <si>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</si>
  <si>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</si>
  <si>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</si>
  <si>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</si>
  <si>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</si>
  <si>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</si>
  <si>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</si>
  <si>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</si>
  <si>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</si>
  <si>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</si>
  <si>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</si>
  <si>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</si>
  <si>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</si>
  <si>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</si>
  <si>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</si>
  <si>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</si>
  <si>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</si>
  <si>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</si>
  <si>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</si>
  <si>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</si>
  <si>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</si>
  <si>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</si>
  <si>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</si>
  <si>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</si>
  <si>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</si>
  <si>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</si>
  <si>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</si>
  <si>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</si>
  <si>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</si>
  <si>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</si>
  <si>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</si>
  <si>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</si>
  <si>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</si>
  <si>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</si>
  <si>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</si>
  <si>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</si>
  <si>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</si>
  <si>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</si>
  <si>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</si>
  <si>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</si>
  <si>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</si>
  <si>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</si>
  <si>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</si>
  <si>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</si>
  <si>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</si>
  <si>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</si>
  <si>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</si>
  <si>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</si>
  <si>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</si>
  <si>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</si>
  <si>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</si>
  <si>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</si>
  <si>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</si>
  <si>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</si>
  <si>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</si>
  <si>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</si>
  <si>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</si>
  <si>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</si>
  <si>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</si>
  <si>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</si>
  <si>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</si>
  <si>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</si>
  <si>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</si>
  <si>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</si>
  <si>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</si>
  <si>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</si>
  <si>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</si>
  <si>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</si>
  <si>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</si>
  <si>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</si>
  <si>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</si>
  <si>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</si>
  <si>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</si>
  <si>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</si>
  <si>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</si>
  <si>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</si>
  <si>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</si>
  <si>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</si>
  <si>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</si>
  <si>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</si>
  <si>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</si>
  <si>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</si>
  <si>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</si>
  <si>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</si>
  <si>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</si>
  <si>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</si>
  <si>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</si>
  <si>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</si>
  <si>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</si>
  <si>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</si>
  <si>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</si>
  <si>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</si>
  <si>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</si>
  <si>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</si>
  <si>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</si>
  <si>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</si>
  <si>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</si>
  <si>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</si>
  <si>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</si>
  <si>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</si>
  <si>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</si>
  <si>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</si>
  <si>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</si>
  <si>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</si>
  <si>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</si>
  <si>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</si>
  <si>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</si>
  <si>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</si>
  <si>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</si>
  <si>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</si>
  <si>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</si>
  <si>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</si>
  <si>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</si>
  <si>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</si>
  <si>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</si>
  <si>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</si>
  <si>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</si>
  <si>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</si>
  <si>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</si>
  <si>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</si>
  <si>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</si>
  <si>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</si>
  <si>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</si>
  <si>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</si>
  <si>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</si>
  <si>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</si>
  <si>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</si>
  <si>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</si>
  <si>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</si>
  <si>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</si>
  <si>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</si>
  <si>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</si>
  <si>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</si>
  <si>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</si>
  <si>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</si>
  <si>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</si>
  <si>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</si>
  <si>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</si>
  <si>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</si>
  <si>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</si>
  <si>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</si>
  <si>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</si>
  <si>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</si>
  <si>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</si>
  <si>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</si>
  <si>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</si>
  <si>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</si>
  <si>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</si>
  <si>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</si>
  <si>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</si>
  <si>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</si>
  <si>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</si>
  <si>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</si>
  <si>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</si>
  <si>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</si>
  <si>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</si>
  <si>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</si>
  <si>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</si>
  <si>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</si>
  <si>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</si>
  <si>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</si>
  <si>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</si>
  <si>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</si>
  <si>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</si>
  <si>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</si>
  <si>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</si>
  <si>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</si>
  <si>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</si>
  <si>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</si>
  <si>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</si>
  <si>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</si>
  <si>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</si>
  <si>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</si>
  <si>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</si>
  <si>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</si>
  <si>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</si>
  <si>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</si>
  <si>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</si>
  <si>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</si>
  <si>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</si>
  <si>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</si>
  <si>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</si>
  <si>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</si>
  <si>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</si>
  <si>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</si>
  <si>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</si>
  <si>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</si>
  <si>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</si>
  <si>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</si>
  <si>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</si>
  <si>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</si>
  <si>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</si>
  <si>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</si>
  <si>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</si>
  <si>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</si>
  <si>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</si>
  <si>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</si>
  <si>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</si>
  <si>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</si>
  <si>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</si>
  <si>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</si>
  <si>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</si>
  <si>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</si>
  <si>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</si>
  <si>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</si>
  <si>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</si>
  <si>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</si>
  <si>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</si>
  <si>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</si>
  <si>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</si>
  <si>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</si>
  <si>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</si>
  <si>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</si>
  <si>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</si>
  <si>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</si>
  <si>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</si>
  <si>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</si>
  <si>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</si>
  <si>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</si>
  <si>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</si>
  <si>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</si>
  <si>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</si>
  <si>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</si>
  <si>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</si>
  <si>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</si>
  <si>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</si>
  <si>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</si>
  <si>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</si>
  <si>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</si>
  <si>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</si>
  <si>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</si>
  <si>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</si>
  <si>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</si>
  <si>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</si>
  <si>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</si>
  <si>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</si>
  <si>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</si>
  <si>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</si>
  <si>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</si>
  <si>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</si>
  <si>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</si>
  <si>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</si>
  <si>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</si>
  <si>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</si>
  <si>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</si>
  <si>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</si>
  <si>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</si>
  <si>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</si>
  <si>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</si>
  <si>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</si>
  <si>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</si>
  <si>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</si>
  <si>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</si>
  <si>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</si>
  <si>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</si>
  <si>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</si>
  <si>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</si>
  <si>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</si>
  <si>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</si>
  <si>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</si>
  <si>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</si>
  <si>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</si>
  <si>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</si>
  <si>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</si>
  <si>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</si>
  <si>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</si>
  <si>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</si>
  <si>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</si>
  <si>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</si>
  <si>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</si>
  <si>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</si>
  <si>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</si>
  <si>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</si>
  <si>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</si>
  <si>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</si>
  <si>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</si>
  <si>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</si>
  <si>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</si>
  <si>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</si>
  <si>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</si>
  <si>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</si>
  <si>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</si>
  <si>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</si>
  <si>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</si>
  <si>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</si>
  <si>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</si>
  <si>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</si>
  <si>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</si>
  <si>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</si>
  <si>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</si>
  <si>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</si>
  <si>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</si>
  <si>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</si>
  <si>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</si>
  <si>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</si>
  <si>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</si>
  <si>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</si>
  <si>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</si>
  <si>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</si>
  <si>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</si>
  <si>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</si>
  <si>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</si>
  <si>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</si>
  <si>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</si>
  <si>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</si>
  <si>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</si>
  <si>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</si>
  <si>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</si>
  <si>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</si>
  <si>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</si>
  <si>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</si>
  <si>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</si>
  <si>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</si>
  <si>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</si>
  <si>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</si>
  <si>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</si>
  <si>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</si>
  <si>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</si>
  <si>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</si>
  <si>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</si>
  <si>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</si>
  <si>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</si>
  <si>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</si>
  <si>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</si>
  <si>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</si>
  <si>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</si>
  <si>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</si>
  <si>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</si>
  <si>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</si>
  <si>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</si>
  <si>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</si>
  <si>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</si>
  <si>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</si>
  <si>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</si>
  <si>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</si>
  <si>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</si>
  <si>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</si>
  <si>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</si>
  <si>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</si>
  <si>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</si>
  <si>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</si>
  <si>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</si>
  <si>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</si>
  <si>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</si>
  <si>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</si>
  <si>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</si>
  <si>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</si>
  <si>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</si>
  <si>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</si>
  <si>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</si>
  <si>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</si>
  <si>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</si>
  <si>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</si>
  <si>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</si>
  <si>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</si>
  <si>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</si>
  <si>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</si>
  <si>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</si>
  <si>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</si>
  <si>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</si>
  <si>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</si>
  <si>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</si>
  <si>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</si>
  <si>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</si>
  <si>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</si>
  <si>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</si>
  <si>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</si>
  <si>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</si>
  <si>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</si>
  <si>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</si>
  <si>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</si>
  <si>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</si>
  <si>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</si>
  <si>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</si>
  <si>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</si>
  <si>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</si>
  <si>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</si>
  <si>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</si>
  <si>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</si>
  <si>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</si>
  <si>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</si>
  <si>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</si>
  <si>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</si>
  <si>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</si>
  <si>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</si>
  <si>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</si>
  <si>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</si>
  <si>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</si>
  <si>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</si>
  <si>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</si>
  <si>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</si>
  <si>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</si>
  <si>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</si>
  <si>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</si>
  <si>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</si>
  <si>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</si>
  <si>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</si>
  <si>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</si>
  <si>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</si>
  <si>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</si>
  <si>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</si>
  <si>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</si>
  <si>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</si>
  <si>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</si>
  <si>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</si>
  <si>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</si>
  <si>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</si>
  <si>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</si>
  <si>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</si>
  <si>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</si>
  <si>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</si>
  <si>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</si>
  <si>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</si>
  <si>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</si>
  <si>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</si>
  <si>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</si>
  <si>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</si>
  <si>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</si>
  <si>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</si>
  <si>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</si>
  <si>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</si>
  <si>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</si>
  <si>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</si>
  <si>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</si>
  <si>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</si>
  <si>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</si>
  <si>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</si>
  <si>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</si>
  <si>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</si>
  <si>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</si>
  <si>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</si>
  <si>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</si>
  <si>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</si>
  <si>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</si>
  <si>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</si>
  <si>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</si>
  <si>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</si>
  <si>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</si>
  <si>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</si>
  <si>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</si>
  <si>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</si>
  <si>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</si>
  <si>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</si>
  <si>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</si>
  <si>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</si>
  <si>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</si>
  <si>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</si>
  <si>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</si>
  <si>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</si>
  <si>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</si>
  <si>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</si>
  <si>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</si>
  <si>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</si>
  <si>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</si>
  <si>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</si>
  <si>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</si>
  <si>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</si>
  <si>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</si>
  <si>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</si>
  <si>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</si>
  <si>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</si>
  <si>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</si>
  <si>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</si>
  <si>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</si>
  <si>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</si>
  <si>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</si>
  <si>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</si>
  <si>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</si>
  <si>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</si>
  <si>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</si>
  <si>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</si>
  <si>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</si>
  <si>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</si>
  <si>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</si>
  <si>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</si>
  <si>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</si>
  <si>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</si>
  <si>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</si>
  <si>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</si>
  <si>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</si>
  <si>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</si>
  <si>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</si>
  <si>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</si>
  <si>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</si>
  <si>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</si>
  <si>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</si>
  <si>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</si>
  <si>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</si>
  <si>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</si>
  <si>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</si>
  <si>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</si>
  <si>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</si>
  <si>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</si>
  <si>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</si>
  <si>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</si>
  <si>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</si>
  <si>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</si>
  <si>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</si>
  <si>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</si>
  <si>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</si>
  <si>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</si>
  <si>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</si>
  <si>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</si>
  <si>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</si>
  <si>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</si>
  <si>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</si>
  <si>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</si>
  <si>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</si>
  <si>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</si>
  <si>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</si>
  <si>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</si>
  <si>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</si>
  <si>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</si>
  <si>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</si>
  <si>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</si>
  <si>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</si>
  <si>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</si>
  <si>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</si>
  <si>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</si>
  <si>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</si>
  <si>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</si>
  <si>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</si>
  <si>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</si>
  <si>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</si>
  <si>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</si>
  <si>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</si>
  <si>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</si>
  <si>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</si>
  <si>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</si>
  <si>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</si>
  <si>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</si>
  <si>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</si>
  <si>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</si>
  <si>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</si>
  <si>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</si>
  <si>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</si>
  <si>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</si>
  <si>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</si>
  <si>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</si>
  <si>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</si>
  <si>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</si>
  <si>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</si>
  <si>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</si>
  <si>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</si>
  <si>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</si>
  <si>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</si>
  <si>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</si>
  <si>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</si>
  <si>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</si>
  <si>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</si>
  <si>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</si>
  <si>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</si>
  <si>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</si>
  <si>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</si>
  <si>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</si>
  <si>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</si>
  <si>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</si>
  <si>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</si>
  <si>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</si>
  <si>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</si>
  <si>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</si>
  <si>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</si>
  <si>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</si>
  <si>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</si>
  <si>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</si>
  <si>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</si>
  <si>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</si>
  <si>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</si>
  <si>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</si>
  <si>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</si>
  <si>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</si>
  <si>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</si>
  <si>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</si>
  <si>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</si>
  <si>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</si>
  <si>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</si>
  <si>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</si>
  <si>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</si>
  <si>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</si>
  <si>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</si>
  <si>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</si>
  <si>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</si>
  <si>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</si>
  <si>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</si>
  <si>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</si>
  <si>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</si>
  <si>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</si>
  <si>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</si>
  <si>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</si>
  <si>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</si>
  <si>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</si>
  <si>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</si>
  <si>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</si>
  <si>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</si>
  <si>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</si>
  <si>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</si>
  <si>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</si>
  <si>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</si>
  <si>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</si>
  <si>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</si>
  <si>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</si>
  <si>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</si>
  <si>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</si>
  <si>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</si>
  <si>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</si>
  <si>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</si>
  <si>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</si>
  <si>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</si>
  <si>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</si>
  <si>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</si>
  <si>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</si>
  <si>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</si>
  <si>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</si>
  <si>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</si>
  <si>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</si>
  <si>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</si>
  <si>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</si>
  <si>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</si>
  <si>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</si>
  <si>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</si>
  <si>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</si>
  <si>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</si>
  <si>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</si>
  <si>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</si>
  <si>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</si>
  <si>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</si>
  <si>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</si>
  <si>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</si>
  <si>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</si>
  <si>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</si>
  <si>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</si>
  <si>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</si>
  <si>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</si>
  <si>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</si>
  <si>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</si>
  <si>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</si>
  <si>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</si>
  <si>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</si>
  <si>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</si>
  <si>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</si>
  <si>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</si>
  <si>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</si>
  <si>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</si>
  <si>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</si>
  <si>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</si>
  <si>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</si>
  <si>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</si>
  <si>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</si>
  <si>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</si>
  <si>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</si>
  <si>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</si>
  <si>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</si>
  <si>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</si>
  <si>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</si>
  <si>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</si>
  <si>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</si>
  <si>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</si>
  <si>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</si>
  <si>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</si>
  <si>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</si>
  <si>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</si>
  <si>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</si>
  <si>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</si>
  <si>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</si>
  <si>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</si>
  <si>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</si>
  <si>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</si>
  <si>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</si>
  <si>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</si>
  <si>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</si>
  <si>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</si>
  <si>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</si>
  <si>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</si>
  <si>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</si>
  <si>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</si>
  <si>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</si>
  <si>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</si>
  <si>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</si>
  <si>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</si>
  <si>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</si>
  <si>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</si>
  <si>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</si>
  <si>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</si>
  <si>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</si>
  <si>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</si>
  <si>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</si>
  <si>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</si>
  <si>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</si>
  <si>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</si>
  <si>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</si>
  <si>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</si>
  <si>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</si>
  <si>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</si>
  <si>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</si>
  <si>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</si>
  <si>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</si>
  <si>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</si>
  <si>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</si>
  <si>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</si>
  <si>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</si>
  <si>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</si>
  <si>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</si>
  <si>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</si>
  <si>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</si>
  <si>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</si>
  <si>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</si>
  <si>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</si>
  <si>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</si>
  <si>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</si>
  <si>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</si>
  <si>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</si>
  <si>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</si>
  <si>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</si>
  <si>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</si>
  <si>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</si>
  <si>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</si>
  <si>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</si>
  <si>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</si>
  <si>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</si>
  <si>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</si>
  <si>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</si>
  <si>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</si>
  <si>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</si>
  <si>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</si>
  <si>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</si>
  <si>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</si>
  <si>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</si>
  <si>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</si>
  <si>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</si>
  <si>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</si>
  <si>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</si>
  <si>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</si>
  <si>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</si>
  <si>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</si>
  <si>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</si>
  <si>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</si>
  <si>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</si>
  <si>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</si>
  <si>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</si>
  <si>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</si>
  <si>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</si>
  <si>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</si>
  <si>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</si>
  <si>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</si>
  <si>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</si>
  <si>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</si>
  <si>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</si>
  <si>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</si>
  <si>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</si>
  <si>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</si>
  <si>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</si>
  <si>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</si>
  <si>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</si>
  <si>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</si>
  <si>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</si>
  <si>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</si>
  <si>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</si>
  <si>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</si>
  <si>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</si>
  <si>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</si>
  <si>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</si>
  <si>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</si>
  <si>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</si>
  <si>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</si>
  <si>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</si>
  <si>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</si>
  <si>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</si>
  <si>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</si>
  <si>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</si>
  <si>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</si>
  <si>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</si>
  <si>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</si>
  <si>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</si>
  <si>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</si>
  <si>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</si>
  <si>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</si>
  <si>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</si>
  <si>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</si>
  <si>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</si>
  <si>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</si>
  <si>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</si>
  <si>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</si>
  <si>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</si>
  <si>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</si>
  <si>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</si>
  <si>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</si>
  <si>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</si>
  <si>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</si>
  <si>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</si>
  <si>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</si>
  <si>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</si>
  <si>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</si>
  <si>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</si>
  <si>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</si>
  <si>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</si>
  <si>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</si>
  <si>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</si>
  <si>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</si>
  <si>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</si>
  <si>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</si>
  <si>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</si>
  <si>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</si>
  <si>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</si>
  <si>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</si>
  <si>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</si>
  <si>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</si>
  <si>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</si>
  <si>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</si>
  <si>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</si>
  <si>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</si>
  <si>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</si>
  <si>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</si>
  <si>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</si>
  <si>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</si>
  <si>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</si>
  <si>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</si>
  <si>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</si>
  <si>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</si>
  <si>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</si>
  <si>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</si>
  <si>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</si>
  <si>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</si>
  <si>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</si>
  <si>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</si>
  <si>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</si>
  <si>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</si>
  <si>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</si>
  <si>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</si>
  <si>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</si>
  <si>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</si>
  <si>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</si>
  <si>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</si>
  <si>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</si>
  <si>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</si>
  <si>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</si>
  <si>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</si>
  <si>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</si>
  <si>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</si>
  <si>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</si>
  <si>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</si>
  <si>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</si>
  <si>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</si>
  <si>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</si>
  <si>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</si>
  <si>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</si>
  <si>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</si>
  <si>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</si>
  <si>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</si>
  <si>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</si>
  <si>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</si>
  <si>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</si>
  <si>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</si>
  <si>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</si>
  <si>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</si>
  <si>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</si>
  <si>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</si>
  <si>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</si>
  <si>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</si>
  <si>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</si>
  <si>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</si>
  <si>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</si>
  <si>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</si>
  <si>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</si>
  <si>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</si>
  <si>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</si>
  <si>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</si>
  <si>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</si>
  <si>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</si>
  <si>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</si>
  <si>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</si>
  <si>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</si>
  <si>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</si>
  <si>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</si>
  <si>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</si>
  <si>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</si>
  <si>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</si>
  <si>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</si>
  <si>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</si>
  <si>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</si>
  <si>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</si>
  <si>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</si>
  <si>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</si>
  <si>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</si>
  <si>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</si>
  <si>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</si>
  <si>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</si>
  <si>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</si>
  <si>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</si>
  <si>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</si>
  <si>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</si>
  <si>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</si>
  <si>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</si>
  <si>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</si>
  <si>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</si>
  <si>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</si>
  <si>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</si>
  <si>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</si>
  <si>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</si>
  <si>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</si>
  <si>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</si>
  <si>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</si>
  <si>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</si>
  <si>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</si>
  <si>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</si>
  <si>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</si>
  <si>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</si>
  <si>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</si>
  <si>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</si>
  <si>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</si>
  <si>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</si>
  <si>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</si>
  <si>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</si>
  <si>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</si>
  <si>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</si>
  <si>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</si>
  <si>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</si>
  <si>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</si>
  <si>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</si>
  <si>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</si>
  <si>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</si>
  <si>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</si>
  <si>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</si>
  <si>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</si>
  <si>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</si>
  <si>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</si>
  <si>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</si>
  <si>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</si>
  <si>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</si>
  <si>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</si>
  <si>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</si>
  <si>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</si>
  <si>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</si>
  <si>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</si>
  <si>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</si>
  <si>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</si>
  <si>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</si>
  <si>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</si>
  <si>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</si>
  <si>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</si>
  <si>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</si>
  <si>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</si>
  <si>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</si>
  <si>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</si>
  <si>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</si>
  <si>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</si>
  <si>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</si>
  <si>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</si>
  <si>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</si>
  <si>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</si>
  <si>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</si>
  <si>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</si>
  <si>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</si>
  <si>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</si>
  <si>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</si>
  <si>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</si>
  <si>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</si>
  <si>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</si>
  <si>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</si>
  <si>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</si>
  <si>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</si>
  <si>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</si>
  <si>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</si>
  <si>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</si>
  <si>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</si>
  <si>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</si>
  <si>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</si>
  <si>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</si>
  <si>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</si>
  <si>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</si>
  <si>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</si>
  <si>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</si>
  <si>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</si>
  <si>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</si>
  <si>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</si>
  <si>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</si>
  <si>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</si>
  <si>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</si>
  <si>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</si>
  <si>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</si>
  <si>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</si>
  <si>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</si>
  <si>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</si>
  <si>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</si>
  <si>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</si>
  <si>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</si>
  <si>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</si>
  <si>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</si>
  <si>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</si>
  <si>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</si>
  <si>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</si>
  <si>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</si>
  <si>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</si>
  <si>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</si>
  <si>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</si>
  <si>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</si>
  <si>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</si>
  <si>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</si>
  <si>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</si>
  <si>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</si>
  <si>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</si>
  <si>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</si>
  <si>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</si>
  <si>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</si>
  <si>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</si>
  <si>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</si>
  <si>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</si>
  <si>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</si>
  <si>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</si>
  <si>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</si>
  <si>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</si>
  <si>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</si>
  <si>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</si>
  <si>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</si>
  <si>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</si>
  <si>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</si>
  <si>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</si>
  <si>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</si>
  <si>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</si>
  <si>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</si>
  <si>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</si>
  <si>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</si>
  <si>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</si>
  <si>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</si>
  <si>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</si>
  <si>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</si>
  <si>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</si>
  <si>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</si>
  <si>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</si>
  <si>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</si>
  <si>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</si>
  <si>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</si>
  <si>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</si>
  <si>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</si>
  <si>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</si>
  <si>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</si>
  <si>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</si>
  <si>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</si>
  <si>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</si>
  <si>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</si>
  <si>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</si>
  <si>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</si>
  <si>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</si>
  <si>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</si>
  <si>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</si>
  <si>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</si>
  <si>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</si>
  <si>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</si>
  <si>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</si>
  <si>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</si>
  <si>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</si>
  <si>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</si>
  <si>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</si>
  <si>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</si>
  <si>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</si>
  <si>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</si>
  <si>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</si>
  <si>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</si>
  <si>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</si>
  <si>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</si>
  <si>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</si>
  <si>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</si>
  <si>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</si>
  <si>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</si>
  <si>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</si>
  <si>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</si>
  <si>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</si>
  <si>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</si>
  <si>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</si>
  <si>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</si>
  <si>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</si>
  <si>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</si>
  <si>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</si>
  <si>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</si>
  <si>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</si>
  <si>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</si>
  <si>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</si>
  <si>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</si>
  <si>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</si>
  <si>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</si>
  <si>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</si>
  <si>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</si>
  <si>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</si>
  <si>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</si>
  <si>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</si>
  <si>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</si>
  <si>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</si>
  <si>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</si>
  <si>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</si>
  <si>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</si>
  <si>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</si>
  <si>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</si>
  <si>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</si>
  <si>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</si>
  <si>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</si>
  <si>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</si>
  <si>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</si>
  <si>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</si>
  <si>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</si>
  <si>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</si>
  <si>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</si>
  <si>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</si>
  <si>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</si>
  <si>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</si>
  <si>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</si>
  <si>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</si>
  <si>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</si>
  <si>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</si>
  <si>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</si>
  <si>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</si>
  <si>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</si>
  <si>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</si>
  <si>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</si>
  <si>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</si>
  <si>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</si>
  <si>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</si>
  <si>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</si>
  <si>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</si>
  <si>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</si>
  <si>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</si>
  <si>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</si>
  <si>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</si>
  <si>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</si>
  <si>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</si>
  <si>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</si>
  <si>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</si>
  <si>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</si>
  <si>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</si>
  <si>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</si>
  <si>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</si>
  <si>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</si>
  <si>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</si>
  <si>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</si>
  <si>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</si>
  <si>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</si>
  <si>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</si>
  <si>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</si>
  <si>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</si>
  <si>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</si>
  <si>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</si>
  <si>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</si>
  <si>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</si>
  <si>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</si>
  <si>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</si>
  <si>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</si>
  <si>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</si>
  <si>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</si>
  <si>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</si>
  <si>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</si>
  <si>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</si>
  <si>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</si>
  <si>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</si>
  <si>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</si>
  <si>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</si>
  <si>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</si>
  <si>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</si>
  <si>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</si>
  <si>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</si>
  <si>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</si>
  <si>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</si>
  <si>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</si>
  <si>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</si>
  <si>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</si>
  <si>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</si>
  <si>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</si>
  <si>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</si>
  <si>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</si>
  <si>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</si>
  <si>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</si>
  <si>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</si>
  <si>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</si>
  <si>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</si>
  <si>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</si>
  <si>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</si>
  <si>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</si>
  <si>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</si>
  <si>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</si>
  <si>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</si>
  <si>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</si>
  <si>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</si>
  <si>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</si>
  <si>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</si>
  <si>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</si>
  <si>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</si>
  <si>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</si>
  <si>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</si>
  <si>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</si>
  <si>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</si>
  <si>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</si>
  <si>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</si>
  <si>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</si>
  <si>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</si>
  <si>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</si>
  <si>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</si>
  <si>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</si>
  <si>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</si>
  <si>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</si>
  <si>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</si>
  <si>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</si>
  <si>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</si>
  <si>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</si>
  <si>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</si>
  <si>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</si>
  <si>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</si>
  <si>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</si>
  <si>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</si>
  <si>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</si>
  <si>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</si>
  <si>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</si>
  <si>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</si>
  <si>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</si>
  <si>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</si>
  <si>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</si>
  <si>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</si>
  <si>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</si>
  <si>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</si>
  <si>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</si>
  <si>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</si>
  <si>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</si>
  <si>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</si>
  <si>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</si>
  <si>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</si>
  <si>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</si>
  <si>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</si>
  <si>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</si>
  <si>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</si>
  <si>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</si>
  <si>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</si>
  <si>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</si>
  <si>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</si>
  <si>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</si>
  <si>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</si>
  <si>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</si>
  <si>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</si>
  <si>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</si>
  <si>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</si>
  <si>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</si>
  <si>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</si>
  <si>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</si>
  <si>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</si>
  <si>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</si>
  <si>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</si>
  <si>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</si>
  <si>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</si>
  <si>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</si>
  <si>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</si>
  <si>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</si>
  <si>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</si>
  <si>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</si>
  <si>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</si>
  <si>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</si>
  <si>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</si>
  <si>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</si>
  <si>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</si>
  <si>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</si>
  <si>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</si>
  <si>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</si>
  <si>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</si>
  <si>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</si>
  <si>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</si>
  <si>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</si>
  <si>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</si>
  <si>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</si>
  <si>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</si>
  <si>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</si>
  <si>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</si>
  <si>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</si>
  <si>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</si>
  <si>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</si>
  <si>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</si>
  <si>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</si>
  <si>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</si>
  <si>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</si>
  <si>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</si>
  <si>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</si>
  <si>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</si>
  <si>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53-090-0860-02</t>
  </si>
  <si>
    <t>East Peoria Elementary School District No. 86</t>
  </si>
  <si>
    <t>NONE</t>
  </si>
  <si>
    <t>Tony Ingold</t>
  </si>
  <si>
    <t>601 Taylor Street</t>
  </si>
  <si>
    <t>East Peoria</t>
  </si>
  <si>
    <t>61611-2693</t>
  </si>
  <si>
    <t>Tim C. Custis, CPA</t>
  </si>
  <si>
    <t>tcustis@gorenzcpa.com</t>
  </si>
  <si>
    <r>
      <t xml:space="preserve">The accompanying Schedule of Expenditures of Federal Awards includes the federal grant activity of </t>
    </r>
    <r>
      <rPr>
        <b/>
        <sz val="9"/>
        <rFont val="Calibri"/>
        <family val="2"/>
        <scheme val="minor"/>
      </rPr>
      <t>East Peoria Elementary School District No. 86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</si>
  <si>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East Peoria Elementary School District No. 86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</si>
  <si>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</si>
  <si>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</si>
  <si>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The accompanying Schedule of Expenditures of Federal Awards includes the federal grant activity of East Peoria Elementary School District 
No. 86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</si>
  <si>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East Peoria Elementary School District No. 86 provided federal awards to subrecipients as follows:</t>
  </si>
  <si>
    <t>Note 6: Relationship to Basic Financial Statements and Program Financial Reports</t>
  </si>
  <si>
    <t>Year Ending June 30, 2020</t>
  </si>
  <si>
    <t>Federal awards received are reflected in the District's financial statements within the Educational Fund as receipts from federal sources. Amounts reported in the accompanying Schedule of Expenditures of Federal Awards agree with the amounts in the Program Financial Records for programs which have filed reports as of June 30, 2020 with ISBE.</t>
  </si>
  <si>
    <t>East Peoria Elementary School District #86</t>
  </si>
  <si>
    <t xml:space="preserve">                             For the Year Ended June 30, 2020                         </t>
  </si>
  <si>
    <t>ISBE</t>
  </si>
  <si>
    <t>Expenditures/Disbursements</t>
  </si>
  <si>
    <t>Project</t>
  </si>
  <si>
    <t xml:space="preserve">Prior to </t>
  </si>
  <si>
    <t>7/01/2019</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</si>
  <si>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</si>
  <si>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</si>
  <si>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</si>
  <si>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</si>
  <si>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</si>
  <si>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</si>
  <si>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</si>
  <si>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</si>
  <si>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</si>
  <si>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(M)</t>
  </si>
  <si>
    <t>19-4220-00</t>
  </si>
  <si>
    <t>N/A</t>
  </si>
  <si>
    <t>20-4220-00</t>
  </si>
  <si>
    <t>Total CFDA 10.553</t>
  </si>
  <si>
    <t>National School Lunch</t>
  </si>
  <si>
    <t>19-4210-00</t>
  </si>
  <si>
    <t>20-4210-00</t>
  </si>
  <si>
    <t>Department of Defense</t>
  </si>
  <si>
    <t>Fruits and Vegetables (2)</t>
  </si>
  <si>
    <t>FY 2019</t>
  </si>
  <si>
    <t>FY 2020</t>
  </si>
  <si>
    <t>Food Donation (2)</t>
  </si>
  <si>
    <t>Total CFDA 10.555</t>
  </si>
  <si>
    <t>Special Milk</t>
  </si>
  <si>
    <t>19-4215-00</t>
  </si>
  <si>
    <t>20-4215-00</t>
  </si>
  <si>
    <t>Total CFDA 10.556</t>
  </si>
  <si>
    <t>20-4225-00</t>
  </si>
  <si>
    <t>Total CFDA 10.559</t>
  </si>
  <si>
    <t>Total U.S. Department of Agriculture - Pass-through programs from ISBE</t>
  </si>
  <si>
    <t xml:space="preserve">U.S. Department of Education - </t>
  </si>
  <si>
    <t>84.010</t>
  </si>
  <si>
    <t>19-4300-00</t>
  </si>
  <si>
    <t>20-4300-00</t>
  </si>
  <si>
    <t>Title I - School Improvement &amp; Accountability</t>
  </si>
  <si>
    <t>19-4331-00</t>
  </si>
  <si>
    <t>20-4331-00</t>
  </si>
  <si>
    <t>Total CFDA 84.010</t>
  </si>
  <si>
    <t xml:space="preserve">IDEA - Room &amp; Board </t>
  </si>
  <si>
    <t>14-4625-00</t>
  </si>
  <si>
    <t>IDEA - Room &amp; Board - Excess Costs</t>
  </si>
  <si>
    <t>19-4932-00</t>
  </si>
  <si>
    <t>20-4932-00</t>
  </si>
  <si>
    <t>Total CFDA 84.367</t>
  </si>
  <si>
    <t>CARES Act - Education Stabilization</t>
  </si>
  <si>
    <t>84.425D</t>
  </si>
  <si>
    <t>20-4998-ER</t>
  </si>
  <si>
    <t>Total U.S. Department of Education - Pass-through programs from ISBE</t>
  </si>
  <si>
    <t>Tazewell Mason Counties Special Education Association</t>
  </si>
  <si>
    <t>I.D.E.A. Flow-Through</t>
  </si>
  <si>
    <t>19-4620-00</t>
  </si>
  <si>
    <t>20-4620-00</t>
  </si>
  <si>
    <t>I.D.E.A. Flow-Through - Pre-School</t>
  </si>
  <si>
    <t>19-4600-00</t>
  </si>
  <si>
    <t>20-4600-00</t>
  </si>
  <si>
    <t xml:space="preserve">  </t>
  </si>
  <si>
    <t>Total - Pass-through programs from Tazewell Mason Counties SEA</t>
  </si>
  <si>
    <t>Total U.S. Department of Education - Pass-through programs</t>
  </si>
  <si>
    <t xml:space="preserve">U.S. Department of Health &amp; Human Services - </t>
  </si>
  <si>
    <t>Illinois Department of Healthcare and Family Services</t>
  </si>
  <si>
    <t>Medicaid Administrative Outreach</t>
  </si>
  <si>
    <t>19-4991-00</t>
  </si>
  <si>
    <t>20-4991-00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</si>
  <si>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</si>
  <si>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</si>
  <si>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</si>
  <si>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</si>
  <si>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</si>
  <si>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</si>
  <si>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</si>
  <si>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2020</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</si>
  <si>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</si>
  <si>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</si>
  <si>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</si>
  <si>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</si>
  <si>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</si>
  <si>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</si>
  <si>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</si>
  <si>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</si>
  <si>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</si>
  <si>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10.553, 10.555, 10.556, 10.559</t>
  </si>
  <si>
    <t>Child Nutrition Cluster</t>
  </si>
  <si>
    <t>Unmodified Special Purpose Framework Reg. Basis</t>
  </si>
  <si>
    <t>Total Federal Expenditures for 7/1/19-6/30/20</t>
  </si>
  <si>
    <t>Tazewell</t>
  </si>
  <si>
    <t>tony@epd86.org</t>
  </si>
  <si>
    <t>309-427-5100</t>
  </si>
  <si>
    <t>309-686-1364</t>
  </si>
  <si>
    <t>x</t>
  </si>
  <si>
    <t>2015 Refunding Bonds</t>
  </si>
  <si>
    <t>2016 Refunding Bonds</t>
  </si>
  <si>
    <t>O&amp;M - Plant Services - Purchased Services</t>
  </si>
  <si>
    <t>GCA</t>
  </si>
  <si>
    <t>Ed - Pupil Support Services - Purchased Services</t>
  </si>
  <si>
    <t>UnityPoint Health</t>
  </si>
  <si>
    <t>Nursing Services - UnityPoint Health</t>
  </si>
  <si>
    <t>Tazewell-Mason Counties Special Education Association</t>
  </si>
  <si>
    <t>Page 10, Line 81 - P.E. Suits and Graduation Robes</t>
  </si>
  <si>
    <t xml:space="preserve">Page 11, Line 107 - Refunds and Reimbursements </t>
  </si>
  <si>
    <t>Page 12, Line 168 - SOS Library per Capita Grant</t>
  </si>
  <si>
    <t>Page 13, Line 203 - Title I School Improvement Grant</t>
  </si>
  <si>
    <t>Page 9, Line 17 - Revenue Sharing City of East Peoria</t>
  </si>
  <si>
    <t>Cash Basis:  Value of Commodities</t>
  </si>
  <si>
    <t>The following amounts were expended in the form of non-cash assistance by East Peoria Elementary School District No. 86 and are included in the Schedule of Expenditures of Federal Awards:</t>
  </si>
  <si>
    <t>See PDF version</t>
  </si>
  <si>
    <t>East Peoria 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</si>
</sst>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0.000_);\(#,##0.000\)"/>
    <numFmt numFmtId="188" formatCode="_(* #,##0_);_(* \(#,##0\);_(* &quot;&quot;_);_(@_)"/>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amily val="3"/>
    </font>
    <font>
      <b/>
      <sz val="12"/>
      <name val="Times New Roman"/>
      <family val="1"/>
    </font>
    <font>
      <sz val="10"/>
      <name val="Courier"/>
    </font>
    <font>
      <sz val="11"/>
      <name val="Times New Roman"/>
      <family val="1"/>
    </font>
    <font>
      <b/>
      <u/>
      <sz val="11"/>
      <name val="Times New Roman"/>
      <family val="1"/>
    </font>
    <font>
      <u/>
      <sz val="10"/>
      <name val="Courier"/>
      <family val="3"/>
    </font>
    <font>
      <sz val="11"/>
      <name val="Courier"/>
      <family val="3"/>
    </font>
    <font>
      <sz val="12"/>
      <name val="Courier"/>
      <family val="3"/>
    </font>
    <font>
      <u val="singleAccounting"/>
      <sz val="11"/>
      <name val="Times New Roman"/>
      <family val="1"/>
    </font>
    <font>
      <u/>
      <sz val="11"/>
      <name val="Times New Roman"/>
      <family val="1"/>
    </font>
    <font>
      <b/>
      <sz val="11"/>
      <name val="Times New Roman"/>
      <family val="1"/>
    </font>
    <font>
      <u val="doubleAccounting"/>
      <sz val="11"/>
      <name val="Times New Roman"/>
      <family val="1"/>
    </font>
    <font>
      <sz val="12"/>
      <name val="Times New Roman"/>
      <family val="1"/>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37" fontId="145" fillId="0" borderId="0"/>
    <xf numFmtId="37" fontId="143" fillId="0" borderId="0"/>
    <xf numFmtId="43" fontId="45" fillId="0" borderId="0" applyFont="0" applyFill="0" applyBorder="0" applyAlignment="0" applyProtection="0"/>
    <xf numFmtId="9" fontId="45" fillId="0" borderId="0" applyFont="0" applyFill="0" applyBorder="0" applyAlignment="0" applyProtection="0"/>
  </cellStyleXfs>
  <cellXfs count="276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3" applyFont="1" applyAlignment="1">
      <alignment horizontal="center" vertical="center"/>
    </xf>
    <xf numFmtId="165" fontId="65" fillId="0" borderId="0" xfId="3" applyNumberFormat="1" applyFont="1" applyAlignment="1">
      <alignment vertical="center"/>
    </xf>
    <xf numFmtId="0" fontId="54" fillId="0" borderId="0" xfId="3" applyFont="1"/>
    <xf numFmtId="169" fontId="55" fillId="0" borderId="0" xfId="3" applyNumberFormat="1" applyFont="1"/>
    <xf numFmtId="0" fontId="65" fillId="0" borderId="0" xfId="3" applyFont="1"/>
    <xf numFmtId="0" fontId="54" fillId="0" borderId="0" xfId="3" applyFont="1" applyAlignment="1">
      <alignment horizontal="center"/>
    </xf>
    <xf numFmtId="0" fontId="55" fillId="0" borderId="144" xfId="3" applyFont="1" applyBorder="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57" fillId="0" borderId="78" xfId="3" applyFont="1" applyBorder="1"/>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57" fillId="0" borderId="0" xfId="3" applyFont="1" applyAlignment="1">
      <alignment horizontal="center"/>
    </xf>
    <xf numFmtId="37" fontId="143" fillId="0" borderId="0" xfId="23" applyAlignment="1">
      <alignment horizontal="center" vertical="center"/>
    </xf>
    <xf numFmtId="37" fontId="45" fillId="0" borderId="0" xfId="23" applyFont="1" applyAlignment="1">
      <alignment horizontal="center" vertical="center"/>
    </xf>
    <xf numFmtId="37" fontId="149" fillId="0" borderId="0" xfId="23" applyFont="1" applyAlignment="1">
      <alignment horizontal="center" vertical="center"/>
    </xf>
    <xf numFmtId="37" fontId="146" fillId="0" borderId="0" xfId="23" applyFont="1" applyAlignment="1">
      <alignment horizontal="center" vertical="center"/>
    </xf>
    <xf numFmtId="37" fontId="150" fillId="0" borderId="0" xfId="23" applyFont="1" applyAlignment="1">
      <alignment horizontal="center" vertical="center"/>
    </xf>
    <xf numFmtId="37" fontId="146" fillId="0" borderId="0" xfId="23" quotePrefix="1" applyFont="1" applyAlignment="1">
      <alignment horizontal="center" vertical="center"/>
    </xf>
    <xf numFmtId="37" fontId="146" fillId="0" borderId="0" xfId="23" applyFont="1" applyAlignment="1">
      <alignment horizontal="left" vertical="center"/>
    </xf>
    <xf numFmtId="14" fontId="146" fillId="0" borderId="0" xfId="23" applyNumberFormat="1" applyFont="1" applyAlignment="1">
      <alignment horizontal="center" vertical="center"/>
    </xf>
    <xf numFmtId="37" fontId="152" fillId="0" borderId="0" xfId="23" quotePrefix="1" applyFont="1" applyAlignment="1">
      <alignment horizontal="left" vertical="center"/>
    </xf>
    <xf numFmtId="37" fontId="151" fillId="0" borderId="0" xfId="23" applyFont="1" applyAlignment="1">
      <alignment horizontal="center" vertical="center"/>
    </xf>
    <xf numFmtId="37" fontId="152" fillId="0" borderId="0" xfId="23" applyFont="1" applyAlignment="1">
      <alignment horizontal="center" vertical="center"/>
    </xf>
    <xf numFmtId="37" fontId="153" fillId="0" borderId="0" xfId="23" applyFont="1" applyAlignment="1">
      <alignment horizontal="left" vertical="center"/>
    </xf>
    <xf numFmtId="37" fontId="149" fillId="0" borderId="0" xfId="23" applyFont="1" applyAlignment="1">
      <alignment horizontal="left" vertical="center"/>
    </xf>
    <xf numFmtId="37" fontId="153" fillId="0" borderId="0" xfId="23" applyFont="1" applyAlignment="1">
      <alignment horizontal="left" vertical="center" indent="1"/>
    </xf>
    <xf numFmtId="185" fontId="146" fillId="0" borderId="0" xfId="23" applyNumberFormat="1" applyFont="1" applyAlignment="1">
      <alignment horizontal="center" vertical="center"/>
    </xf>
    <xf numFmtId="37" fontId="146" fillId="27" borderId="0" xfId="23" applyFont="1" applyFill="1" applyAlignment="1">
      <alignment horizontal="center" vertical="center"/>
    </xf>
    <xf numFmtId="186" fontId="146" fillId="0" borderId="0" xfId="23" applyNumberFormat="1" applyFont="1" applyAlignment="1">
      <alignment horizontal="center" vertical="center"/>
    </xf>
    <xf numFmtId="186" fontId="146" fillId="0" borderId="0" xfId="23" applyNumberFormat="1" applyFont="1" applyAlignment="1">
      <alignment horizontal="right" vertical="center"/>
    </xf>
    <xf numFmtId="186" fontId="151" fillId="0" borderId="0" xfId="23" applyNumberFormat="1" applyFont="1" applyAlignment="1">
      <alignment horizontal="center" vertical="center"/>
    </xf>
    <xf numFmtId="37" fontId="146" fillId="0" borderId="0" xfId="23" applyFont="1" applyAlignment="1">
      <alignment horizontal="right" vertical="center"/>
    </xf>
    <xf numFmtId="37" fontId="146" fillId="0" borderId="0" xfId="23" quotePrefix="1" applyFont="1" applyAlignment="1">
      <alignment horizontal="left" vertical="center"/>
    </xf>
    <xf numFmtId="37" fontId="149" fillId="0" borderId="0" xfId="23" quotePrefix="1" applyFont="1" applyAlignment="1">
      <alignment horizontal="center" vertical="center"/>
    </xf>
    <xf numFmtId="186" fontId="146" fillId="0" borderId="0" xfId="23" applyNumberFormat="1" applyFont="1" applyAlignment="1">
      <alignment horizontal="left" vertical="center"/>
    </xf>
    <xf numFmtId="41" fontId="152" fillId="0" borderId="0" xfId="23" applyNumberFormat="1" applyFont="1" applyAlignment="1">
      <alignment vertical="center"/>
    </xf>
    <xf numFmtId="186" fontId="152" fillId="0" borderId="0" xfId="23" applyNumberFormat="1" applyFont="1" applyAlignment="1">
      <alignment horizontal="center" vertical="center"/>
    </xf>
    <xf numFmtId="187" fontId="146" fillId="0" borderId="0" xfId="23" applyNumberFormat="1" applyFont="1" applyAlignment="1">
      <alignment horizontal="center" vertical="center"/>
    </xf>
    <xf numFmtId="37" fontId="153" fillId="0" borderId="0" xfId="23" applyFont="1" applyAlignment="1">
      <alignment horizontal="center" vertical="center"/>
    </xf>
    <xf numFmtId="41" fontId="146" fillId="0" borderId="0" xfId="23" quotePrefix="1" applyNumberFormat="1" applyFont="1" applyAlignment="1">
      <alignment horizontal="center" vertical="center"/>
    </xf>
    <xf numFmtId="41" fontId="146" fillId="0" borderId="0" xfId="23" applyNumberFormat="1" applyFont="1" applyAlignment="1">
      <alignment horizontal="center" vertical="center"/>
    </xf>
    <xf numFmtId="41" fontId="151" fillId="0" borderId="0" xfId="23" quotePrefix="1" applyNumberFormat="1" applyFont="1" applyAlignment="1">
      <alignment horizontal="center" vertical="center"/>
    </xf>
    <xf numFmtId="41" fontId="151" fillId="0" borderId="0" xfId="23" applyNumberFormat="1" applyFont="1" applyAlignment="1">
      <alignment horizontal="center" vertical="center"/>
    </xf>
    <xf numFmtId="188" fontId="151" fillId="0" borderId="0" xfId="23" applyNumberFormat="1" applyFont="1" applyAlignment="1">
      <alignment horizontal="center" vertical="center"/>
    </xf>
    <xf numFmtId="39" fontId="149" fillId="0" borderId="0" xfId="23" applyNumberFormat="1" applyFont="1" applyAlignment="1">
      <alignment horizontal="center" vertical="center"/>
    </xf>
    <xf numFmtId="185" fontId="146" fillId="0" borderId="0" xfId="23" applyNumberFormat="1" applyFont="1" applyAlignment="1">
      <alignment horizontal="left" vertical="center"/>
    </xf>
    <xf numFmtId="186" fontId="154" fillId="0" borderId="0" xfId="23" applyNumberFormat="1" applyFont="1" applyAlignment="1">
      <alignment horizontal="center" vertical="center"/>
    </xf>
    <xf numFmtId="37" fontId="155" fillId="0" borderId="0" xfId="23" applyFont="1" applyAlignment="1">
      <alignment horizontal="center" vertical="center"/>
    </xf>
    <xf numFmtId="186" fontId="149" fillId="0" borderId="0" xfId="23" applyNumberFormat="1" applyFont="1" applyAlignment="1">
      <alignment horizontal="center" vertical="center"/>
    </xf>
    <xf numFmtId="185" fontId="149" fillId="0" borderId="0" xfId="23" applyNumberFormat="1" applyFont="1" applyAlignment="1">
      <alignment horizontal="left" vertical="center"/>
    </xf>
    <xf numFmtId="37" fontId="150" fillId="0" borderId="0" xfId="23" applyFont="1" applyAlignment="1">
      <alignment horizontal="left" vertical="center"/>
    </xf>
    <xf numFmtId="37" fontId="155" fillId="0" borderId="0" xfId="23" applyFont="1" applyAlignment="1">
      <alignment horizontal="left" vertical="center"/>
    </xf>
    <xf numFmtId="185" fontId="150" fillId="0" borderId="0" xfId="23" applyNumberFormat="1" applyFont="1" applyAlignment="1">
      <alignment horizontal="left" vertical="center"/>
    </xf>
    <xf numFmtId="186" fontId="150" fillId="0" borderId="0" xfId="23" applyNumberFormat="1" applyFont="1" applyAlignment="1">
      <alignment horizontal="center" vertical="center"/>
    </xf>
    <xf numFmtId="37" fontId="143" fillId="0" borderId="0" xfId="23" applyAlignment="1">
      <alignment horizontal="left" vertical="center"/>
    </xf>
    <xf numFmtId="37" fontId="45" fillId="0" borderId="0" xfId="23" applyFont="1" applyAlignment="1">
      <alignment horizontal="left" vertical="center"/>
    </xf>
    <xf numFmtId="185" fontId="143" fillId="0" borderId="0" xfId="23" applyNumberFormat="1" applyAlignment="1">
      <alignment horizontal="left" vertical="center"/>
    </xf>
    <xf numFmtId="186" fontId="143" fillId="0" borderId="0" xfId="23" applyNumberFormat="1" applyAlignment="1">
      <alignment horizontal="center" vertical="center"/>
    </xf>
    <xf numFmtId="37" fontId="156" fillId="0" borderId="0" xfId="23" applyFont="1" applyAlignment="1">
      <alignment horizontal="left" vertical="center"/>
    </xf>
    <xf numFmtId="37" fontId="156" fillId="0" borderId="0" xfId="23" applyFont="1" applyAlignment="1">
      <alignment horizontal="left" vertical="center" wrapText="1"/>
    </xf>
    <xf numFmtId="37" fontId="156" fillId="0" borderId="0" xfId="23" applyFont="1" applyAlignment="1">
      <alignment horizontal="center" vertical="center" wrapText="1"/>
    </xf>
    <xf numFmtId="37" fontId="11" fillId="0" borderId="0" xfId="23" applyFont="1" applyAlignment="1">
      <alignment horizontal="left" vertical="center"/>
    </xf>
    <xf numFmtId="37" fontId="11" fillId="0" borderId="0" xfId="23" applyFont="1" applyAlignment="1">
      <alignment horizontal="left" vertical="center" wrapText="1"/>
    </xf>
    <xf numFmtId="37" fontId="11" fillId="0" borderId="0" xfId="23" applyFont="1" applyAlignment="1">
      <alignment horizontal="center" vertical="center" wrapText="1"/>
    </xf>
    <xf numFmtId="37" fontId="11" fillId="0" borderId="0" xfId="23" applyFont="1" applyAlignment="1">
      <alignment horizontal="center" vertical="center"/>
    </xf>
    <xf numFmtId="1" fontId="11" fillId="0" borderId="0" xfId="23" applyNumberFormat="1" applyFont="1" applyAlignment="1">
      <alignment horizontal="left" vertical="center"/>
    </xf>
    <xf numFmtId="1" fontId="143" fillId="0" borderId="0" xfId="23" applyNumberFormat="1" applyAlignment="1">
      <alignment horizontal="left" vertical="center"/>
    </xf>
    <xf numFmtId="37" fontId="143" fillId="0" borderId="0" xfId="23" applyAlignment="1" applyProtection="1">
      <alignment horizontal="left" vertical="center"/>
      <protection locked="0"/>
    </xf>
    <xf numFmtId="169" fontId="143" fillId="0" borderId="0" xfId="23" applyNumberFormat="1" applyAlignment="1" applyProtection="1">
      <alignment horizontal="left" vertical="center"/>
      <protection locked="0"/>
    </xf>
    <xf numFmtId="1" fontId="143" fillId="0" borderId="0" xfId="23" applyNumberFormat="1" applyAlignment="1" applyProtection="1">
      <alignment horizontal="left" vertical="center"/>
      <protection locked="0"/>
    </xf>
    <xf numFmtId="37" fontId="143" fillId="0" borderId="0" xfId="23" applyAlignment="1" applyProtection="1">
      <alignment horizontal="center" vertical="center"/>
      <protection locked="0"/>
    </xf>
    <xf numFmtId="186" fontId="146" fillId="0" borderId="0" xfId="23" applyNumberFormat="1" applyFont="1" applyFill="1" applyAlignment="1">
      <alignment horizontal="right" vertical="center"/>
    </xf>
    <xf numFmtId="0" fontId="64" fillId="0" borderId="0" xfId="3" applyFont="1" applyAlignment="1">
      <alignment horizontal="right" vertical="center" textRotation="180"/>
    </xf>
    <xf numFmtId="0" fontId="65" fillId="0" borderId="0" xfId="3" applyFont="1" applyAlignment="1">
      <alignment vertical="center" textRotation="180"/>
    </xf>
    <xf numFmtId="169" fontId="65" fillId="0" borderId="0" xfId="3" applyNumberFormat="1" applyFont="1"/>
    <xf numFmtId="169" fontId="57" fillId="0" borderId="142" xfId="3" applyNumberFormat="1" applyFont="1" applyBorder="1"/>
    <xf numFmtId="0" fontId="57" fillId="0" borderId="142" xfId="3" applyFont="1" applyBorder="1"/>
    <xf numFmtId="0" fontId="57" fillId="0" borderId="142" xfId="3" applyFont="1" applyBorder="1" applyAlignment="1">
      <alignment horizontal="center"/>
    </xf>
    <xf numFmtId="169" fontId="57" fillId="0" borderId="9" xfId="3" applyNumberFormat="1" applyFont="1" applyBorder="1"/>
    <xf numFmtId="0" fontId="57" fillId="0" borderId="9" xfId="3" applyFont="1" applyBorder="1"/>
    <xf numFmtId="0" fontId="57" fillId="0" borderId="9" xfId="3" applyFont="1" applyBorder="1" applyAlignment="1">
      <alignment horizontal="center"/>
    </xf>
    <xf numFmtId="169" fontId="57" fillId="0" borderId="0" xfId="3" applyNumberFormat="1" applyFont="1"/>
    <xf numFmtId="169" fontId="87" fillId="0" borderId="0" xfId="3" applyNumberFormat="1" applyFont="1" applyAlignment="1">
      <alignment horizontal="left"/>
    </xf>
    <xf numFmtId="0" fontId="79" fillId="0" borderId="0" xfId="3" applyFont="1" applyAlignment="1">
      <alignment horizontal="left"/>
    </xf>
    <xf numFmtId="169" fontId="62" fillId="0" borderId="0" xfId="3" applyNumberFormat="1" applyFont="1"/>
    <xf numFmtId="0" fontId="62" fillId="0" borderId="0" xfId="3" applyFont="1" applyAlignment="1">
      <alignment horizontal="centerContinuous"/>
    </xf>
    <xf numFmtId="0" fontId="57" fillId="0" borderId="0" xfId="3" applyFont="1" applyAlignment="1">
      <alignment horizontal="centerContinuous"/>
    </xf>
    <xf numFmtId="169" fontId="64" fillId="0" borderId="0" xfId="3" applyNumberFormat="1" applyFont="1"/>
    <xf numFmtId="169" fontId="62" fillId="0" borderId="0" xfId="3" applyNumberFormat="1" applyFont="1" applyAlignment="1">
      <alignment horizontal="left"/>
    </xf>
    <xf numFmtId="0" fontId="55" fillId="0" borderId="0" xfId="3" applyFont="1" applyAlignment="1">
      <alignment horizontal="left"/>
    </xf>
    <xf numFmtId="0" fontId="57" fillId="0" borderId="0" xfId="3" applyFont="1" applyAlignment="1" applyProtection="1">
      <alignment horizontal="center" vertical="center"/>
      <protection locked="0"/>
    </xf>
    <xf numFmtId="0" fontId="110" fillId="0" borderId="0" xfId="3" applyFont="1" applyAlignment="1">
      <alignment horizontal="left"/>
    </xf>
    <xf numFmtId="169" fontId="68" fillId="0" borderId="0" xfId="3" applyNumberFormat="1" applyFont="1"/>
    <xf numFmtId="0" fontId="59" fillId="0" borderId="0" xfId="3" applyFont="1"/>
    <xf numFmtId="0" fontId="75" fillId="0" borderId="0" xfId="3" applyFont="1"/>
    <xf numFmtId="169" fontId="62" fillId="0" borderId="147" xfId="3" applyNumberFormat="1" applyFont="1" applyBorder="1" applyAlignment="1">
      <alignment horizontal="center"/>
    </xf>
    <xf numFmtId="169" fontId="122" fillId="0" borderId="0" xfId="3" applyNumberFormat="1" applyFont="1"/>
    <xf numFmtId="6" fontId="118" fillId="0" borderId="76" xfId="3" applyNumberFormat="1" applyFont="1" applyBorder="1"/>
    <xf numFmtId="6" fontId="118" fillId="0" borderId="0" xfId="3" applyNumberFormat="1" applyFont="1"/>
    <xf numFmtId="10" fontId="64" fillId="0" borderId="77" xfId="3" applyNumberFormat="1" applyFont="1" applyBorder="1"/>
    <xf numFmtId="6" fontId="62" fillId="0" borderId="0" xfId="3" applyNumberFormat="1" applyFont="1"/>
    <xf numFmtId="0" fontId="118" fillId="0" borderId="0" xfId="3" applyFont="1"/>
    <xf numFmtId="10" fontId="122" fillId="0" borderId="0" xfId="3" applyNumberFormat="1" applyFont="1"/>
    <xf numFmtId="169" fontId="57" fillId="0" borderId="78" xfId="3" applyNumberFormat="1" applyFont="1" applyBorder="1"/>
    <xf numFmtId="2" fontId="75" fillId="0" borderId="78" xfId="3" applyNumberFormat="1" applyFont="1" applyBorder="1"/>
    <xf numFmtId="0" fontId="75" fillId="0" borderId="78" xfId="3" applyFont="1" applyBorder="1" applyAlignment="1">
      <alignment horizontal="center"/>
    </xf>
    <xf numFmtId="0" fontId="75" fillId="0" borderId="78" xfId="3" applyFont="1" applyBorder="1"/>
    <xf numFmtId="2" fontId="75" fillId="0" borderId="0" xfId="3" applyNumberFormat="1" applyFont="1"/>
    <xf numFmtId="0" fontId="75" fillId="0" borderId="0" xfId="3" applyFont="1" applyAlignment="1">
      <alignment horizontal="center"/>
    </xf>
    <xf numFmtId="0" fontId="62" fillId="0" borderId="0" xfId="3" applyFont="1" applyAlignment="1">
      <alignment horizontal="left" vertical="center"/>
    </xf>
    <xf numFmtId="169" fontId="119" fillId="0" borderId="0" xfId="3" applyNumberFormat="1" applyFont="1" applyAlignment="1">
      <alignment horizontal="left" vertical="center"/>
    </xf>
    <xf numFmtId="0" fontId="119" fillId="0" borderId="0" xfId="3" applyFont="1" applyAlignment="1">
      <alignment horizontal="left" vertical="center"/>
    </xf>
    <xf numFmtId="169" fontId="62" fillId="0" borderId="0" xfId="3" applyNumberFormat="1" applyFont="1" applyAlignment="1">
      <alignment horizontal="lef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44" fillId="0" borderId="0" xfId="21" applyFont="1" applyAlignment="1">
      <alignment horizontal="center" vertical="center"/>
    </xf>
    <xf numFmtId="37" fontId="145" fillId="0" borderId="0" xfId="22" applyAlignment="1">
      <alignment horizontal="center" vertical="center"/>
    </xf>
    <xf numFmtId="37" fontId="144" fillId="0" borderId="0" xfId="23" applyFont="1" applyAlignment="1">
      <alignment horizontal="center" vertical="center"/>
    </xf>
    <xf numFmtId="0" fontId="147" fillId="0" borderId="0" xfId="23" applyNumberFormat="1" applyFont="1" applyAlignment="1">
      <alignment horizontal="center" vertical="center"/>
    </xf>
    <xf numFmtId="0" fontId="148" fillId="0" borderId="0" xfId="22" applyNumberFormat="1" applyFont="1" applyAlignment="1">
      <alignment horizontal="center" vertical="center"/>
    </xf>
    <xf numFmtId="37" fontId="151" fillId="0" borderId="0" xfId="23" applyFont="1" applyAlignment="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Font="1" applyAlignment="1">
      <alignment horizontal="center"/>
    </xf>
    <xf numFmtId="165" fontId="65" fillId="0" borderId="0" xfId="3" applyNumberFormat="1" applyFont="1" applyAlignment="1">
      <alignment horizontal="center" vertical="center"/>
    </xf>
    <xf numFmtId="0" fontId="54" fillId="0" borderId="0" xfId="3" applyFont="1" applyAlignment="1">
      <alignment horizontal="center" vertical="center" readingOrder="1"/>
    </xf>
    <xf numFmtId="3" fontId="55" fillId="0" borderId="77" xfId="3" applyNumberFormat="1" applyFont="1" applyBorder="1" applyAlignment="1" applyProtection="1">
      <alignment horizontal="right" indent="1"/>
      <protection locked="0"/>
    </xf>
    <xf numFmtId="0" fontId="54" fillId="0" borderId="0" xfId="3" applyFont="1" applyAlignment="1">
      <alignment horizontal="center"/>
    </xf>
    <xf numFmtId="0" fontId="54" fillId="0" borderId="78" xfId="3" applyFont="1" applyBorder="1" applyAlignment="1">
      <alignment horizontal="center"/>
    </xf>
    <xf numFmtId="0" fontId="62" fillId="0" borderId="0" xfId="3" applyFont="1" applyAlignment="1">
      <alignment horizontal="left" vertical="center" wrapText="1"/>
    </xf>
    <xf numFmtId="0" fontId="55" fillId="0" borderId="0" xfId="3" applyFont="1" applyAlignment="1">
      <alignment horizontal="left" vertical="top" wrapText="1"/>
    </xf>
    <xf numFmtId="0" fontId="55" fillId="0" borderId="0" xfId="3" applyFont="1" applyAlignment="1" applyProtection="1">
      <alignment vertical="center" wrapText="1"/>
      <protection locked="0"/>
    </xf>
    <xf numFmtId="5" fontId="65" fillId="0" borderId="147" xfId="3" applyNumberFormat="1" applyFont="1" applyBorder="1" applyProtection="1">
      <protection locked="0"/>
    </xf>
    <xf numFmtId="0" fontId="65" fillId="0" borderId="148" xfId="3" applyFont="1" applyBorder="1" applyProtection="1">
      <protection locked="0"/>
    </xf>
    <xf numFmtId="0" fontId="62" fillId="0" borderId="0" xfId="3" applyFont="1" applyAlignment="1">
      <alignment horizontal="left" vertical="top" wrapText="1"/>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lignment horizontal="center"/>
    </xf>
    <xf numFmtId="0" fontId="62" fillId="0" borderId="76" xfId="3" applyFont="1" applyBorder="1" applyAlignment="1">
      <alignment horizontal="center"/>
    </xf>
    <xf numFmtId="0" fontId="62" fillId="0" borderId="148" xfId="3" applyFont="1" applyBorder="1" applyAlignment="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169" fontId="54" fillId="0" borderId="0" xfId="3" applyNumberFormat="1" applyFont="1" applyAlignment="1" applyProtection="1">
      <alignment horizontal="center" vertical="center" wrapText="1"/>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Comma 2" xfId="24" xr:uid="{C2A5AD01-98B9-49B1-B9A1-C2469F6432E8}"/>
    <cellStyle name="Hyperlink" xfId="2" builtinId="8"/>
    <cellStyle name="Hyperlink 2" xfId="15" xr:uid="{00000000-0005-0000-0000-000002000000}"/>
    <cellStyle name="Normal" xfId="0" builtinId="0"/>
    <cellStyle name="Normal 2" xfId="3" xr:uid="{00000000-0005-0000-0000-000004000000}"/>
    <cellStyle name="Normal 2 2" xfId="23" xr:uid="{E178A948-EDA8-4F20-9577-FB8B82D4CD12}"/>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2" xr:uid="{E6D3AC36-025A-4F4F-A2F6-BD5A3DA88A3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EFA 08 PVS" xfId="21" xr:uid="{AECA1DB3-FDB7-48D2-A1BE-BB2AA11B9050}"/>
    <cellStyle name="Normal_THRESHOLD CALCULATOR v3" xfId="13" xr:uid="{00000000-0005-0000-0000-000014000000}"/>
    <cellStyle name="Percent 2" xfId="25" xr:uid="{E22D0B28-BB02-4B8D-87A6-F47D0EA0C0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514350</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1485900</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112568</xdr:colOff>
          <xdr:row>1</xdr:row>
          <xdr:rowOff>2598</xdr:rowOff>
        </xdr:from>
        <xdr:to>
          <xdr:col>1</xdr:col>
          <xdr:colOff>912668</xdr:colOff>
          <xdr:row>5</xdr:row>
          <xdr:rowOff>51089</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2598</xdr:rowOff>
        </xdr:from>
        <xdr:to>
          <xdr:col>3</xdr:col>
          <xdr:colOff>299605</xdr:colOff>
          <xdr:row>5</xdr:row>
          <xdr:rowOff>51089</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8659</xdr:colOff>
          <xdr:row>1</xdr:row>
          <xdr:rowOff>2598</xdr:rowOff>
        </xdr:from>
        <xdr:to>
          <xdr:col>5</xdr:col>
          <xdr:colOff>308264</xdr:colOff>
          <xdr:row>5</xdr:row>
          <xdr:rowOff>51089</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4</xdr:col>
      <xdr:colOff>0</xdr:colOff>
      <xdr:row>19</xdr:row>
      <xdr:rowOff>0</xdr:rowOff>
    </xdr:from>
    <xdr:ext cx="76200" cy="201757"/>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43">
        <f>+'AFR20'!E4</f>
        <v>44119</v>
      </c>
      <c r="C1" s="2243"/>
      <c r="D1" s="2244"/>
      <c r="I1" s="2202" t="s">
        <v>402</v>
      </c>
      <c r="J1" s="2203"/>
      <c r="K1" s="2203"/>
      <c r="L1" s="2203"/>
      <c r="M1" s="2203"/>
      <c r="N1" s="2203"/>
      <c r="O1" s="2203"/>
      <c r="P1" s="2203"/>
      <c r="Q1" s="2203"/>
      <c r="R1" s="2203"/>
      <c r="S1" s="2203"/>
    </row>
    <row r="2" spans="1:32" ht="12" customHeight="1" x14ac:dyDescent="0.2">
      <c r="A2" s="1831" t="str">
        <f>"Due to ISBE on "</f>
        <v xml:space="preserve">Due to ISBE on </v>
      </c>
      <c r="B2" s="2245">
        <f>+'AFR20'!F4</f>
        <v>44151</v>
      </c>
      <c r="C2" s="2245"/>
      <c r="D2" s="2246"/>
      <c r="I2" s="2204" t="s">
        <v>2001</v>
      </c>
      <c r="J2" s="2203"/>
      <c r="K2" s="2203"/>
      <c r="L2" s="2203"/>
      <c r="M2" s="2203"/>
      <c r="N2" s="2203"/>
      <c r="O2" s="2203"/>
      <c r="P2" s="2203"/>
      <c r="Q2" s="2203"/>
      <c r="R2" s="2203"/>
      <c r="S2" s="2203"/>
    </row>
    <row r="3" spans="1:32" ht="12" customHeight="1" x14ac:dyDescent="0.2">
      <c r="A3" s="1834" t="str">
        <f>"SD/JA"&amp;MID('AFR20'!E2,3,2)</f>
        <v>SD/JA20</v>
      </c>
      <c r="B3" s="151"/>
      <c r="C3" s="151"/>
      <c r="D3" s="152"/>
      <c r="I3" s="2204" t="s">
        <v>52</v>
      </c>
      <c r="J3" s="2203"/>
      <c r="K3" s="2203"/>
      <c r="L3" s="2203"/>
      <c r="M3" s="2203"/>
      <c r="N3" s="2203"/>
      <c r="O3" s="2203"/>
      <c r="P3" s="2203"/>
      <c r="Q3" s="2203"/>
      <c r="R3" s="2203"/>
      <c r="S3" s="2203"/>
    </row>
    <row r="4" spans="1:32" ht="12" customHeight="1" x14ac:dyDescent="0.2">
      <c r="A4" s="37"/>
      <c r="I4" s="2204" t="s">
        <v>521</v>
      </c>
      <c r="J4" s="2203"/>
      <c r="K4" s="2203"/>
      <c r="L4" s="2203"/>
      <c r="M4" s="2203"/>
      <c r="N4" s="2203"/>
      <c r="O4" s="2203"/>
      <c r="P4" s="2203"/>
      <c r="Q4" s="2203"/>
      <c r="R4" s="2203"/>
      <c r="S4" s="2203"/>
    </row>
    <row r="5" spans="1:32" ht="14.1" customHeight="1" x14ac:dyDescent="0.2">
      <c r="B5" s="101" t="s">
        <v>2049</v>
      </c>
      <c r="C5" s="26" t="s">
        <v>904</v>
      </c>
      <c r="D5" s="81"/>
      <c r="E5" s="81"/>
      <c r="H5" s="38"/>
      <c r="I5" s="2212" t="s">
        <v>675</v>
      </c>
      <c r="J5" s="2211"/>
      <c r="K5" s="2211"/>
      <c r="L5" s="2211"/>
      <c r="M5" s="2211"/>
      <c r="N5" s="2211"/>
      <c r="O5" s="2211"/>
      <c r="P5" s="2211"/>
      <c r="Q5" s="2211"/>
      <c r="R5" s="2211"/>
      <c r="S5" s="2211"/>
      <c r="AF5" s="1827"/>
    </row>
    <row r="6" spans="1:32" ht="14.1" customHeight="1" x14ac:dyDescent="0.2">
      <c r="B6" s="101"/>
      <c r="C6" s="26" t="s">
        <v>905</v>
      </c>
      <c r="D6" s="81"/>
      <c r="E6" s="81"/>
      <c r="I6" s="2210" t="s">
        <v>877</v>
      </c>
      <c r="J6" s="2211"/>
      <c r="K6" s="2211"/>
      <c r="L6" s="2211"/>
      <c r="M6" s="2211"/>
      <c r="N6" s="2211"/>
      <c r="O6" s="2211"/>
      <c r="P6" s="2211"/>
      <c r="Q6" s="2211"/>
      <c r="R6" s="2211"/>
      <c r="S6" s="2211"/>
    </row>
    <row r="7" spans="1:32" ht="12.4" customHeight="1" x14ac:dyDescent="0.2">
      <c r="I7" s="2205" t="str">
        <f>"June 30, "&amp;'AFR20'!E2</f>
        <v>June 30, 2020</v>
      </c>
      <c r="J7" s="2206"/>
      <c r="K7" s="2206"/>
      <c r="L7" s="2206"/>
      <c r="M7" s="2206"/>
      <c r="N7" s="2206"/>
      <c r="O7" s="2206"/>
      <c r="P7" s="2206"/>
      <c r="Q7" s="2206"/>
      <c r="R7" s="2206"/>
      <c r="S7" s="220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07" t="s">
        <v>669</v>
      </c>
      <c r="J9" s="2208"/>
      <c r="K9" s="2208"/>
      <c r="L9" s="2208"/>
      <c r="M9" s="2208"/>
      <c r="N9" s="2208"/>
      <c r="O9" s="2208"/>
      <c r="P9" s="2208"/>
      <c r="Q9" s="2208"/>
      <c r="R9" s="2208"/>
      <c r="S9" s="2209"/>
      <c r="T9" s="2260" t="s">
        <v>530</v>
      </c>
      <c r="U9" s="2261"/>
      <c r="V9" s="2261"/>
      <c r="W9" s="2261"/>
      <c r="X9" s="2261"/>
      <c r="Y9" s="2261"/>
      <c r="Z9" s="2261"/>
      <c r="AA9" s="2262"/>
    </row>
    <row r="10" spans="1:32" ht="13.5" customHeight="1" x14ac:dyDescent="0.2">
      <c r="A10" s="2267" t="s">
        <v>670</v>
      </c>
      <c r="B10" s="2268"/>
      <c r="C10" s="2268"/>
      <c r="D10" s="2268"/>
      <c r="E10" s="2268"/>
      <c r="F10" s="2268"/>
      <c r="G10" s="2268"/>
      <c r="H10" s="2269"/>
      <c r="I10" s="29"/>
      <c r="J10" s="30"/>
      <c r="K10" s="28"/>
      <c r="R10" s="30"/>
      <c r="S10" s="30"/>
      <c r="T10" s="2263"/>
      <c r="U10" s="2211"/>
      <c r="V10" s="2211"/>
      <c r="W10" s="2211"/>
      <c r="X10" s="2211"/>
      <c r="Y10" s="2211"/>
      <c r="Z10" s="2211"/>
      <c r="AA10" s="2217"/>
    </row>
    <row r="11" spans="1:32" ht="14.25" customHeight="1" x14ac:dyDescent="0.2">
      <c r="A11" s="2270" t="s">
        <v>949</v>
      </c>
      <c r="B11" s="2271"/>
      <c r="C11" s="2271"/>
      <c r="D11" s="2271"/>
      <c r="E11" s="2271"/>
      <c r="F11" s="2271"/>
      <c r="G11" s="2271"/>
      <c r="H11" s="2272"/>
      <c r="I11" s="27"/>
      <c r="J11" s="71"/>
      <c r="K11" s="27"/>
      <c r="O11" s="144" t="s">
        <v>2049</v>
      </c>
      <c r="P11" s="97" t="s">
        <v>199</v>
      </c>
      <c r="Q11" s="30"/>
      <c r="R11" s="28"/>
      <c r="S11" s="27"/>
      <c r="T11" s="2264"/>
      <c r="U11" s="2265"/>
      <c r="V11" s="2265"/>
      <c r="W11" s="2265"/>
      <c r="X11" s="2265"/>
      <c r="Y11" s="2265"/>
      <c r="Z11" s="2265"/>
      <c r="AA11" s="226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23">
        <v>53090086002</v>
      </c>
      <c r="B13" s="2224"/>
      <c r="C13" s="2224"/>
      <c r="D13" s="2224"/>
      <c r="E13" s="2224"/>
      <c r="F13" s="2224"/>
      <c r="G13" s="2224"/>
      <c r="H13" s="2225"/>
      <c r="I13" s="31"/>
      <c r="J13" s="30"/>
      <c r="K13" s="28"/>
      <c r="L13" s="30"/>
      <c r="M13" s="30"/>
      <c r="N13" s="30"/>
      <c r="O13" s="30"/>
      <c r="P13" s="30"/>
      <c r="Q13" s="30"/>
      <c r="R13" s="30"/>
      <c r="S13" s="30"/>
      <c r="T13" s="2229" t="s">
        <v>2050</v>
      </c>
      <c r="U13" s="2230"/>
      <c r="V13" s="2230"/>
      <c r="W13" s="2230"/>
      <c r="X13" s="2230"/>
      <c r="Y13" s="2231"/>
      <c r="Z13" s="2231"/>
      <c r="AA13" s="223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26" t="s">
        <v>2167</v>
      </c>
      <c r="B15" s="2227"/>
      <c r="C15" s="2227"/>
      <c r="D15" s="2227"/>
      <c r="E15" s="2227"/>
      <c r="F15" s="2227"/>
      <c r="G15" s="2227"/>
      <c r="H15" s="2228"/>
      <c r="T15" s="2233" t="s">
        <v>2065</v>
      </c>
      <c r="U15" s="2190"/>
      <c r="V15" s="2190"/>
      <c r="W15" s="2190"/>
      <c r="X15" s="2190"/>
      <c r="Y15" s="2234"/>
      <c r="Z15" s="2234"/>
      <c r="AA15" s="223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96" t="s">
        <v>2188</v>
      </c>
      <c r="B17" s="2197"/>
      <c r="C17" s="2197"/>
      <c r="D17" s="2197"/>
      <c r="E17" s="2197"/>
      <c r="F17" s="2197"/>
      <c r="G17" s="2197"/>
      <c r="H17" s="2222"/>
      <c r="T17" s="2240" t="s">
        <v>2051</v>
      </c>
      <c r="U17" s="2241"/>
      <c r="V17" s="2241"/>
      <c r="W17" s="2241"/>
      <c r="X17" s="2241"/>
      <c r="Y17" s="2241"/>
      <c r="Z17" s="2241"/>
      <c r="AA17" s="2242"/>
    </row>
    <row r="18" spans="1:27" ht="13.5" customHeight="1" x14ac:dyDescent="0.2">
      <c r="A18" s="82" t="s">
        <v>527</v>
      </c>
      <c r="B18" s="73"/>
      <c r="C18" s="69"/>
      <c r="D18" s="73"/>
      <c r="E18" s="73"/>
      <c r="F18" s="73"/>
      <c r="G18" s="73"/>
      <c r="H18" s="53"/>
      <c r="I18" s="2221" t="s">
        <v>671</v>
      </c>
      <c r="J18" s="2172"/>
      <c r="K18" s="2172"/>
      <c r="L18" s="2172"/>
      <c r="M18" s="2172"/>
      <c r="N18" s="2172"/>
      <c r="O18" s="2172"/>
      <c r="P18" s="2172"/>
      <c r="Q18" s="2172"/>
      <c r="R18" s="2172"/>
      <c r="S18" s="2173"/>
      <c r="T18" s="82" t="s">
        <v>706</v>
      </c>
      <c r="U18" s="48"/>
      <c r="V18" s="69"/>
      <c r="W18" s="47"/>
      <c r="X18" s="82" t="s">
        <v>264</v>
      </c>
      <c r="Y18" s="78"/>
      <c r="Z18" s="154" t="s">
        <v>672</v>
      </c>
      <c r="AA18" s="44"/>
    </row>
    <row r="19" spans="1:27" ht="13.5" customHeight="1" x14ac:dyDescent="0.2">
      <c r="A19" s="2226" t="s">
        <v>2062</v>
      </c>
      <c r="B19" s="2182"/>
      <c r="C19" s="2182"/>
      <c r="D19" s="2182"/>
      <c r="E19" s="2182"/>
      <c r="F19" s="2182"/>
      <c r="G19" s="2182"/>
      <c r="H19" s="2162"/>
      <c r="I19" s="30"/>
      <c r="J19" s="96"/>
      <c r="K19" s="40"/>
      <c r="L19" s="38"/>
      <c r="M19" s="109" t="s">
        <v>312</v>
      </c>
      <c r="P19" s="27"/>
      <c r="Q19" s="27"/>
      <c r="R19" s="27"/>
      <c r="S19" s="31"/>
      <c r="T19" s="2226" t="s">
        <v>2052</v>
      </c>
      <c r="U19" s="2161"/>
      <c r="V19" s="2161"/>
      <c r="W19" s="2162"/>
      <c r="X19" s="2238" t="s">
        <v>2053</v>
      </c>
      <c r="Y19" s="2239"/>
      <c r="Z19" s="2236">
        <v>61614</v>
      </c>
      <c r="AA19" s="223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60" t="s">
        <v>2063</v>
      </c>
      <c r="B21" s="2161"/>
      <c r="C21" s="2161"/>
      <c r="D21" s="2161"/>
      <c r="E21" s="2161"/>
      <c r="F21" s="2161"/>
      <c r="G21" s="2161"/>
      <c r="H21" s="2162"/>
      <c r="I21" s="2216" t="s">
        <v>673</v>
      </c>
      <c r="J21" s="2211"/>
      <c r="K21" s="2211"/>
      <c r="L21" s="2211"/>
      <c r="M21" s="2211"/>
      <c r="N21" s="2211"/>
      <c r="O21" s="2211"/>
      <c r="P21" s="2211"/>
      <c r="Q21" s="2211"/>
      <c r="R21" s="2211"/>
      <c r="S21" s="2217"/>
      <c r="T21" s="2251" t="s">
        <v>2054</v>
      </c>
      <c r="U21" s="2252"/>
      <c r="V21" s="2252"/>
      <c r="W21" s="2252"/>
      <c r="X21" s="2257" t="s">
        <v>2055</v>
      </c>
      <c r="Y21" s="2258"/>
      <c r="Z21" s="2258"/>
      <c r="AA21" s="2259"/>
    </row>
    <row r="22" spans="1:27" ht="13.5" customHeight="1" x14ac:dyDescent="0.2">
      <c r="A22" s="84" t="s">
        <v>528</v>
      </c>
      <c r="B22" s="56"/>
      <c r="C22" s="56"/>
      <c r="D22" s="56"/>
      <c r="E22" s="56"/>
      <c r="F22" s="56"/>
      <c r="G22" s="56"/>
      <c r="H22" s="57"/>
      <c r="I22" s="2218" t="s">
        <v>1412</v>
      </c>
      <c r="J22" s="2219"/>
      <c r="K22" s="2219"/>
      <c r="L22" s="2219"/>
      <c r="M22" s="2219"/>
      <c r="N22" s="2219"/>
      <c r="O22" s="2219"/>
      <c r="P22" s="2219"/>
      <c r="Q22" s="2219"/>
      <c r="R22" s="2219"/>
      <c r="S22" s="2220"/>
      <c r="T22" s="82" t="s">
        <v>1499</v>
      </c>
      <c r="U22" s="48"/>
      <c r="V22" s="69"/>
      <c r="W22" s="48"/>
      <c r="X22" s="155" t="s">
        <v>1307</v>
      </c>
      <c r="Z22" s="43"/>
      <c r="AA22" s="44"/>
    </row>
    <row r="23" spans="1:27" ht="13.5" customHeight="1" x14ac:dyDescent="0.2">
      <c r="A23" s="2213" t="s">
        <v>2168</v>
      </c>
      <c r="B23" s="2214"/>
      <c r="C23" s="2214"/>
      <c r="D23" s="2214"/>
      <c r="E23" s="2214"/>
      <c r="F23" s="2214"/>
      <c r="G23" s="2214"/>
      <c r="H23" s="2215"/>
      <c r="T23" s="2196" t="s">
        <v>2056</v>
      </c>
      <c r="U23" s="2250"/>
      <c r="V23" s="2250"/>
      <c r="W23" s="2250"/>
      <c r="X23" s="2254">
        <v>44501</v>
      </c>
      <c r="Y23" s="2255"/>
      <c r="Z23" s="2255"/>
      <c r="AA23" s="2256"/>
    </row>
    <row r="24" spans="1:27" ht="14.1" customHeight="1" x14ac:dyDescent="0.2">
      <c r="A24" s="85" t="s">
        <v>672</v>
      </c>
      <c r="B24" s="46"/>
      <c r="C24" s="46"/>
      <c r="D24" s="46"/>
      <c r="E24" s="46"/>
      <c r="F24" s="46"/>
      <c r="G24" s="46"/>
      <c r="H24" s="58"/>
      <c r="J24" s="2183">
        <f>IF(B5="x",IF(AUDITCHECK!D29="AFR form Incomplete.","",IF(AUDITCHECK!D29="Deficit reduction plan is required.","School District must complete a deficit reduction plan in the 2020-2021 Budget",)),"")</f>
        <v>0</v>
      </c>
      <c r="K24" s="2183"/>
      <c r="L24" s="2183"/>
      <c r="M24" s="2183"/>
      <c r="N24" s="2183"/>
      <c r="O24" s="2183"/>
      <c r="P24" s="2183"/>
      <c r="Q24" s="2183"/>
      <c r="R24" s="2183"/>
      <c r="S24" s="2184"/>
      <c r="T24" s="102" t="s">
        <v>528</v>
      </c>
      <c r="U24" s="103"/>
      <c r="V24" s="103"/>
      <c r="W24" s="103"/>
      <c r="X24" s="104"/>
      <c r="Y24" s="104"/>
      <c r="Z24" s="104"/>
      <c r="AA24" s="105"/>
    </row>
    <row r="25" spans="1:27" ht="14.1" customHeight="1" x14ac:dyDescent="0.2">
      <c r="A25" s="2160" t="s">
        <v>2064</v>
      </c>
      <c r="B25" s="2161"/>
      <c r="C25" s="2161"/>
      <c r="D25" s="2161"/>
      <c r="E25" s="2161"/>
      <c r="F25" s="2161"/>
      <c r="G25" s="2161"/>
      <c r="H25" s="2162"/>
      <c r="I25" s="110"/>
      <c r="J25" s="2185"/>
      <c r="K25" s="2185"/>
      <c r="L25" s="2185"/>
      <c r="M25" s="2185"/>
      <c r="N25" s="2185"/>
      <c r="O25" s="2185"/>
      <c r="P25" s="2185"/>
      <c r="Q25" s="2185"/>
      <c r="R25" s="2185"/>
      <c r="S25" s="2186"/>
      <c r="T25" s="2247" t="s">
        <v>2066</v>
      </c>
      <c r="U25" s="2248"/>
      <c r="V25" s="2248"/>
      <c r="W25" s="2248"/>
      <c r="X25" s="2248"/>
      <c r="Y25" s="2248"/>
      <c r="Z25" s="2248"/>
      <c r="AA25" s="22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71" t="s">
        <v>1494</v>
      </c>
      <c r="J27" s="2172"/>
      <c r="K27" s="2172"/>
      <c r="L27" s="2172"/>
      <c r="M27" s="2172"/>
      <c r="N27" s="2172"/>
      <c r="O27" s="2172"/>
      <c r="P27" s="2172"/>
      <c r="Q27" s="2172"/>
      <c r="R27" s="2172"/>
      <c r="S27" s="217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2049</v>
      </c>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82"/>
      <c r="Q35" s="2161"/>
      <c r="R35" s="216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96" t="s">
        <v>2061</v>
      </c>
      <c r="B38" s="2197"/>
      <c r="C38" s="2197"/>
      <c r="D38" s="2197"/>
      <c r="E38" s="2197"/>
      <c r="F38" s="2161"/>
      <c r="G38" s="2161"/>
      <c r="H38" s="2162"/>
      <c r="I38" s="2189"/>
      <c r="J38" s="2190"/>
      <c r="K38" s="2190"/>
      <c r="L38" s="2190"/>
      <c r="M38" s="2190"/>
      <c r="N38" s="2190"/>
      <c r="O38" s="2190"/>
      <c r="P38" s="2191"/>
      <c r="Q38" s="2191"/>
      <c r="R38" s="2191"/>
      <c r="S38" s="2192"/>
      <c r="T38" s="2233"/>
      <c r="U38" s="2190"/>
      <c r="V38" s="2190"/>
      <c r="W38" s="2190"/>
      <c r="X38" s="2191"/>
      <c r="Y38" s="2191"/>
      <c r="Z38" s="2191"/>
      <c r="AA38" s="2192"/>
    </row>
    <row r="39" spans="1:27" ht="12" customHeight="1" x14ac:dyDescent="0.2">
      <c r="A39" s="2166" t="s">
        <v>528</v>
      </c>
      <c r="B39" s="2167"/>
      <c r="C39" s="69"/>
      <c r="D39" s="66"/>
      <c r="E39" s="66"/>
      <c r="F39" s="76"/>
      <c r="G39" s="66"/>
      <c r="H39" s="53"/>
      <c r="I39" s="2166" t="s">
        <v>528</v>
      </c>
      <c r="J39" s="2167"/>
      <c r="K39" s="2167"/>
      <c r="L39" s="2167"/>
      <c r="M39" s="2167"/>
      <c r="N39" s="64"/>
      <c r="O39" s="69"/>
      <c r="P39" s="69"/>
      <c r="Q39" s="75"/>
      <c r="R39" s="69"/>
      <c r="S39" s="53"/>
      <c r="T39" s="69" t="s">
        <v>528</v>
      </c>
      <c r="U39" s="48"/>
      <c r="V39" s="69"/>
      <c r="W39" s="47"/>
      <c r="X39" s="75"/>
      <c r="Y39" s="43"/>
      <c r="Z39" s="43"/>
      <c r="AA39" s="44"/>
    </row>
    <row r="40" spans="1:27" ht="13.5" customHeight="1" x14ac:dyDescent="0.2">
      <c r="A40" s="2174" t="s">
        <v>2168</v>
      </c>
      <c r="B40" s="2175"/>
      <c r="C40" s="2176"/>
      <c r="D40" s="2176"/>
      <c r="E40" s="2176"/>
      <c r="F40" s="2177"/>
      <c r="G40" s="2177"/>
      <c r="H40" s="2178"/>
      <c r="I40" s="2199"/>
      <c r="J40" s="2200"/>
      <c r="K40" s="2200"/>
      <c r="L40" s="2200"/>
      <c r="M40" s="2200"/>
      <c r="N40" s="2200"/>
      <c r="O40" s="2200"/>
      <c r="P40" s="2200"/>
      <c r="Q40" s="2200"/>
      <c r="R40" s="2200"/>
      <c r="S40" s="2201"/>
      <c r="T40" s="2199"/>
      <c r="U40" s="2253"/>
      <c r="V40" s="2200"/>
      <c r="W40" s="2200"/>
      <c r="X40" s="2200"/>
      <c r="Y40" s="2200"/>
      <c r="Z40" s="2200"/>
      <c r="AA40" s="2201"/>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88" t="s">
        <v>2169</v>
      </c>
      <c r="B42" s="2180"/>
      <c r="C42" s="2181"/>
      <c r="D42" s="2179" t="s">
        <v>2170</v>
      </c>
      <c r="E42" s="2180"/>
      <c r="F42" s="2180"/>
      <c r="G42" s="2180"/>
      <c r="H42" s="2181"/>
      <c r="I42" s="2163"/>
      <c r="J42" s="2164"/>
      <c r="K42" s="2164"/>
      <c r="L42" s="2164"/>
      <c r="M42" s="2164"/>
      <c r="N42" s="2164"/>
      <c r="O42" s="2165"/>
      <c r="P42" s="2198"/>
      <c r="Q42" s="2164"/>
      <c r="R42" s="2164"/>
      <c r="S42" s="2165"/>
      <c r="T42" s="2163"/>
      <c r="U42" s="2164"/>
      <c r="V42" s="2164"/>
      <c r="W42" s="2165"/>
      <c r="X42" s="2198"/>
      <c r="Y42" s="2164"/>
      <c r="Z42" s="2164"/>
      <c r="AA42" s="216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93"/>
      <c r="B44" s="2194"/>
      <c r="C44" s="2194"/>
      <c r="D44" s="2194"/>
      <c r="E44" s="2194"/>
      <c r="F44" s="2194"/>
      <c r="G44" s="2194"/>
      <c r="H44" s="2195"/>
      <c r="I44" s="2168"/>
      <c r="J44" s="2169"/>
      <c r="K44" s="2169"/>
      <c r="L44" s="2169"/>
      <c r="M44" s="2169"/>
      <c r="N44" s="2169"/>
      <c r="O44" s="2169"/>
      <c r="P44" s="2169"/>
      <c r="Q44" s="2169"/>
      <c r="R44" s="2169"/>
      <c r="S44" s="2170"/>
      <c r="T44" s="2168"/>
      <c r="U44" s="2187"/>
      <c r="V44" s="2187"/>
      <c r="W44" s="2187"/>
      <c r="X44" s="2187"/>
      <c r="Y44" s="2187"/>
      <c r="Z44" s="2169"/>
      <c r="AA44" s="217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70" t="s">
        <v>1594</v>
      </c>
    </row>
    <row r="23" spans="1:5" x14ac:dyDescent="0.2">
      <c r="A23" s="163"/>
      <c r="B23" s="157" t="s">
        <v>1826</v>
      </c>
      <c r="D23" s="162" t="s">
        <v>632</v>
      </c>
      <c r="E23" s="1470" t="s">
        <v>953</v>
      </c>
    </row>
    <row r="24" spans="1:5" x14ac:dyDescent="0.2">
      <c r="A24" s="163" t="s">
        <v>1592</v>
      </c>
      <c r="C24" s="157" t="s">
        <v>1159</v>
      </c>
      <c r="D24" s="162" t="s">
        <v>1377</v>
      </c>
      <c r="E24" s="165" t="s">
        <v>954</v>
      </c>
    </row>
    <row r="25" spans="1:5" x14ac:dyDescent="0.2">
      <c r="A25" s="163" t="s">
        <v>1838</v>
      </c>
      <c r="C25" s="157" t="s">
        <v>1159</v>
      </c>
      <c r="D25" s="164" t="s">
        <v>21</v>
      </c>
      <c r="E25" s="1470" t="s">
        <v>2046</v>
      </c>
    </row>
    <row r="26" spans="1:5" x14ac:dyDescent="0.2">
      <c r="A26" s="163" t="s">
        <v>1839</v>
      </c>
      <c r="C26" s="157" t="s">
        <v>1159</v>
      </c>
      <c r="D26" s="164" t="s">
        <v>559</v>
      </c>
      <c r="E26" s="1470" t="s">
        <v>678</v>
      </c>
    </row>
    <row r="27" spans="1:5" x14ac:dyDescent="0.2">
      <c r="A27" s="163" t="s">
        <v>1840</v>
      </c>
      <c r="C27" s="157" t="s">
        <v>1159</v>
      </c>
      <c r="D27" s="164" t="s">
        <v>553</v>
      </c>
      <c r="E27" s="1470" t="s">
        <v>1350</v>
      </c>
    </row>
    <row r="28" spans="1:5" x14ac:dyDescent="0.2">
      <c r="A28" s="163" t="s">
        <v>1842</v>
      </c>
      <c r="D28" s="164" t="s">
        <v>679</v>
      </c>
      <c r="E28" s="1470" t="s">
        <v>1359</v>
      </c>
    </row>
    <row r="29" spans="1:5" x14ac:dyDescent="0.2">
      <c r="A29" s="163" t="s">
        <v>1843</v>
      </c>
      <c r="D29" s="164" t="s">
        <v>1378</v>
      </c>
      <c r="E29" s="1470"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276" t="s">
        <v>1056</v>
      </c>
      <c r="B35" s="2276"/>
      <c r="C35" s="2276"/>
      <c r="D35" s="2276"/>
      <c r="E35" s="227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73" t="s">
        <v>686</v>
      </c>
      <c r="B40" s="2273"/>
      <c r="C40" s="2273"/>
      <c r="D40" s="2273"/>
      <c r="E40" s="2273"/>
    </row>
    <row r="41" spans="1:5" x14ac:dyDescent="0.2">
      <c r="A41" s="2274" t="s">
        <v>1591</v>
      </c>
      <c r="B41" s="2274"/>
      <c r="C41" s="2274"/>
      <c r="D41" s="2274"/>
      <c r="E41" s="2274"/>
    </row>
    <row r="42" spans="1:5" ht="12.75" customHeight="1" x14ac:dyDescent="0.2">
      <c r="A42" s="2275" t="s">
        <v>1015</v>
      </c>
      <c r="B42" s="2275"/>
      <c r="C42" s="2275"/>
      <c r="D42" s="2275"/>
      <c r="E42" s="2275"/>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4" customHeight="1" x14ac:dyDescent="0.2">
      <c r="A76" s="184" t="s">
        <v>1604</v>
      </c>
      <c r="B76" s="193" t="s">
        <v>1760</v>
      </c>
    </row>
    <row r="77" spans="1:9" ht="12.4"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4"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277" t="s">
        <v>1158</v>
      </c>
      <c r="B2" s="2277"/>
      <c r="C2" s="2277"/>
      <c r="D2" s="2277"/>
      <c r="E2" s="2277"/>
      <c r="F2" s="2277"/>
      <c r="G2" s="2277"/>
      <c r="H2" s="2277"/>
      <c r="I2" s="2277"/>
      <c r="J2" s="227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91" t="s">
        <v>1616</v>
      </c>
      <c r="B35" s="2292"/>
      <c r="C35" s="2292"/>
      <c r="D35" s="2292"/>
      <c r="E35" s="2293"/>
      <c r="F35" s="2293"/>
      <c r="G35" s="2293"/>
      <c r="H35" s="2293"/>
      <c r="I35" s="229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91" t="s">
        <v>310</v>
      </c>
      <c r="B47" s="2294"/>
      <c r="C47" s="2294"/>
      <c r="D47" s="2294"/>
      <c r="E47" s="2295"/>
      <c r="F47" s="2295"/>
      <c r="G47" s="2295"/>
      <c r="H47" s="2295"/>
      <c r="I47" s="229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2171</v>
      </c>
      <c r="C53" s="174">
        <v>22</v>
      </c>
      <c r="D53" s="242" t="s">
        <v>1445</v>
      </c>
      <c r="E53" s="243"/>
      <c r="F53" s="244"/>
      <c r="G53" s="244" t="s">
        <v>1444</v>
      </c>
      <c r="H53" s="245">
        <v>35855</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8"/>
      <c r="C57" s="2299"/>
      <c r="D57" s="2299"/>
      <c r="E57" s="2299"/>
      <c r="F57" s="2299"/>
      <c r="G57" s="2299"/>
      <c r="H57" s="2299"/>
      <c r="I57" s="2299"/>
      <c r="J57" s="2300"/>
    </row>
    <row r="58" spans="1:10" s="176" customFormat="1" x14ac:dyDescent="0.2">
      <c r="A58" s="248"/>
      <c r="B58" s="2301"/>
      <c r="C58" s="2302"/>
      <c r="D58" s="2302"/>
      <c r="E58" s="2302"/>
      <c r="F58" s="2302"/>
      <c r="G58" s="2302"/>
      <c r="H58" s="2302"/>
      <c r="I58" s="2302"/>
      <c r="J58" s="2303"/>
    </row>
    <row r="59" spans="1:10" s="176" customFormat="1" x14ac:dyDescent="0.2">
      <c r="A59" s="248"/>
      <c r="B59" s="2301"/>
      <c r="C59" s="2302"/>
      <c r="D59" s="2302"/>
      <c r="E59" s="2302"/>
      <c r="F59" s="2302"/>
      <c r="G59" s="2302"/>
      <c r="H59" s="2302"/>
      <c r="I59" s="2302"/>
      <c r="J59" s="2303"/>
    </row>
    <row r="60" spans="1:10" s="176" customFormat="1" x14ac:dyDescent="0.2">
      <c r="A60" s="248"/>
      <c r="B60" s="2301"/>
      <c r="C60" s="2302"/>
      <c r="D60" s="2302"/>
      <c r="E60" s="2302"/>
      <c r="F60" s="2302"/>
      <c r="G60" s="2302"/>
      <c r="H60" s="2302"/>
      <c r="I60" s="2302"/>
      <c r="J60" s="2303"/>
    </row>
    <row r="61" spans="1:10" s="176" customFormat="1" x14ac:dyDescent="0.2">
      <c r="A61" s="248"/>
      <c r="B61" s="2301"/>
      <c r="C61" s="2302"/>
      <c r="D61" s="2302"/>
      <c r="E61" s="2302"/>
      <c r="F61" s="2302"/>
      <c r="G61" s="2302"/>
      <c r="H61" s="2302"/>
      <c r="I61" s="2302"/>
      <c r="J61" s="2303"/>
    </row>
    <row r="62" spans="1:10" s="176" customFormat="1" x14ac:dyDescent="0.2">
      <c r="A62" s="248"/>
      <c r="B62" s="2301"/>
      <c r="C62" s="2302"/>
      <c r="D62" s="2302"/>
      <c r="E62" s="2302"/>
      <c r="F62" s="2302"/>
      <c r="G62" s="2302"/>
      <c r="H62" s="2302"/>
      <c r="I62" s="2302"/>
      <c r="J62" s="2303"/>
    </row>
    <row r="63" spans="1:10" s="176" customFormat="1" x14ac:dyDescent="0.2">
      <c r="A63" s="248"/>
      <c r="B63" s="2301"/>
      <c r="C63" s="2302"/>
      <c r="D63" s="2302"/>
      <c r="E63" s="2302"/>
      <c r="F63" s="2302"/>
      <c r="G63" s="2302"/>
      <c r="H63" s="2302"/>
      <c r="I63" s="2302"/>
      <c r="J63" s="2303"/>
    </row>
    <row r="64" spans="1:10" s="176" customFormat="1" x14ac:dyDescent="0.2">
      <c r="A64" s="248"/>
      <c r="B64" s="2301"/>
      <c r="C64" s="2302"/>
      <c r="D64" s="2302"/>
      <c r="E64" s="2302"/>
      <c r="F64" s="2302"/>
      <c r="G64" s="2302"/>
      <c r="H64" s="2302"/>
      <c r="I64" s="2302"/>
      <c r="J64" s="2303"/>
    </row>
    <row r="65" spans="1:11" s="176" customFormat="1" x14ac:dyDescent="0.2">
      <c r="A65" s="248"/>
      <c r="B65" s="2301"/>
      <c r="C65" s="2302"/>
      <c r="D65" s="2302"/>
      <c r="E65" s="2302"/>
      <c r="F65" s="2302"/>
      <c r="G65" s="2302"/>
      <c r="H65" s="2302"/>
      <c r="I65" s="2302"/>
      <c r="J65" s="2303"/>
    </row>
    <row r="66" spans="1:11" s="176" customFormat="1" x14ac:dyDescent="0.2">
      <c r="A66" s="248"/>
      <c r="B66" s="2301"/>
      <c r="C66" s="2302"/>
      <c r="D66" s="2302"/>
      <c r="E66" s="2302"/>
      <c r="F66" s="2302"/>
      <c r="G66" s="2302"/>
      <c r="H66" s="2302"/>
      <c r="I66" s="2302"/>
      <c r="J66" s="2303"/>
    </row>
    <row r="67" spans="1:11" s="176" customFormat="1" ht="9" customHeight="1" x14ac:dyDescent="0.2">
      <c r="A67" s="249"/>
      <c r="B67" s="2304"/>
      <c r="C67" s="2305"/>
      <c r="D67" s="2305"/>
      <c r="E67" s="2305"/>
      <c r="F67" s="2305"/>
      <c r="G67" s="2305"/>
      <c r="H67" s="2305"/>
      <c r="I67" s="2305"/>
      <c r="J67" s="230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91" t="s">
        <v>1312</v>
      </c>
      <c r="B70" s="2294"/>
      <c r="C70" s="2294"/>
      <c r="D70" s="2294"/>
      <c r="E70" s="2295"/>
      <c r="F70" s="2295"/>
      <c r="G70" s="2295"/>
      <c r="H70" s="2295"/>
      <c r="I70" s="229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96" t="s">
        <v>1309</v>
      </c>
      <c r="B83" s="2296"/>
      <c r="C83" s="2296"/>
      <c r="D83" s="229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07" t="s">
        <v>1987</v>
      </c>
      <c r="B85" s="2307"/>
      <c r="C85" s="2307"/>
      <c r="D85" s="230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309" t="s">
        <v>1987</v>
      </c>
      <c r="B88" s="2310"/>
      <c r="C88" s="2310"/>
      <c r="D88" s="231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78"/>
      <c r="C102" s="2279"/>
      <c r="D102" s="2279"/>
      <c r="E102" s="2279"/>
      <c r="F102" s="2279"/>
      <c r="G102" s="2279"/>
      <c r="H102" s="2279"/>
      <c r="I102" s="2280"/>
    </row>
    <row r="103" spans="1:9" s="176" customFormat="1" ht="11.25" customHeight="1" x14ac:dyDescent="0.2">
      <c r="A103" s="294"/>
      <c r="B103" s="2281"/>
      <c r="C103" s="2282"/>
      <c r="D103" s="2282"/>
      <c r="E103" s="2282"/>
      <c r="F103" s="2282"/>
      <c r="G103" s="2282"/>
      <c r="H103" s="2282"/>
      <c r="I103" s="2283"/>
    </row>
    <row r="104" spans="1:9" s="176" customFormat="1" ht="11.25" customHeight="1" x14ac:dyDescent="0.2">
      <c r="A104" s="294"/>
      <c r="B104" s="2281"/>
      <c r="C104" s="2282"/>
      <c r="D104" s="2282"/>
      <c r="E104" s="2282"/>
      <c r="F104" s="2282"/>
      <c r="G104" s="2282"/>
      <c r="H104" s="2282"/>
      <c r="I104" s="2283"/>
    </row>
    <row r="105" spans="1:9" s="176" customFormat="1" x14ac:dyDescent="0.2">
      <c r="A105" s="294"/>
      <c r="B105" s="2281"/>
      <c r="C105" s="2282"/>
      <c r="D105" s="2282"/>
      <c r="E105" s="2282"/>
      <c r="F105" s="2282"/>
      <c r="G105" s="2282"/>
      <c r="H105" s="2282"/>
      <c r="I105" s="2283"/>
    </row>
    <row r="106" spans="1:9" s="176" customFormat="1" ht="11.25" customHeight="1" x14ac:dyDescent="0.2">
      <c r="A106" s="294"/>
      <c r="B106" s="2281"/>
      <c r="C106" s="2282"/>
      <c r="D106" s="2282"/>
      <c r="E106" s="2282"/>
      <c r="F106" s="2282"/>
      <c r="G106" s="2282"/>
      <c r="H106" s="2282"/>
      <c r="I106" s="2283"/>
    </row>
    <row r="107" spans="1:9" s="176" customFormat="1" ht="11.25" customHeight="1" x14ac:dyDescent="0.2">
      <c r="A107" s="294"/>
      <c r="B107" s="2281"/>
      <c r="C107" s="2282"/>
      <c r="D107" s="2282"/>
      <c r="E107" s="2282"/>
      <c r="F107" s="2282"/>
      <c r="G107" s="2282"/>
      <c r="H107" s="2282"/>
      <c r="I107" s="2283"/>
    </row>
    <row r="108" spans="1:9" s="176" customFormat="1" ht="11.25" customHeight="1" x14ac:dyDescent="0.2">
      <c r="A108" s="294"/>
      <c r="B108" s="2281"/>
      <c r="C108" s="2282"/>
      <c r="D108" s="2282"/>
      <c r="E108" s="2282"/>
      <c r="F108" s="2282"/>
      <c r="G108" s="2282"/>
      <c r="H108" s="2282"/>
      <c r="I108" s="2283"/>
    </row>
    <row r="109" spans="1:9" s="176" customFormat="1" ht="11.25" customHeight="1" x14ac:dyDescent="0.2">
      <c r="A109" s="294"/>
      <c r="B109" s="2281"/>
      <c r="C109" s="2282"/>
      <c r="D109" s="2282"/>
      <c r="E109" s="2282"/>
      <c r="F109" s="2282"/>
      <c r="G109" s="2282"/>
      <c r="H109" s="2282"/>
      <c r="I109" s="2283"/>
    </row>
    <row r="110" spans="1:9" s="176" customFormat="1" ht="11.25" customHeight="1" x14ac:dyDescent="0.2">
      <c r="A110" s="294"/>
      <c r="B110" s="2281"/>
      <c r="C110" s="2282"/>
      <c r="D110" s="2282"/>
      <c r="E110" s="2282"/>
      <c r="F110" s="2282"/>
      <c r="G110" s="2282"/>
      <c r="H110" s="2282"/>
      <c r="I110" s="2283"/>
    </row>
    <row r="111" spans="1:9" s="176" customFormat="1" ht="11.25" customHeight="1" x14ac:dyDescent="0.2">
      <c r="A111" s="294"/>
      <c r="B111" s="2281"/>
      <c r="C111" s="2282"/>
      <c r="D111" s="2282"/>
      <c r="E111" s="2282"/>
      <c r="F111" s="2282"/>
      <c r="G111" s="2282"/>
      <c r="H111" s="2282"/>
      <c r="I111" s="2283"/>
    </row>
    <row r="112" spans="1:9" s="176" customFormat="1" ht="11.25" customHeight="1" x14ac:dyDescent="0.2">
      <c r="A112" s="294"/>
      <c r="B112" s="2284"/>
      <c r="C112" s="2285"/>
      <c r="D112" s="2285"/>
      <c r="E112" s="2285"/>
      <c r="F112" s="2285"/>
      <c r="G112" s="2285"/>
      <c r="H112" s="2285"/>
      <c r="I112" s="228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87" t="s">
        <v>2050</v>
      </c>
      <c r="D114" s="228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8" t="s">
        <v>1319</v>
      </c>
      <c r="D117" s="2289"/>
      <c r="E117" s="2290"/>
      <c r="F117" s="2290"/>
      <c r="G117" s="2290"/>
      <c r="H117" s="2290"/>
      <c r="I117" s="282"/>
    </row>
    <row r="118" spans="1:9" s="176" customFormat="1" ht="24" customHeight="1" x14ac:dyDescent="0.2">
      <c r="A118" s="294"/>
      <c r="B118" s="294"/>
      <c r="C118" s="294"/>
      <c r="D118" s="301" t="s">
        <v>2187</v>
      </c>
      <c r="E118" s="300"/>
      <c r="F118" s="302"/>
      <c r="G118" s="1473"/>
      <c r="H118" s="300"/>
      <c r="I118" s="282"/>
    </row>
    <row r="119" spans="1:9" s="176" customFormat="1" ht="11.25" customHeight="1" x14ac:dyDescent="0.2">
      <c r="A119" s="303"/>
      <c r="B119" s="303"/>
      <c r="C119" s="304"/>
      <c r="D119" s="305" t="s">
        <v>358</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312" t="s">
        <v>383</v>
      </c>
      <c r="B1" s="2312"/>
      <c r="C1" s="2312"/>
      <c r="D1" s="2312"/>
      <c r="E1" s="2312"/>
      <c r="F1" s="2312"/>
      <c r="G1" s="2312"/>
      <c r="H1" s="2312"/>
      <c r="I1" s="2312"/>
      <c r="J1" s="2312"/>
      <c r="K1" s="2312"/>
      <c r="L1" s="2312"/>
      <c r="M1" s="231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377811608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2.4065E-2</v>
      </c>
      <c r="E10" s="333" t="s">
        <v>998</v>
      </c>
      <c r="F10" s="332">
        <v>3.7469999999999999E-3</v>
      </c>
      <c r="G10" s="333" t="s">
        <v>998</v>
      </c>
      <c r="H10" s="332">
        <v>1.7650000000000001E-3</v>
      </c>
      <c r="I10" s="333" t="s">
        <v>999</v>
      </c>
      <c r="J10" s="1424">
        <f>ROUND(D10+F10+H10,5)</f>
        <v>2.9579999999999999E-2</v>
      </c>
      <c r="K10" s="217"/>
      <c r="L10" s="332">
        <v>2.22E-4</v>
      </c>
      <c r="M10" s="217"/>
    </row>
    <row r="11" spans="1:14" ht="7.5" customHeight="1" x14ac:dyDescent="0.2">
      <c r="B11" s="217"/>
      <c r="C11" s="217"/>
      <c r="D11" s="2322" t="str">
        <f>IF(SUM(J10)&lt;=0.0999999,"","Enter the Tax Rates by moving the decimal two places to the left.")</f>
        <v/>
      </c>
      <c r="E11" s="2323"/>
      <c r="F11" s="2323"/>
      <c r="G11" s="2323"/>
      <c r="H11" s="2323"/>
      <c r="I11" s="2323"/>
      <c r="J11" s="232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18777552</v>
      </c>
      <c r="E16" s="1547"/>
      <c r="F16" s="1546">
        <f>SUM('Acct Summary 7-8'!C17,'Acct Summary 7-8'!D17,'Acct Summary 7-8'!F17)</f>
        <v>17756452</v>
      </c>
      <c r="G16" s="1547"/>
      <c r="H16" s="1546">
        <f>SUM(D16-F16)</f>
        <v>1021100</v>
      </c>
      <c r="I16" s="1548"/>
      <c r="J16" s="1546">
        <f>SUM('Acct Summary 7-8'!C81,'Acct Summary 7-8'!D81,'Acct Summary 7-8'!F81,'Acct Summary 7-8'!I81)</f>
        <v>15979975</v>
      </c>
      <c r="K16" s="217"/>
      <c r="L16" s="217"/>
      <c r="M16" s="217"/>
    </row>
    <row r="17" spans="1:13" ht="12.4" customHeight="1" x14ac:dyDescent="0.2">
      <c r="A17" s="327"/>
      <c r="B17" s="255" t="s">
        <v>8</v>
      </c>
      <c r="C17" s="232" t="s">
        <v>1379</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425">
        <f>IF(B31="X",(J7*0.069),IF(B32="X",(J7*0.138),"Enter x in a.or b."))</f>
        <v>26069000.952000003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11476705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13"/>
      <c r="C54" s="2314"/>
      <c r="D54" s="2314"/>
      <c r="E54" s="2314"/>
      <c r="F54" s="2314"/>
      <c r="G54" s="2314"/>
      <c r="H54" s="2314"/>
      <c r="I54" s="2314"/>
      <c r="J54" s="2314"/>
      <c r="K54" s="2314"/>
      <c r="L54" s="2315"/>
      <c r="M54" s="357"/>
    </row>
    <row r="55" spans="1:13" ht="12.75" customHeight="1" x14ac:dyDescent="0.2">
      <c r="B55" s="2316"/>
      <c r="C55" s="2317"/>
      <c r="D55" s="2317"/>
      <c r="E55" s="2317"/>
      <c r="F55" s="2317"/>
      <c r="G55" s="2317"/>
      <c r="H55" s="2317"/>
      <c r="I55" s="2317"/>
      <c r="J55" s="2317"/>
      <c r="K55" s="2317"/>
      <c r="L55" s="2318"/>
      <c r="M55" s="357"/>
    </row>
    <row r="56" spans="1:13" ht="12.75" customHeight="1" x14ac:dyDescent="0.2">
      <c r="B56" s="2316"/>
      <c r="C56" s="2317"/>
      <c r="D56" s="2317"/>
      <c r="E56" s="2317"/>
      <c r="F56" s="2317"/>
      <c r="G56" s="2317"/>
      <c r="H56" s="2317"/>
      <c r="I56" s="2317"/>
      <c r="J56" s="2317"/>
      <c r="K56" s="2317"/>
      <c r="L56" s="2318"/>
      <c r="M56" s="217"/>
    </row>
    <row r="57" spans="1:13" ht="12.75" customHeight="1" x14ac:dyDescent="0.2">
      <c r="B57" s="2316"/>
      <c r="C57" s="2317"/>
      <c r="D57" s="2317"/>
      <c r="E57" s="2317"/>
      <c r="F57" s="2317"/>
      <c r="G57" s="2317"/>
      <c r="H57" s="2317"/>
      <c r="I57" s="2317"/>
      <c r="J57" s="2317"/>
      <c r="K57" s="2317"/>
      <c r="L57" s="2318"/>
      <c r="M57" s="217"/>
    </row>
    <row r="58" spans="1:13" x14ac:dyDescent="0.2">
      <c r="B58" s="2319"/>
      <c r="C58" s="2320"/>
      <c r="D58" s="2320"/>
      <c r="E58" s="2320"/>
      <c r="F58" s="2320"/>
      <c r="G58" s="2320"/>
      <c r="H58" s="2320"/>
      <c r="I58" s="2320"/>
      <c r="J58" s="2320"/>
      <c r="K58" s="2320"/>
      <c r="L58" s="2321"/>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324"/>
      <c r="D61" s="232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327"/>
      <c r="B1" s="2328"/>
      <c r="C1" s="2328"/>
      <c r="D1" s="361"/>
      <c r="E1" s="361"/>
      <c r="F1" s="361"/>
      <c r="G1" s="361"/>
      <c r="H1" s="361"/>
      <c r="I1" s="361"/>
      <c r="J1" s="361"/>
      <c r="K1" s="361"/>
      <c r="L1" s="361"/>
      <c r="M1" s="361"/>
      <c r="N1" s="361"/>
      <c r="O1" s="2327"/>
      <c r="P1" s="2328"/>
      <c r="Q1" s="2328"/>
    </row>
    <row r="2" spans="1:18" ht="15" x14ac:dyDescent="0.2">
      <c r="A2" s="2331" t="s">
        <v>552</v>
      </c>
      <c r="B2" s="2331"/>
      <c r="C2" s="2331"/>
      <c r="D2" s="2331"/>
      <c r="E2" s="2331"/>
      <c r="F2" s="2331"/>
      <c r="G2" s="2331"/>
      <c r="H2" s="2331"/>
      <c r="I2" s="2331"/>
      <c r="J2" s="2331"/>
      <c r="K2" s="2331"/>
      <c r="L2" s="2331"/>
      <c r="M2" s="2331"/>
      <c r="N2" s="2331"/>
      <c r="O2" s="2331"/>
      <c r="P2" s="2331"/>
      <c r="Q2" s="2331"/>
      <c r="R2" s="2331"/>
    </row>
    <row r="3" spans="1:18" ht="12.75" x14ac:dyDescent="0.2">
      <c r="A3" s="2332" t="s">
        <v>1396</v>
      </c>
      <c r="B3" s="2332"/>
      <c r="C3" s="2332"/>
      <c r="D3" s="2332"/>
      <c r="E3" s="2332"/>
      <c r="F3" s="2332"/>
      <c r="G3" s="2332"/>
      <c r="H3" s="2332"/>
      <c r="I3" s="2332"/>
      <c r="J3" s="2332"/>
      <c r="K3" s="2332"/>
      <c r="L3" s="2332"/>
      <c r="M3" s="2332"/>
      <c r="N3" s="2332"/>
      <c r="O3" s="2332"/>
      <c r="P3" s="2332"/>
      <c r="Q3" s="2332"/>
      <c r="R3" s="2332"/>
    </row>
    <row r="4" spans="1:18" x14ac:dyDescent="0.2">
      <c r="A4" s="2333" t="s">
        <v>1537</v>
      </c>
      <c r="B4" s="2333"/>
      <c r="C4" s="2333"/>
      <c r="D4" s="2333"/>
      <c r="E4" s="2333"/>
      <c r="F4" s="2333"/>
      <c r="G4" s="2333"/>
      <c r="H4" s="2333"/>
      <c r="I4" s="2333"/>
      <c r="J4" s="2333"/>
      <c r="K4" s="2333"/>
      <c r="L4" s="2333"/>
      <c r="M4" s="2333"/>
      <c r="N4" s="2333"/>
      <c r="O4" s="2333"/>
      <c r="P4" s="2333"/>
      <c r="Q4" s="2333"/>
      <c r="R4" s="233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East Peoria SD 86</v>
      </c>
      <c r="E7" s="368"/>
      <c r="G7" s="247"/>
      <c r="H7" s="364"/>
      <c r="I7" s="364"/>
      <c r="J7" s="364"/>
      <c r="K7" s="364"/>
      <c r="L7" s="307"/>
      <c r="M7" s="307"/>
      <c r="N7" s="307"/>
      <c r="O7" s="307"/>
      <c r="P7" s="307"/>
    </row>
    <row r="8" spans="1:18" ht="12.75" x14ac:dyDescent="0.2">
      <c r="A8" s="307"/>
      <c r="B8" s="307"/>
      <c r="C8" s="366" t="s">
        <v>1115</v>
      </c>
      <c r="D8" s="369">
        <f>COVER!A13</f>
        <v>53090086002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15979975</v>
      </c>
      <c r="I12" s="380"/>
      <c r="J12" s="380"/>
      <c r="K12" s="1559">
        <f>TRUNC((H12/H13*100000),5)/100000</f>
        <v>0.85101481810000001</v>
      </c>
      <c r="L12" s="381"/>
      <c r="M12" s="337" t="s">
        <v>1134</v>
      </c>
      <c r="N12" s="337"/>
      <c r="O12" s="1562">
        <v>0.35</v>
      </c>
      <c r="P12" s="213"/>
      <c r="Q12" s="213"/>
    </row>
    <row r="13" spans="1:18" s="382" customFormat="1" ht="12.75" x14ac:dyDescent="0.2">
      <c r="A13" s="213"/>
      <c r="B13" s="377"/>
      <c r="C13" s="2329" t="s">
        <v>1313</v>
      </c>
      <c r="D13" s="2330"/>
      <c r="E13" s="213"/>
      <c r="F13" s="383" t="s">
        <v>788</v>
      </c>
      <c r="G13" s="378"/>
      <c r="H13" s="1551">
        <f>SUM('Acct Summary 7-8'!C8+'Acct Summary 7-8'!D8+'Acct Summary 7-8'!F8+'Acct Summary 7-8'!I8)+H14</f>
        <v>18777552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6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17756452</v>
      </c>
      <c r="I17" s="380"/>
      <c r="J17" s="389"/>
      <c r="K17" s="1559">
        <f>TRUNC((H17/H18*100000),5)/100000</f>
        <v>0.9456212396</v>
      </c>
      <c r="L17" s="381"/>
      <c r="M17" s="390" t="s">
        <v>1161</v>
      </c>
      <c r="O17" s="1565" t="str">
        <f>IF(AND(O16="2", J20 &gt; 2),"1",IF(AND(O16 = "1", J20 &gt; 2),"2",IF(AND(O16="1", J20 &gt;1),"1","0")))</f>
        <v>0</v>
      </c>
      <c r="P17" s="213"/>
    </row>
    <row r="18" spans="1:18" s="382" customFormat="1" ht="11.25" x14ac:dyDescent="0.2">
      <c r="A18" s="213"/>
      <c r="B18" s="377"/>
      <c r="C18" s="2329" t="s">
        <v>1306</v>
      </c>
      <c r="D18" s="2330"/>
      <c r="E18" s="213"/>
      <c r="F18" s="391" t="s">
        <v>789</v>
      </c>
      <c r="G18" s="378"/>
      <c r="H18" s="1551">
        <f>SUM('Acct Summary 7-8'!C8+'Acct Summary 7-8'!D8+'Acct Summary 7-8'!F8+'Acct Summary 7-8'!I8)+H19</f>
        <v>18777552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65" customHeight="1" x14ac:dyDescent="0.2">
      <c r="A21" s="211"/>
      <c r="B21" s="373"/>
      <c r="C21" s="213" t="s">
        <v>472</v>
      </c>
      <c r="D21" s="211"/>
      <c r="E21" s="211"/>
      <c r="F21" s="211"/>
      <c r="G21" s="387"/>
      <c r="H21" s="1552"/>
      <c r="I21" s="211"/>
      <c r="J21" s="211"/>
      <c r="K21" s="1552"/>
      <c r="L21" s="211"/>
      <c r="M21" s="388"/>
      <c r="N21" s="388"/>
      <c r="O21" s="1564"/>
      <c r="P21" s="211"/>
      <c r="R21" s="361"/>
    </row>
    <row r="22" spans="1:18" ht="11.6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326" t="s">
        <v>1395</v>
      </c>
      <c r="D24" s="2326"/>
      <c r="E24" s="213"/>
      <c r="F24" s="213" t="s">
        <v>442</v>
      </c>
      <c r="G24" s="378"/>
      <c r="H24" s="1551">
        <f>SUM('Assets-Liab 5-6'!C4+'Assets-Liab 5-6'!D4+'Assets-Liab 5-6'!F4+'Assets-Liab 5-6'!I4+'Assets-Liab 5-6'!C5+'Assets-Liab 5-6'!D5+'Assets-Liab 5-6'!F5+'Assets-Liab 5-6'!I5)</f>
        <v>15979975</v>
      </c>
      <c r="I24" s="394"/>
      <c r="J24" s="394"/>
      <c r="K24" s="1555">
        <f>TRUNC(((H24/H25*100000)/100000),2)</f>
        <v>323.98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49323.477780000001</v>
      </c>
      <c r="I25" s="396"/>
      <c r="J25" s="396"/>
      <c r="K25" s="1558"/>
      <c r="L25" s="213"/>
      <c r="M25" s="337" t="s">
        <v>1135</v>
      </c>
      <c r="N25" s="337"/>
      <c r="O25" s="1563">
        <f>O23*O24</f>
        <v>0.4</v>
      </c>
      <c r="P25" s="213"/>
      <c r="R25" s="385"/>
    </row>
    <row r="26" spans="1:18" ht="12.4"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1891</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9499317.2599400003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11476705</v>
      </c>
      <c r="I32" s="392"/>
      <c r="J32" s="392"/>
      <c r="K32" s="1555">
        <f>TRUNC(100-((((H32/H33*100))*100)/100),2)</f>
        <v>55.97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26069000.952000003</v>
      </c>
      <c r="I33" s="392"/>
      <c r="J33" s="392"/>
      <c r="K33" s="379"/>
      <c r="L33" s="213"/>
      <c r="M33" s="401" t="s">
        <v>1135</v>
      </c>
      <c r="N33" s="401"/>
      <c r="O33" s="1568">
        <f>(O31*O32)</f>
        <v>0.30000000000000004</v>
      </c>
    </row>
    <row r="34" spans="1:17" ht="12.4"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O53" sqref="O53"/>
      <selection pane="bottomLeft" activeCell="A3" sqref="A3:B3"/>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33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3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36" t="s">
        <v>967</v>
      </c>
      <c r="B3" s="2337"/>
      <c r="C3" s="1306"/>
      <c r="D3" s="1307"/>
      <c r="E3" s="1307"/>
      <c r="F3" s="1307"/>
      <c r="G3" s="1307"/>
      <c r="H3" s="1307"/>
      <c r="I3" s="1307"/>
      <c r="J3" s="1307"/>
      <c r="K3" s="1307"/>
      <c r="L3" s="1307"/>
      <c r="M3" s="1308"/>
      <c r="N3" s="1309"/>
    </row>
    <row r="4" spans="1:14" ht="13.5" customHeight="1" x14ac:dyDescent="0.2">
      <c r="A4" s="427" t="s">
        <v>1632</v>
      </c>
      <c r="B4" s="428"/>
      <c r="C4" s="1572">
        <v>7181826</v>
      </c>
      <c r="D4" s="1573">
        <v>1359182</v>
      </c>
      <c r="E4" s="1573">
        <v>1486561</v>
      </c>
      <c r="F4" s="1573">
        <v>2510503</v>
      </c>
      <c r="G4" s="1573">
        <v>621562</v>
      </c>
      <c r="H4" s="1573">
        <v>6736205</v>
      </c>
      <c r="I4" s="1573">
        <v>4928464</v>
      </c>
      <c r="J4" s="1574">
        <v>237448</v>
      </c>
      <c r="K4" s="1573">
        <v>1548780</v>
      </c>
      <c r="L4" s="1573">
        <v>2752062</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222900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7181826</v>
      </c>
      <c r="D13" s="1587">
        <f t="shared" ref="D13:L13" si="0">SUM(D4:D12)</f>
        <v>1359182</v>
      </c>
      <c r="E13" s="1587">
        <f t="shared" si="0"/>
        <v>1486561</v>
      </c>
      <c r="F13" s="1587">
        <f t="shared" si="0"/>
        <v>2510503</v>
      </c>
      <c r="G13" s="1587">
        <f t="shared" si="0"/>
        <v>621562</v>
      </c>
      <c r="H13" s="1587">
        <f t="shared" si="0"/>
        <v>6736205</v>
      </c>
      <c r="I13" s="1587">
        <f t="shared" si="0"/>
        <v>4928464</v>
      </c>
      <c r="J13" s="1587">
        <f t="shared" si="0"/>
        <v>237448</v>
      </c>
      <c r="K13" s="1587">
        <f t="shared" si="0"/>
        <v>1548780</v>
      </c>
      <c r="L13" s="1587">
        <f t="shared" si="0"/>
        <v>2974962</v>
      </c>
      <c r="M13" s="1575"/>
      <c r="N13" s="1576"/>
    </row>
    <row r="14" spans="1:14" ht="18" customHeight="1" thickTop="1" x14ac:dyDescent="0.2">
      <c r="A14" s="2338" t="s">
        <v>146</v>
      </c>
      <c r="B14" s="233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945532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33730723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3768358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2653203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589552</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1486561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9990144</v>
      </c>
    </row>
    <row r="23" spans="1:14" ht="13.5" customHeight="1" thickBot="1" x14ac:dyDescent="0.25">
      <c r="A23" s="1426" t="s">
        <v>638</v>
      </c>
      <c r="B23" s="1429"/>
      <c r="C23" s="1575"/>
      <c r="D23" s="1575"/>
      <c r="E23" s="1575"/>
      <c r="F23" s="1575"/>
      <c r="G23" s="1575"/>
      <c r="H23" s="1575"/>
      <c r="I23" s="1575"/>
      <c r="J23" s="1575"/>
      <c r="K23" s="1575"/>
      <c r="L23" s="1575"/>
      <c r="M23" s="1594">
        <f>SUM(M15:M22)</f>
        <v>41687368</v>
      </c>
      <c r="N23" s="1594">
        <f>SUM(N21:N22)</f>
        <v>11476705</v>
      </c>
    </row>
    <row r="24" spans="1:14" ht="18" customHeight="1" thickTop="1" x14ac:dyDescent="0.2">
      <c r="A24" s="2340" t="s">
        <v>594</v>
      </c>
      <c r="B24" s="234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252765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252765</v>
      </c>
      <c r="M34" s="1575"/>
      <c r="N34" s="1585"/>
    </row>
    <row r="35" spans="1:14" ht="18" customHeight="1" thickTop="1" x14ac:dyDescent="0.2">
      <c r="A35" s="2342" t="s">
        <v>526</v>
      </c>
      <c r="B35" s="234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11476705</v>
      </c>
    </row>
    <row r="37" spans="1:14" ht="13.5" thickBot="1" x14ac:dyDescent="0.25">
      <c r="A37" s="1426" t="s">
        <v>648</v>
      </c>
      <c r="B37" s="1429"/>
      <c r="C37" s="1582"/>
      <c r="D37" s="1582"/>
      <c r="E37" s="1582"/>
      <c r="F37" s="1582"/>
      <c r="G37" s="1582"/>
      <c r="H37" s="1582"/>
      <c r="I37" s="1582"/>
      <c r="J37" s="1582"/>
      <c r="K37" s="1582"/>
      <c r="L37" s="1585"/>
      <c r="M37" s="1575"/>
      <c r="N37" s="1594">
        <f>SUM(N36:N36)</f>
        <v>11476705</v>
      </c>
    </row>
    <row r="38" spans="1:14" s="307" customFormat="1" ht="13.5" customHeight="1" thickTop="1" x14ac:dyDescent="0.2">
      <c r="A38" s="438" t="s">
        <v>417</v>
      </c>
      <c r="B38" s="432">
        <v>714</v>
      </c>
      <c r="C38" s="1573">
        <v>74545</v>
      </c>
      <c r="D38" s="1573">
        <v>0</v>
      </c>
      <c r="E38" s="1573">
        <v>0</v>
      </c>
      <c r="F38" s="1573">
        <v>0</v>
      </c>
      <c r="G38" s="1573">
        <v>406273</v>
      </c>
      <c r="H38" s="1573">
        <v>50000</v>
      </c>
      <c r="I38" s="1573">
        <v>0</v>
      </c>
      <c r="J38" s="1574">
        <v>0</v>
      </c>
      <c r="K38" s="1573">
        <v>0</v>
      </c>
      <c r="L38" s="1586">
        <v>2722197</v>
      </c>
      <c r="M38" s="1604"/>
      <c r="N38" s="1604"/>
    </row>
    <row r="39" spans="1:14" s="307" customFormat="1" ht="13.5" customHeight="1" x14ac:dyDescent="0.2">
      <c r="A39" s="438" t="s">
        <v>339</v>
      </c>
      <c r="B39" s="432">
        <v>730</v>
      </c>
      <c r="C39" s="1573">
        <v>7107281</v>
      </c>
      <c r="D39" s="1573">
        <v>1359182</v>
      </c>
      <c r="E39" s="1573">
        <v>1486561</v>
      </c>
      <c r="F39" s="1573">
        <v>2510503</v>
      </c>
      <c r="G39" s="1573">
        <v>215289</v>
      </c>
      <c r="H39" s="1573">
        <v>6686205</v>
      </c>
      <c r="I39" s="1573">
        <v>4928464</v>
      </c>
      <c r="J39" s="1574">
        <v>237448</v>
      </c>
      <c r="K39" s="1573">
        <v>1548780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41687368</v>
      </c>
      <c r="N40" s="1604"/>
    </row>
    <row r="41" spans="1:14" ht="13.5" customHeight="1" thickBot="1" x14ac:dyDescent="0.25">
      <c r="A41" s="1426" t="s">
        <v>650</v>
      </c>
      <c r="B41" s="1405"/>
      <c r="C41" s="1594">
        <f>(SUM(C34,C37,C38,C39))</f>
        <v>7181826</v>
      </c>
      <c r="D41" s="1594">
        <f t="shared" ref="D41:L41" si="2">SUM(D34,D37,D38:D39)</f>
        <v>1359182</v>
      </c>
      <c r="E41" s="1594">
        <f t="shared" si="2"/>
        <v>1486561</v>
      </c>
      <c r="F41" s="1594">
        <f t="shared" si="2"/>
        <v>2510503</v>
      </c>
      <c r="G41" s="1594">
        <f t="shared" si="2"/>
        <v>621562</v>
      </c>
      <c r="H41" s="1594">
        <f t="shared" si="2"/>
        <v>6736205</v>
      </c>
      <c r="I41" s="1594">
        <f t="shared" si="2"/>
        <v>4928464</v>
      </c>
      <c r="J41" s="1594">
        <f t="shared" si="2"/>
        <v>237448</v>
      </c>
      <c r="K41" s="1594">
        <f t="shared" si="2"/>
        <v>1548780</v>
      </c>
      <c r="L41" s="1594">
        <f t="shared" si="2"/>
        <v>2974962</v>
      </c>
      <c r="M41" s="1594">
        <f>SUM(M40)</f>
        <v>41687368</v>
      </c>
      <c r="N41" s="1594">
        <f>SUM(N37)</f>
        <v>11476705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22" zoomScaleNormal="122" zoomScaleSheetLayoutView="100" workbookViewId="0">
      <pane ySplit="2" topLeftCell="A3" activePane="bottomLeft" state="frozen"/>
      <selection activeCell="O53" sqref="O53"/>
      <selection pane="bottomLeft" activeCell="A3" sqref="A3:B3"/>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35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53"/>
      <c r="B2" s="422" t="s">
        <v>375</v>
      </c>
      <c r="C2" s="423" t="s">
        <v>1145</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364" t="s">
        <v>1165</v>
      </c>
      <c r="B3" s="2365"/>
      <c r="C3" s="1311"/>
      <c r="D3" s="1312"/>
      <c r="E3" s="1312"/>
      <c r="F3" s="1312"/>
      <c r="G3" s="1312"/>
      <c r="H3" s="1312"/>
      <c r="I3" s="1312"/>
      <c r="J3" s="1312"/>
      <c r="K3" s="1313"/>
      <c r="L3" s="446"/>
    </row>
    <row r="4" spans="1:13" ht="15.75" customHeight="1" x14ac:dyDescent="0.2">
      <c r="A4" s="1537" t="s">
        <v>1482</v>
      </c>
      <c r="B4" s="1538">
        <v>1000</v>
      </c>
      <c r="C4" s="1606">
        <f>'Revenues 9-14'!C109</f>
        <v>10946943</v>
      </c>
      <c r="D4" s="1606">
        <f>'Revenues 9-14'!D109</f>
        <v>1681536</v>
      </c>
      <c r="E4" s="1606">
        <f>'Revenues 9-14'!E109</f>
        <v>1265606</v>
      </c>
      <c r="F4" s="1606">
        <f>'Revenues 9-14'!F109</f>
        <v>971912</v>
      </c>
      <c r="G4" s="1606">
        <f>'Revenues 9-14'!G109</f>
        <v>848272</v>
      </c>
      <c r="H4" s="1606">
        <f>'Revenues 9-14'!H109</f>
        <v>353949</v>
      </c>
      <c r="I4" s="1606">
        <f>'Revenues 9-14'!I109</f>
        <v>144076</v>
      </c>
      <c r="J4" s="1606">
        <f>'Revenues 9-14'!J109</f>
        <v>121606</v>
      </c>
      <c r="K4" s="1606">
        <f>'Revenues 9-14'!K109</f>
        <v>382532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2615235</v>
      </c>
      <c r="D6" s="1607">
        <f>'Revenues 9-14'!D170</f>
        <v>0</v>
      </c>
      <c r="E6" s="1607">
        <f>'Revenues 9-14'!E170</f>
        <v>0</v>
      </c>
      <c r="F6" s="1607">
        <f>'Revenues 9-14'!F170</f>
        <v>1000920</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1416930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14979108</v>
      </c>
      <c r="D8" s="1594">
        <f t="shared" ref="D8:K8" si="0">SUM(D4:D7)</f>
        <v>1681536</v>
      </c>
      <c r="E8" s="1594">
        <f t="shared" si="0"/>
        <v>1265606</v>
      </c>
      <c r="F8" s="1594">
        <f t="shared" si="0"/>
        <v>1972832</v>
      </c>
      <c r="G8" s="1594">
        <f t="shared" si="0"/>
        <v>848272</v>
      </c>
      <c r="H8" s="1594">
        <f t="shared" si="0"/>
        <v>403949</v>
      </c>
      <c r="I8" s="1594">
        <f t="shared" si="0"/>
        <v>144076</v>
      </c>
      <c r="J8" s="1594">
        <f t="shared" si="0"/>
        <v>121606</v>
      </c>
      <c r="K8" s="1594">
        <f t="shared" si="0"/>
        <v>382532</v>
      </c>
      <c r="L8" s="325"/>
    </row>
    <row r="9" spans="1:13" ht="15.75" thickTop="1" x14ac:dyDescent="0.2">
      <c r="A9" s="449" t="s">
        <v>1634</v>
      </c>
      <c r="B9" s="450">
        <v>3998</v>
      </c>
      <c r="C9" s="1586">
        <v>6416776</v>
      </c>
      <c r="D9" s="1613"/>
      <c r="E9" s="1586"/>
      <c r="F9" s="1586"/>
      <c r="G9" s="1614"/>
      <c r="H9" s="1586"/>
      <c r="I9" s="1609" t="s">
        <v>1159</v>
      </c>
      <c r="J9" s="1583"/>
      <c r="K9" s="1586"/>
      <c r="L9" s="325"/>
    </row>
    <row r="10" spans="1:13" s="452" customFormat="1" ht="13.5" thickBot="1" x14ac:dyDescent="0.25">
      <c r="A10" s="1426" t="s">
        <v>1163</v>
      </c>
      <c r="B10" s="1407"/>
      <c r="C10" s="1594">
        <f>SUM(C8:C9)</f>
        <v>21395884</v>
      </c>
      <c r="D10" s="1594">
        <f t="shared" ref="D10:K10" si="1">SUM(D8:D9)</f>
        <v>1681536</v>
      </c>
      <c r="E10" s="1594">
        <f t="shared" si="1"/>
        <v>1265606</v>
      </c>
      <c r="F10" s="1594">
        <f t="shared" si="1"/>
        <v>1972832</v>
      </c>
      <c r="G10" s="1594">
        <f t="shared" si="1"/>
        <v>848272</v>
      </c>
      <c r="H10" s="1594">
        <f t="shared" si="1"/>
        <v>403949</v>
      </c>
      <c r="I10" s="1594">
        <f t="shared" si="1"/>
        <v>144076</v>
      </c>
      <c r="J10" s="1594">
        <f t="shared" si="1"/>
        <v>121606</v>
      </c>
      <c r="K10" s="1594">
        <f t="shared" si="1"/>
        <v>382532</v>
      </c>
      <c r="L10" s="451"/>
    </row>
    <row r="11" spans="1:13" s="452" customFormat="1" ht="16.899999999999999" customHeight="1" thickTop="1" x14ac:dyDescent="0.2">
      <c r="A11" s="2338" t="s">
        <v>1166</v>
      </c>
      <c r="B11" s="2339"/>
      <c r="C11" s="1602"/>
      <c r="D11" s="1603"/>
      <c r="E11" s="1603"/>
      <c r="F11" s="1603"/>
      <c r="G11" s="1603"/>
      <c r="H11" s="1603"/>
      <c r="I11" s="1603"/>
      <c r="J11" s="1603"/>
      <c r="K11" s="1615"/>
      <c r="L11" s="451"/>
    </row>
    <row r="12" spans="1:13" ht="15.75" customHeight="1" x14ac:dyDescent="0.2">
      <c r="A12" s="1314" t="s">
        <v>453</v>
      </c>
      <c r="B12" s="1316">
        <v>1000</v>
      </c>
      <c r="C12" s="1606">
        <f>'Expenditures 15-22'!K33</f>
        <v>9329087</v>
      </c>
      <c r="D12" s="1616" t="s">
        <v>1159</v>
      </c>
      <c r="E12" s="1575" t="s">
        <v>1159</v>
      </c>
      <c r="F12" s="1575" t="s">
        <v>1159</v>
      </c>
      <c r="G12" s="1606">
        <f>'Expenditures 15-22'!K229</f>
        <v>214117</v>
      </c>
      <c r="H12" s="1617"/>
      <c r="I12" s="1575" t="s">
        <v>1159</v>
      </c>
      <c r="J12" s="1575" t="s">
        <v>1159</v>
      </c>
      <c r="K12" s="1617" t="s">
        <v>1159</v>
      </c>
      <c r="L12" s="325"/>
    </row>
    <row r="13" spans="1:13" ht="15.75" customHeight="1" x14ac:dyDescent="0.2">
      <c r="A13" s="1314" t="s">
        <v>454</v>
      </c>
      <c r="B13" s="1316">
        <v>2000</v>
      </c>
      <c r="C13" s="1607">
        <f>'Expenditures 15-22'!K74</f>
        <v>4787557</v>
      </c>
      <c r="D13" s="1607">
        <f>'Expenditures 15-22'!K129</f>
        <v>1509163</v>
      </c>
      <c r="E13" s="1576" t="s">
        <v>1159</v>
      </c>
      <c r="F13" s="1607">
        <f>'Expenditures 15-22'!K184</f>
        <v>1722085</v>
      </c>
      <c r="G13" s="1607">
        <f>'Expenditures 15-22'!K279</f>
        <v>469718</v>
      </c>
      <c r="H13" s="1607">
        <f>'Expenditures 15-22'!K303</f>
        <v>651773</v>
      </c>
      <c r="I13" s="1575" t="s">
        <v>1159</v>
      </c>
      <c r="J13" s="1607">
        <f>'Expenditures 15-22'!K330</f>
        <v>43727</v>
      </c>
      <c r="K13" s="1618">
        <f>'Expenditures 15-22'!K352</f>
        <v>30450</v>
      </c>
      <c r="L13" s="325"/>
    </row>
    <row r="14" spans="1:13" ht="15.75" customHeight="1" x14ac:dyDescent="0.2">
      <c r="A14" s="1314" t="s">
        <v>446</v>
      </c>
      <c r="B14" s="1316">
        <v>3000</v>
      </c>
      <c r="C14" s="1607">
        <f>'Expenditures 15-22'!K75</f>
        <v>1346</v>
      </c>
      <c r="D14" s="1607">
        <f>'Expenditures 15-22'!K130</f>
        <v>0</v>
      </c>
      <c r="E14" s="1616" t="s">
        <v>1159</v>
      </c>
      <c r="F14" s="1607">
        <f>'Expenditures 15-22'!K185</f>
        <v>0</v>
      </c>
      <c r="G14" s="1607">
        <f>'Expenditures 15-22'!K280</f>
        <v>15</v>
      </c>
      <c r="H14" s="1612"/>
      <c r="I14" s="1575" t="s">
        <v>1159</v>
      </c>
      <c r="J14" s="1575" t="s">
        <v>1159</v>
      </c>
      <c r="K14" s="1612" t="s">
        <v>1159</v>
      </c>
      <c r="L14" s="325"/>
    </row>
    <row r="15" spans="1:13" ht="15.75" customHeight="1" x14ac:dyDescent="0.2">
      <c r="A15" s="1314" t="s">
        <v>107</v>
      </c>
      <c r="B15" s="1316">
        <v>4000</v>
      </c>
      <c r="C15" s="1607">
        <f>'Expenditures 15-22'!K102</f>
        <v>407214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1384363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14525204</v>
      </c>
      <c r="D17" s="1594">
        <f t="shared" si="2"/>
        <v>1509163</v>
      </c>
      <c r="E17" s="1594">
        <f t="shared" si="2"/>
        <v>1384363</v>
      </c>
      <c r="F17" s="1594">
        <f t="shared" si="2"/>
        <v>1722085</v>
      </c>
      <c r="G17" s="1594">
        <f t="shared" si="2"/>
        <v>683850</v>
      </c>
      <c r="H17" s="1594">
        <f t="shared" si="2"/>
        <v>651773</v>
      </c>
      <c r="I17" s="1575"/>
      <c r="J17" s="1594">
        <f>SUM(J12:J16)</f>
        <v>43727</v>
      </c>
      <c r="K17" s="1594">
        <f>SUM(K12:K16)</f>
        <v>30450</v>
      </c>
      <c r="L17" s="325"/>
    </row>
    <row r="18" spans="1:12" ht="15" customHeight="1" thickTop="1" x14ac:dyDescent="0.2">
      <c r="A18" s="1430" t="s">
        <v>1635</v>
      </c>
      <c r="B18" s="1431">
        <v>4180</v>
      </c>
      <c r="C18" s="1606">
        <f t="shared" ref="C18:H18" si="3">C9</f>
        <v>6416776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20941980</v>
      </c>
      <c r="D19" s="1594">
        <f t="shared" si="4"/>
        <v>1509163</v>
      </c>
      <c r="E19" s="1594">
        <f t="shared" si="4"/>
        <v>1384363</v>
      </c>
      <c r="F19" s="1594">
        <f t="shared" si="4"/>
        <v>1722085</v>
      </c>
      <c r="G19" s="1594">
        <f t="shared" si="4"/>
        <v>683850</v>
      </c>
      <c r="H19" s="1594">
        <f t="shared" si="4"/>
        <v>651773</v>
      </c>
      <c r="I19" s="1575"/>
      <c r="J19" s="1594">
        <f>SUM(J17:J18)</f>
        <v>43727</v>
      </c>
      <c r="K19" s="1594">
        <f>SUM(K17:K18)</f>
        <v>30450</v>
      </c>
      <c r="L19" s="325"/>
    </row>
    <row r="20" spans="1:12" ht="16.5" thickTop="1" thickBot="1" x14ac:dyDescent="0.25">
      <c r="A20" s="2354" t="s">
        <v>1636</v>
      </c>
      <c r="B20" s="2355"/>
      <c r="C20" s="1622">
        <f>C8-C17</f>
        <v>453904</v>
      </c>
      <c r="D20" s="1622">
        <f t="shared" ref="D20:K20" si="5">D8-D17</f>
        <v>172373</v>
      </c>
      <c r="E20" s="1622">
        <f t="shared" si="5"/>
        <v>-118757</v>
      </c>
      <c r="F20" s="1622">
        <f t="shared" si="5"/>
        <v>250747</v>
      </c>
      <c r="G20" s="1622">
        <f t="shared" si="5"/>
        <v>164422</v>
      </c>
      <c r="H20" s="1622">
        <f t="shared" si="5"/>
        <v>-247824</v>
      </c>
      <c r="I20" s="1622">
        <f t="shared" si="5"/>
        <v>144076</v>
      </c>
      <c r="J20" s="1622">
        <f t="shared" si="5"/>
        <v>77879</v>
      </c>
      <c r="K20" s="1622">
        <f t="shared" si="5"/>
        <v>352082</v>
      </c>
      <c r="L20" s="325"/>
    </row>
    <row r="21" spans="1:12" ht="16.899999999999999" customHeight="1" thickTop="1" x14ac:dyDescent="0.2">
      <c r="A21" s="2366" t="s">
        <v>591</v>
      </c>
      <c r="B21" s="2367"/>
      <c r="C21" s="1602"/>
      <c r="D21" s="1603"/>
      <c r="E21" s="1603"/>
      <c r="F21" s="1603"/>
      <c r="G21" s="1603"/>
      <c r="H21" s="1603"/>
      <c r="I21" s="1603"/>
      <c r="J21" s="1603"/>
      <c r="K21" s="1615"/>
      <c r="L21" s="453"/>
    </row>
    <row r="22" spans="1:12" ht="15.75" customHeight="1" collapsed="1" x14ac:dyDescent="0.2">
      <c r="A22" s="2362" t="s">
        <v>592</v>
      </c>
      <c r="B22" s="2363"/>
      <c r="C22" s="1582"/>
      <c r="D22" s="1582"/>
      <c r="E22" s="1582"/>
      <c r="F22" s="1582"/>
      <c r="G22" s="1582"/>
      <c r="H22" s="1582"/>
      <c r="I22" s="1582"/>
      <c r="J22" s="1582"/>
      <c r="K22" s="1582"/>
      <c r="L22" s="325"/>
    </row>
    <row r="23" spans="1:12" s="433" customFormat="1" ht="15.75" customHeight="1" x14ac:dyDescent="0.2">
      <c r="A23" s="2358" t="s">
        <v>290</v>
      </c>
      <c r="B23" s="2359"/>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1769</v>
      </c>
      <c r="B30" s="455">
        <v>7160</v>
      </c>
      <c r="C30" s="1582"/>
      <c r="D30" s="1574">
        <v>0</v>
      </c>
      <c r="E30" s="1582"/>
      <c r="F30" s="1582"/>
      <c r="G30" s="1582"/>
      <c r="H30" s="1582"/>
      <c r="I30" s="1582"/>
      <c r="J30" s="1582"/>
      <c r="K30" s="1582"/>
      <c r="L30" s="453"/>
    </row>
    <row r="31" spans="1:12" s="433" customFormat="1" ht="26.25" x14ac:dyDescent="0.2">
      <c r="A31" s="1260" t="s">
        <v>1773</v>
      </c>
      <c r="B31" s="455">
        <v>7170</v>
      </c>
      <c r="C31" s="1582"/>
      <c r="D31" s="1582"/>
      <c r="E31" s="1579">
        <v>0</v>
      </c>
      <c r="F31" s="1582"/>
      <c r="G31" s="1582"/>
      <c r="H31" s="1582"/>
      <c r="I31" s="1582"/>
      <c r="J31" s="1582"/>
      <c r="K31" s="1582"/>
      <c r="L31" s="453"/>
    </row>
    <row r="32" spans="1:12" s="433" customFormat="1" ht="15.75" customHeight="1" x14ac:dyDescent="0.2">
      <c r="A32" s="2360" t="s">
        <v>974</v>
      </c>
      <c r="B32" s="236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68" t="s">
        <v>371</v>
      </c>
      <c r="B44" s="236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362" t="s">
        <v>108</v>
      </c>
      <c r="B45" s="2363"/>
      <c r="C45" s="1625"/>
      <c r="D45" s="1625"/>
      <c r="E45" s="1625"/>
      <c r="F45" s="1625"/>
      <c r="G45" s="1625"/>
      <c r="H45" s="1625"/>
      <c r="I45" s="1625"/>
      <c r="J45" s="1625"/>
      <c r="K45" s="1625"/>
      <c r="L45" s="325"/>
    </row>
    <row r="46" spans="1:12" s="433" customFormat="1" ht="15.75" customHeight="1" x14ac:dyDescent="0.2">
      <c r="A46" s="2370" t="s">
        <v>109</v>
      </c>
      <c r="B46" s="237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1772</v>
      </c>
      <c r="B52" s="432">
        <v>8160</v>
      </c>
      <c r="C52" s="1582"/>
      <c r="D52" s="1582"/>
      <c r="E52" s="1582"/>
      <c r="F52" s="1582"/>
      <c r="G52" s="1582"/>
      <c r="H52" s="1582"/>
      <c r="I52" s="1582"/>
      <c r="J52" s="1582"/>
      <c r="K52" s="1607">
        <f>D30</f>
        <v>0</v>
      </c>
      <c r="L52" s="453"/>
    </row>
    <row r="53" spans="1:12" s="433" customFormat="1" ht="26.25" x14ac:dyDescent="0.2">
      <c r="A53" s="1261" t="s">
        <v>1771</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344" t="s">
        <v>437</v>
      </c>
      <c r="B76" s="234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346" t="s">
        <v>1167</v>
      </c>
      <c r="B77" s="234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350" t="s">
        <v>593</v>
      </c>
      <c r="B78" s="2351"/>
      <c r="C78" s="1629">
        <f t="shared" ref="C78:K78" si="9">C20+C77</f>
        <v>453904</v>
      </c>
      <c r="D78" s="1629">
        <f t="shared" si="9"/>
        <v>172373</v>
      </c>
      <c r="E78" s="1629">
        <f t="shared" si="9"/>
        <v>-118757</v>
      </c>
      <c r="F78" s="1629">
        <f t="shared" si="9"/>
        <v>250747</v>
      </c>
      <c r="G78" s="1629">
        <f t="shared" si="9"/>
        <v>164422</v>
      </c>
      <c r="H78" s="1629">
        <f t="shared" si="9"/>
        <v>-247824</v>
      </c>
      <c r="I78" s="1629">
        <f t="shared" si="9"/>
        <v>144076</v>
      </c>
      <c r="J78" s="1629">
        <f t="shared" si="9"/>
        <v>77879</v>
      </c>
      <c r="K78" s="1629">
        <f t="shared" si="9"/>
        <v>352082</v>
      </c>
      <c r="L78" s="457"/>
    </row>
    <row r="79" spans="1:12" ht="13.5" thickTop="1" x14ac:dyDescent="0.2">
      <c r="A79" s="1844" t="str">
        <f>"Fund Balances - July 1, "&amp;'AFR20'!E2-1</f>
        <v>Fund Balances - July 1, 2019</v>
      </c>
      <c r="B79" s="458"/>
      <c r="C79" s="1583">
        <v>6727922</v>
      </c>
      <c r="D79" s="1583">
        <v>1186809</v>
      </c>
      <c r="E79" s="1630">
        <v>1605318</v>
      </c>
      <c r="F79" s="1630">
        <v>2259756</v>
      </c>
      <c r="G79" s="1630">
        <v>457140</v>
      </c>
      <c r="H79" s="1630">
        <v>6984029</v>
      </c>
      <c r="I79" s="1630">
        <v>4784388</v>
      </c>
      <c r="J79" s="1630">
        <v>159569</v>
      </c>
      <c r="K79" s="1630">
        <v>1196698</v>
      </c>
      <c r="L79" s="325"/>
    </row>
    <row r="80" spans="1:12" x14ac:dyDescent="0.2">
      <c r="A80" s="2356" t="s">
        <v>1770</v>
      </c>
      <c r="B80" s="2357"/>
      <c r="C80" s="1574">
        <v>0</v>
      </c>
      <c r="D80" s="1574">
        <v>0</v>
      </c>
      <c r="E80" s="1574">
        <v>0</v>
      </c>
      <c r="F80" s="1574">
        <v>0</v>
      </c>
      <c r="G80" s="1574">
        <v>0</v>
      </c>
      <c r="H80" s="1574">
        <v>0</v>
      </c>
      <c r="I80" s="1574">
        <v>0</v>
      </c>
      <c r="J80" s="1574">
        <v>0</v>
      </c>
      <c r="K80" s="1574">
        <v>0</v>
      </c>
      <c r="L80" s="325"/>
    </row>
    <row r="81" spans="1:12" ht="13.5" thickBot="1" x14ac:dyDescent="0.25">
      <c r="A81" s="2348" t="str">
        <f>"Fund Balances - June 30, "&amp;'AFR20'!E2</f>
        <v>Fund Balances - June 30, 2020</v>
      </c>
      <c r="B81" s="2349"/>
      <c r="C81" s="1594">
        <f>(SUM(C78:C80))</f>
        <v>7181826</v>
      </c>
      <c r="D81" s="1594">
        <f>SUM(D78:D80)</f>
        <v>1359182</v>
      </c>
      <c r="E81" s="1594">
        <f t="shared" ref="E81:K81" si="10">SUM(E78:E80)</f>
        <v>1486561</v>
      </c>
      <c r="F81" s="1594">
        <f t="shared" si="10"/>
        <v>2510503</v>
      </c>
      <c r="G81" s="1594">
        <f t="shared" si="10"/>
        <v>621562</v>
      </c>
      <c r="H81" s="1594">
        <f t="shared" si="10"/>
        <v>6736205</v>
      </c>
      <c r="I81" s="1594">
        <f t="shared" si="10"/>
        <v>4928464</v>
      </c>
      <c r="J81" s="1594">
        <f t="shared" si="10"/>
        <v>237448</v>
      </c>
      <c r="K81" s="1594">
        <f t="shared" si="10"/>
        <v>1548780</v>
      </c>
      <c r="L81" s="325"/>
    </row>
    <row r="82" spans="1:12" ht="0.75" customHeight="1" thickTop="1" thickBot="1" x14ac:dyDescent="0.25">
      <c r="A82" s="459" t="s">
        <v>340</v>
      </c>
      <c r="B82" s="460"/>
      <c r="C82" s="461">
        <f>(C81-C79)</f>
        <v>453904</v>
      </c>
      <c r="D82" s="461">
        <f t="shared" ref="D82:K82" si="11">(D81-D79)</f>
        <v>172373</v>
      </c>
      <c r="E82" s="461">
        <f t="shared" si="11"/>
        <v>-118757</v>
      </c>
      <c r="F82" s="461">
        <f t="shared" si="11"/>
        <v>250747</v>
      </c>
      <c r="G82" s="461">
        <f t="shared" si="11"/>
        <v>164422</v>
      </c>
      <c r="H82" s="461">
        <f t="shared" si="11"/>
        <v>-247824</v>
      </c>
      <c r="I82" s="461">
        <f t="shared" si="11"/>
        <v>144076</v>
      </c>
      <c r="J82" s="461">
        <f t="shared" si="11"/>
        <v>77879</v>
      </c>
      <c r="K82" s="461">
        <f t="shared" si="11"/>
        <v>352082</v>
      </c>
    </row>
    <row r="83" spans="1:12" ht="14.25" hidden="1" thickTop="1" thickBot="1" x14ac:dyDescent="0.25">
      <c r="A83" s="462" t="s">
        <v>341</v>
      </c>
      <c r="B83" s="428"/>
      <c r="C83" s="463">
        <f>C82/C81</f>
        <v>6.3201753982900732E-2</v>
      </c>
      <c r="D83" s="463">
        <f t="shared" ref="D83:K83" si="12">D82/D81</f>
        <v>0.12682113212211463</v>
      </c>
      <c r="E83" s="463">
        <f t="shared" si="12"/>
        <v>-7.9887068206417361E-2</v>
      </c>
      <c r="F83" s="463">
        <f t="shared" si="12"/>
        <v>9.9879187557234544E-2</v>
      </c>
      <c r="G83" s="463">
        <f t="shared" si="12"/>
        <v>0.26453032843063123</v>
      </c>
      <c r="H83" s="463">
        <f t="shared" si="12"/>
        <v>-3.6789854228011169E-2</v>
      </c>
      <c r="I83" s="463">
        <f t="shared" si="12"/>
        <v>2.9233448798652074E-2</v>
      </c>
      <c r="J83" s="463">
        <f t="shared" si="12"/>
        <v>0.32798339004750515</v>
      </c>
      <c r="K83" s="463">
        <f t="shared" si="12"/>
        <v>0.22732860703263214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O53" sqref="O53"/>
      <selection pane="bottomLeft" activeCell="C6" sqref="C6"/>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352" t="s">
        <v>1777</v>
      </c>
      <c r="B1" s="416"/>
      <c r="C1" s="417" t="s">
        <v>422</v>
      </c>
      <c r="D1" s="417" t="s">
        <v>423</v>
      </c>
      <c r="E1" s="417" t="s">
        <v>424</v>
      </c>
      <c r="F1" s="417" t="s">
        <v>425</v>
      </c>
      <c r="G1" s="417" t="s">
        <v>426</v>
      </c>
      <c r="H1" s="417" t="s">
        <v>427</v>
      </c>
      <c r="I1" s="417" t="s">
        <v>428</v>
      </c>
      <c r="J1" s="417" t="s">
        <v>429</v>
      </c>
      <c r="K1" s="417" t="s">
        <v>751</v>
      </c>
    </row>
    <row r="2" spans="1:12" ht="36" x14ac:dyDescent="0.2">
      <c r="A2" s="2353"/>
      <c r="B2" s="464" t="s">
        <v>375</v>
      </c>
      <c r="C2" s="465" t="s">
        <v>1145</v>
      </c>
      <c r="D2" s="465" t="s">
        <v>865</v>
      </c>
      <c r="E2" s="465" t="s">
        <v>435</v>
      </c>
      <c r="F2" s="465" t="s">
        <v>154</v>
      </c>
      <c r="G2" s="465" t="s">
        <v>982</v>
      </c>
      <c r="H2" s="465" t="s">
        <v>434</v>
      </c>
      <c r="I2" s="465" t="s">
        <v>404</v>
      </c>
      <c r="J2" s="465" t="s">
        <v>433</v>
      </c>
      <c r="K2" s="465" t="s">
        <v>156</v>
      </c>
    </row>
    <row r="3" spans="1:12" ht="16.899999999999999"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8398265</v>
      </c>
      <c r="D5" s="1586">
        <v>1374318</v>
      </c>
      <c r="E5" s="1573">
        <v>713912</v>
      </c>
      <c r="F5" s="1631">
        <v>927692</v>
      </c>
      <c r="G5" s="1573">
        <v>294466</v>
      </c>
      <c r="H5" s="1573">
        <v>0</v>
      </c>
      <c r="I5" s="1573">
        <v>81505</v>
      </c>
      <c r="J5" s="1574">
        <v>117805</v>
      </c>
      <c r="K5" s="1573">
        <v>363222</v>
      </c>
    </row>
    <row r="6" spans="1:12" ht="15" x14ac:dyDescent="0.2">
      <c r="A6" s="427" t="s">
        <v>1643</v>
      </c>
      <c r="B6" s="429">
        <v>1130</v>
      </c>
      <c r="C6" s="1573">
        <v>71663</v>
      </c>
      <c r="D6" s="1573">
        <v>0</v>
      </c>
      <c r="E6" s="1580"/>
      <c r="F6" s="1580"/>
      <c r="G6" s="1575"/>
      <c r="H6" s="1575"/>
      <c r="I6" s="1575"/>
      <c r="J6" s="1575"/>
      <c r="K6" s="1575"/>
    </row>
    <row r="7" spans="1:12" x14ac:dyDescent="0.2">
      <c r="A7" s="427" t="s">
        <v>110</v>
      </c>
      <c r="B7" s="471">
        <v>1140</v>
      </c>
      <c r="C7" s="1573">
        <v>116832</v>
      </c>
      <c r="D7" s="1573">
        <v>0</v>
      </c>
      <c r="E7" s="1575"/>
      <c r="F7" s="1574">
        <v>0</v>
      </c>
      <c r="G7" s="1574">
        <v>0</v>
      </c>
      <c r="H7" s="1574">
        <v>0</v>
      </c>
      <c r="I7" s="1575"/>
      <c r="J7" s="1575"/>
      <c r="K7" s="1575"/>
    </row>
    <row r="8" spans="1:12" x14ac:dyDescent="0.2">
      <c r="A8" s="427" t="s">
        <v>410</v>
      </c>
      <c r="B8" s="429">
        <v>1150</v>
      </c>
      <c r="C8" s="1580"/>
      <c r="D8" s="1580"/>
      <c r="E8" s="1582"/>
      <c r="F8" s="1582"/>
      <c r="G8" s="1586">
        <v>294512</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8586760</v>
      </c>
      <c r="D12" s="1633">
        <f t="shared" si="0"/>
        <v>1374318</v>
      </c>
      <c r="E12" s="1633">
        <f t="shared" si="0"/>
        <v>713912</v>
      </c>
      <c r="F12" s="1633">
        <f t="shared" si="0"/>
        <v>927692</v>
      </c>
      <c r="G12" s="1633">
        <f t="shared" si="0"/>
        <v>588978</v>
      </c>
      <c r="H12" s="1633">
        <f t="shared" si="0"/>
        <v>0</v>
      </c>
      <c r="I12" s="1633">
        <f t="shared" si="0"/>
        <v>81505</v>
      </c>
      <c r="J12" s="1633">
        <f t="shared" si="0"/>
        <v>117805</v>
      </c>
      <c r="K12" s="1594">
        <f t="shared" si="0"/>
        <v>363222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1349</v>
      </c>
      <c r="D14" s="1573">
        <v>216</v>
      </c>
      <c r="E14" s="1573">
        <v>112</v>
      </c>
      <c r="F14" s="1573">
        <v>146</v>
      </c>
      <c r="G14" s="1573">
        <v>93</v>
      </c>
      <c r="H14" s="1573">
        <v>0</v>
      </c>
      <c r="I14" s="1573">
        <v>13</v>
      </c>
      <c r="J14" s="1574">
        <v>19</v>
      </c>
      <c r="K14" s="1573">
        <v>57</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1673441</v>
      </c>
      <c r="D16" s="1573">
        <v>262969</v>
      </c>
      <c r="E16" s="1573">
        <v>0</v>
      </c>
      <c r="F16" s="1573">
        <v>0</v>
      </c>
      <c r="G16" s="1573">
        <v>191250</v>
      </c>
      <c r="H16" s="1573">
        <v>262969</v>
      </c>
      <c r="I16" s="1573">
        <v>0</v>
      </c>
      <c r="J16" s="1574">
        <v>0</v>
      </c>
      <c r="K16" s="1573">
        <v>0</v>
      </c>
    </row>
    <row r="17" spans="1:11" ht="12.75" customHeight="1" x14ac:dyDescent="0.2">
      <c r="A17" s="427" t="s">
        <v>802</v>
      </c>
      <c r="B17" s="429">
        <v>1290</v>
      </c>
      <c r="C17" s="1632">
        <v>0</v>
      </c>
      <c r="D17" s="1573">
        <v>0</v>
      </c>
      <c r="E17" s="1573">
        <v>529491</v>
      </c>
      <c r="F17" s="1573">
        <v>0</v>
      </c>
      <c r="G17" s="1573">
        <v>0</v>
      </c>
      <c r="H17" s="1573">
        <v>0</v>
      </c>
      <c r="I17" s="1573">
        <v>0</v>
      </c>
      <c r="J17" s="1574">
        <v>0</v>
      </c>
      <c r="K17" s="1573">
        <v>0</v>
      </c>
    </row>
    <row r="18" spans="1:11" ht="12.75" customHeight="1" thickBot="1" x14ac:dyDescent="0.25">
      <c r="A18" s="1406" t="s">
        <v>534</v>
      </c>
      <c r="B18" s="1407"/>
      <c r="C18" s="1635">
        <f>SUM(C14:C17)</f>
        <v>1674790</v>
      </c>
      <c r="D18" s="1635">
        <f t="shared" ref="D18:K18" si="1">SUM(D14:D17)</f>
        <v>263185</v>
      </c>
      <c r="E18" s="1635">
        <f t="shared" si="1"/>
        <v>529603</v>
      </c>
      <c r="F18" s="1635">
        <f t="shared" si="1"/>
        <v>146</v>
      </c>
      <c r="G18" s="1635">
        <f t="shared" si="1"/>
        <v>191343</v>
      </c>
      <c r="H18" s="1635">
        <f t="shared" si="1"/>
        <v>262969</v>
      </c>
      <c r="I18" s="1635">
        <f t="shared" si="1"/>
        <v>13</v>
      </c>
      <c r="J18" s="1635">
        <f t="shared" si="1"/>
        <v>19</v>
      </c>
      <c r="K18" s="1636">
        <f t="shared" si="1"/>
        <v>57</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29644</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29644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140701</v>
      </c>
      <c r="D65" s="1573">
        <v>24687</v>
      </c>
      <c r="E65" s="1573">
        <v>22091</v>
      </c>
      <c r="F65" s="1574">
        <v>32706</v>
      </c>
      <c r="G65" s="1573">
        <v>10287</v>
      </c>
      <c r="H65" s="1573">
        <v>90980</v>
      </c>
      <c r="I65" s="1573">
        <v>62558</v>
      </c>
      <c r="J65" s="1574">
        <v>3039</v>
      </c>
      <c r="K65" s="1573">
        <v>19253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140701</v>
      </c>
      <c r="D67" s="1594">
        <f t="shared" ref="D67:K67" si="2">SUM(D65:D66)</f>
        <v>24687</v>
      </c>
      <c r="E67" s="1594">
        <f t="shared" si="2"/>
        <v>22091</v>
      </c>
      <c r="F67" s="1594">
        <f t="shared" si="2"/>
        <v>32706</v>
      </c>
      <c r="G67" s="1594">
        <f t="shared" si="2"/>
        <v>10287</v>
      </c>
      <c r="H67" s="1594">
        <f t="shared" si="2"/>
        <v>90980</v>
      </c>
      <c r="I67" s="1594">
        <f t="shared" si="2"/>
        <v>62558</v>
      </c>
      <c r="J67" s="1594">
        <f t="shared" si="2"/>
        <v>3039</v>
      </c>
      <c r="K67" s="1594">
        <f t="shared" si="2"/>
        <v>19253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131613</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23530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3679</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158822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7232</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14430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9940</v>
      </c>
      <c r="D81" s="1573">
        <v>0</v>
      </c>
      <c r="E81" s="1575"/>
      <c r="F81" s="1575"/>
      <c r="G81" s="1575"/>
      <c r="H81" s="1575"/>
      <c r="I81" s="1575"/>
      <c r="J81" s="1575"/>
      <c r="K81" s="1575"/>
    </row>
    <row r="82" spans="1:11" ht="12.75" customHeight="1" thickBot="1" x14ac:dyDescent="0.25">
      <c r="A82" s="1406" t="s">
        <v>239</v>
      </c>
      <c r="B82" s="1407"/>
      <c r="C82" s="1633">
        <f>SUM(C77:C81)</f>
        <v>31602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68715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68715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480</v>
      </c>
      <c r="E95" s="1617"/>
      <c r="F95" s="1617"/>
      <c r="G95" s="1617"/>
      <c r="H95" s="1617"/>
      <c r="I95" s="1617"/>
      <c r="J95" s="1617"/>
      <c r="K95" s="1617"/>
    </row>
    <row r="96" spans="1:11" ht="12.75" customHeight="1" x14ac:dyDescent="0.2">
      <c r="A96" s="427" t="s">
        <v>388</v>
      </c>
      <c r="B96" s="429">
        <v>1920</v>
      </c>
      <c r="C96" s="1632">
        <v>90941</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157855</v>
      </c>
      <c r="D99" s="1573">
        <v>18462</v>
      </c>
      <c r="E99" s="1573">
        <v>0</v>
      </c>
      <c r="F99" s="1573">
        <v>0</v>
      </c>
      <c r="G99" s="1573">
        <v>0</v>
      </c>
      <c r="H99" s="1573">
        <v>0</v>
      </c>
      <c r="I99" s="1575"/>
      <c r="J99" s="1574">
        <v>743</v>
      </c>
      <c r="K99" s="1573">
        <v>0</v>
      </c>
    </row>
    <row r="100" spans="1:12" ht="12.75" customHeight="1" x14ac:dyDescent="0.2">
      <c r="A100" s="427" t="s">
        <v>243</v>
      </c>
      <c r="B100" s="429">
        <v>1960</v>
      </c>
      <c r="C100" s="1598">
        <v>0</v>
      </c>
      <c r="D100" s="1598">
        <v>0</v>
      </c>
      <c r="E100" s="1598">
        <v>0</v>
      </c>
      <c r="F100" s="1598">
        <v>0</v>
      </c>
      <c r="G100" s="1598">
        <v>57664</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7113</v>
      </c>
      <c r="D107" s="1573">
        <v>404</v>
      </c>
      <c r="E107" s="1573">
        <v>0</v>
      </c>
      <c r="F107" s="1573">
        <v>11368</v>
      </c>
      <c r="G107" s="1573">
        <v>0</v>
      </c>
      <c r="H107" s="1573">
        <v>0</v>
      </c>
      <c r="I107" s="1573">
        <v>0</v>
      </c>
      <c r="J107" s="1574">
        <v>0</v>
      </c>
      <c r="K107" s="1573">
        <v>0</v>
      </c>
    </row>
    <row r="108" spans="1:12" ht="12.75" customHeight="1" thickBot="1" x14ac:dyDescent="0.25">
      <c r="A108" s="1406" t="s">
        <v>484</v>
      </c>
      <c r="B108" s="1408"/>
      <c r="C108" s="1633">
        <f>SUM(C95:C107)</f>
        <v>255909</v>
      </c>
      <c r="D108" s="1633">
        <f t="shared" ref="D108:K108" si="3">SUM(D95:D107)</f>
        <v>19346</v>
      </c>
      <c r="E108" s="1633">
        <f t="shared" si="3"/>
        <v>0</v>
      </c>
      <c r="F108" s="1633">
        <f t="shared" si="3"/>
        <v>11368</v>
      </c>
      <c r="G108" s="1633">
        <f t="shared" si="3"/>
        <v>57664</v>
      </c>
      <c r="H108" s="1633">
        <f t="shared" si="3"/>
        <v>0</v>
      </c>
      <c r="I108" s="1633">
        <f t="shared" si="3"/>
        <v>0</v>
      </c>
      <c r="J108" s="1633">
        <f t="shared" si="3"/>
        <v>743</v>
      </c>
      <c r="K108" s="1594">
        <f t="shared" si="3"/>
        <v>0</v>
      </c>
    </row>
    <row r="109" spans="1:12" ht="14.25" thickTop="1" thickBot="1" x14ac:dyDescent="0.25">
      <c r="A109" s="1409" t="s">
        <v>246</v>
      </c>
      <c r="B109" s="1410" t="s">
        <v>566</v>
      </c>
      <c r="C109" s="1641">
        <f t="shared" ref="C109:K109" si="4">SUM(C12,C18,C40,C63,C67,C75,C82,C93,C108,)</f>
        <v>10946943</v>
      </c>
      <c r="D109" s="1641">
        <f t="shared" si="4"/>
        <v>1681536</v>
      </c>
      <c r="E109" s="1641">
        <f t="shared" si="4"/>
        <v>1265606</v>
      </c>
      <c r="F109" s="1641">
        <f t="shared" si="4"/>
        <v>971912</v>
      </c>
      <c r="G109" s="1641">
        <f t="shared" si="4"/>
        <v>848272</v>
      </c>
      <c r="H109" s="1641">
        <f t="shared" si="4"/>
        <v>353949</v>
      </c>
      <c r="I109" s="1641">
        <f t="shared" si="4"/>
        <v>144076</v>
      </c>
      <c r="J109" s="1641">
        <f t="shared" si="4"/>
        <v>121606</v>
      </c>
      <c r="K109" s="1629">
        <f t="shared" si="4"/>
        <v>382532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899999999999999"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2430916</v>
      </c>
      <c r="D117" s="1586">
        <v>0</v>
      </c>
      <c r="E117" s="1573">
        <v>0</v>
      </c>
      <c r="F117" s="1586">
        <v>0</v>
      </c>
      <c r="G117" s="1586">
        <v>0</v>
      </c>
      <c r="H117" s="1573">
        <v>0</v>
      </c>
      <c r="I117" s="1575"/>
      <c r="J117" s="1574">
        <v>0</v>
      </c>
      <c r="K117" s="1573">
        <v>0</v>
      </c>
    </row>
    <row r="118" spans="1:11" ht="12.75" customHeight="1" x14ac:dyDescent="0.2">
      <c r="A118" s="427" t="s">
        <v>1774</v>
      </c>
      <c r="B118" s="478">
        <v>3002</v>
      </c>
      <c r="C118" s="1632"/>
      <c r="D118" s="1573"/>
      <c r="E118" s="1573"/>
      <c r="F118" s="1573"/>
      <c r="G118" s="1573"/>
      <c r="H118" s="1573"/>
      <c r="I118" s="1575"/>
      <c r="J118" s="1574"/>
      <c r="K118" s="1573"/>
    </row>
    <row r="119" spans="1:11" ht="12.75" customHeight="1" x14ac:dyDescent="0.2">
      <c r="A119" s="427" t="s">
        <v>1775</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1893</v>
      </c>
      <c r="B120" s="478">
        <v>3030</v>
      </c>
      <c r="C120" s="1632">
        <v>0</v>
      </c>
      <c r="D120" s="1573">
        <v>0</v>
      </c>
      <c r="E120" s="1573">
        <v>0</v>
      </c>
      <c r="F120" s="1573">
        <v>0</v>
      </c>
      <c r="G120" s="1573">
        <v>0</v>
      </c>
      <c r="H120" s="1573">
        <v>0</v>
      </c>
      <c r="I120" s="1575"/>
      <c r="J120" s="1574">
        <v>0</v>
      </c>
      <c r="K120" s="1573">
        <v>0</v>
      </c>
    </row>
    <row r="121" spans="1:11" x14ac:dyDescent="0.2">
      <c r="A121" s="1266" t="s">
        <v>1776</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2430916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142639</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33310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175949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1497</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1497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5716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546059</v>
      </c>
      <c r="G152" s="1574">
        <v>0</v>
      </c>
      <c r="H152" s="1575"/>
      <c r="I152" s="1575"/>
      <c r="J152" s="1575"/>
      <c r="K152" s="1575"/>
    </row>
    <row r="153" spans="1:11" ht="12.75" customHeight="1" x14ac:dyDescent="0.2">
      <c r="A153" s="427" t="s">
        <v>1048</v>
      </c>
      <c r="B153" s="478">
        <v>3510</v>
      </c>
      <c r="C153" s="1632">
        <v>0</v>
      </c>
      <c r="D153" s="1573">
        <v>0</v>
      </c>
      <c r="E153" s="1640"/>
      <c r="F153" s="1573">
        <v>454861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1000920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1157</v>
      </c>
      <c r="D168" s="1655">
        <v>0</v>
      </c>
      <c r="E168" s="1655">
        <v>0</v>
      </c>
      <c r="F168" s="1655">
        <v>0</v>
      </c>
      <c r="G168" s="1656">
        <v>0</v>
      </c>
      <c r="H168" s="1657">
        <v>0</v>
      </c>
      <c r="I168" s="1656">
        <v>0</v>
      </c>
      <c r="J168" s="1656">
        <v>0</v>
      </c>
      <c r="K168" s="1657">
        <v>0</v>
      </c>
    </row>
    <row r="169" spans="1:11" ht="12.75" customHeight="1" thickTop="1" thickBot="1" x14ac:dyDescent="0.25">
      <c r="A169" s="2372" t="s">
        <v>395</v>
      </c>
      <c r="B169" s="2373"/>
      <c r="C169" s="1658">
        <f t="shared" ref="C169:K169" si="6">SUM(C132,C141,C145,C146:C150,C155,C156:C167,C168)</f>
        <v>184319</v>
      </c>
      <c r="D169" s="1658">
        <f t="shared" si="6"/>
        <v>0</v>
      </c>
      <c r="E169" s="1658">
        <f t="shared" si="6"/>
        <v>0</v>
      </c>
      <c r="F169" s="1658">
        <f t="shared" si="6"/>
        <v>1000920</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2615235</v>
      </c>
      <c r="D170" s="1641">
        <f t="shared" si="7"/>
        <v>0</v>
      </c>
      <c r="E170" s="1641">
        <f t="shared" si="7"/>
        <v>0</v>
      </c>
      <c r="F170" s="1641">
        <f t="shared" si="7"/>
        <v>1000920</v>
      </c>
      <c r="G170" s="1641">
        <f t="shared" si="7"/>
        <v>0</v>
      </c>
      <c r="H170" s="1641">
        <f t="shared" si="7"/>
        <v>50000</v>
      </c>
      <c r="I170" s="1641">
        <f t="shared" si="7"/>
        <v>0</v>
      </c>
      <c r="J170" s="1641">
        <f t="shared" si="7"/>
        <v>0</v>
      </c>
      <c r="K170" s="1629">
        <f t="shared" si="7"/>
        <v>0</v>
      </c>
    </row>
    <row r="171" spans="1:11" ht="16.899999999999999" customHeight="1" thickTop="1" x14ac:dyDescent="0.2">
      <c r="A171" s="1327" t="s">
        <v>799</v>
      </c>
      <c r="B171" s="1310"/>
      <c r="C171" s="1602"/>
      <c r="D171" s="1603"/>
      <c r="E171" s="1603"/>
      <c r="F171" s="1603"/>
      <c r="G171" s="1603"/>
      <c r="H171" s="1603"/>
      <c r="I171" s="1603"/>
      <c r="J171" s="1603"/>
      <c r="K171" s="1615"/>
    </row>
    <row r="172" spans="1:11" ht="15.75" customHeight="1" x14ac:dyDescent="0.2">
      <c r="A172" s="2374" t="s">
        <v>1475</v>
      </c>
      <c r="B172" s="2375"/>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78" t="s">
        <v>1646</v>
      </c>
      <c r="B175" s="237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82" t="s">
        <v>1645</v>
      </c>
      <c r="B176" s="2383"/>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80" t="s">
        <v>780</v>
      </c>
      <c r="B181" s="238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76" t="s">
        <v>1778</v>
      </c>
      <c r="B182" s="237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273174</v>
      </c>
      <c r="D191" s="1575"/>
      <c r="E191" s="1640"/>
      <c r="F191" s="1575"/>
      <c r="G191" s="1664">
        <v>0</v>
      </c>
      <c r="H191" s="1575"/>
      <c r="I191" s="1575"/>
      <c r="J191" s="1575"/>
      <c r="K191" s="1575"/>
    </row>
    <row r="192" spans="1:11" ht="12.75" customHeight="1" x14ac:dyDescent="0.2">
      <c r="A192" s="427" t="s">
        <v>1038</v>
      </c>
      <c r="B192" s="429">
        <v>4215</v>
      </c>
      <c r="C192" s="1632">
        <v>1734</v>
      </c>
      <c r="D192" s="1575"/>
      <c r="E192" s="1640"/>
      <c r="F192" s="1575"/>
      <c r="G192" s="1664">
        <v>0</v>
      </c>
      <c r="H192" s="1575"/>
      <c r="I192" s="1575"/>
      <c r="J192" s="1575"/>
      <c r="K192" s="1575"/>
    </row>
    <row r="193" spans="1:11" ht="12.75" customHeight="1" x14ac:dyDescent="0.2">
      <c r="A193" s="427" t="s">
        <v>1050</v>
      </c>
      <c r="B193" s="429">
        <v>4220</v>
      </c>
      <c r="C193" s="1632">
        <v>86751</v>
      </c>
      <c r="D193" s="1575"/>
      <c r="E193" s="1640"/>
      <c r="F193" s="1575"/>
      <c r="G193" s="1664">
        <v>0</v>
      </c>
      <c r="H193" s="1575"/>
      <c r="I193" s="1575"/>
      <c r="J193" s="1575"/>
      <c r="K193" s="1575"/>
    </row>
    <row r="194" spans="1:11" ht="12.75" customHeight="1" x14ac:dyDescent="0.2">
      <c r="A194" s="427" t="s">
        <v>1434</v>
      </c>
      <c r="B194" s="429">
        <v>4225</v>
      </c>
      <c r="C194" s="1632">
        <v>114986</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476645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396612</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113734</v>
      </c>
      <c r="D203" s="1573">
        <v>0</v>
      </c>
      <c r="E203" s="1575"/>
      <c r="F203" s="1573">
        <v>0</v>
      </c>
      <c r="G203" s="1573">
        <v>0</v>
      </c>
      <c r="H203" s="1575"/>
      <c r="I203" s="1575"/>
      <c r="J203" s="1575"/>
      <c r="K203" s="1575"/>
    </row>
    <row r="204" spans="1:11" ht="12.75" customHeight="1" thickBot="1" x14ac:dyDescent="0.25">
      <c r="A204" s="1406" t="s">
        <v>397</v>
      </c>
      <c r="B204" s="1407"/>
      <c r="C204" s="1633">
        <f>SUM(C200:C203)</f>
        <v>510346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48271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199098</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247369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56613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1894</v>
      </c>
      <c r="B261" s="429">
        <v>4981</v>
      </c>
      <c r="C261" s="1650">
        <v>0</v>
      </c>
      <c r="D261" s="1651">
        <v>0</v>
      </c>
      <c r="E261" s="1575"/>
      <c r="F261" s="1651">
        <v>0</v>
      </c>
      <c r="G261" s="1651">
        <v>0</v>
      </c>
      <c r="H261" s="1575"/>
      <c r="I261" s="1575"/>
      <c r="J261" s="1575"/>
      <c r="K261" s="1575"/>
    </row>
    <row r="262" spans="1:11" ht="12.75" customHeight="1" thickTop="1" thickBot="1" x14ac:dyDescent="0.25">
      <c r="A262" s="1540" t="s">
        <v>1895</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32750</v>
      </c>
      <c r="D263" s="1651">
        <v>0</v>
      </c>
      <c r="E263" s="1575"/>
      <c r="F263" s="1651">
        <v>0</v>
      </c>
      <c r="G263" s="1651">
        <v>0</v>
      </c>
      <c r="H263" s="1575"/>
      <c r="I263" s="1575"/>
      <c r="J263" s="1575"/>
      <c r="K263" s="1575"/>
    </row>
    <row r="264" spans="1:11" ht="12.75" customHeight="1" thickTop="1" thickBot="1" x14ac:dyDescent="0.25">
      <c r="A264" s="427" t="s">
        <v>374</v>
      </c>
      <c r="B264" s="429">
        <v>4992</v>
      </c>
      <c r="C264" s="1650">
        <v>93207</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1416930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1416930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14979108</v>
      </c>
      <c r="D268" s="1641">
        <f t="shared" si="12"/>
        <v>1681536</v>
      </c>
      <c r="E268" s="1641">
        <f t="shared" si="12"/>
        <v>1265606</v>
      </c>
      <c r="F268" s="1641">
        <f t="shared" si="12"/>
        <v>1972832</v>
      </c>
      <c r="G268" s="1641">
        <f t="shared" si="12"/>
        <v>848272</v>
      </c>
      <c r="H268" s="1641">
        <f t="shared" si="12"/>
        <v>403949</v>
      </c>
      <c r="I268" s="1641">
        <f t="shared" si="12"/>
        <v>144076</v>
      </c>
      <c r="J268" s="1641">
        <f t="shared" si="12"/>
        <v>121606</v>
      </c>
      <c r="K268" s="1629">
        <f t="shared" si="12"/>
        <v>382532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O53" sqref="O53"/>
      <selection pane="bottomLeft" activeCell="A3" sqref="A3:B3"/>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352"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8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899999999999999" customHeight="1" x14ac:dyDescent="0.2">
      <c r="A3" s="2392" t="s">
        <v>294</v>
      </c>
      <c r="B3" s="239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4045335</v>
      </c>
      <c r="D5" s="1573">
        <v>1326117</v>
      </c>
      <c r="E5" s="1573">
        <v>36120</v>
      </c>
      <c r="F5" s="1573">
        <v>201904</v>
      </c>
      <c r="G5" s="1573">
        <v>0</v>
      </c>
      <c r="H5" s="1573">
        <v>61265</v>
      </c>
      <c r="I5" s="1574">
        <v>0</v>
      </c>
      <c r="J5" s="1574">
        <v>2762</v>
      </c>
      <c r="K5" s="1672">
        <f>SUM(C5:J5)</f>
        <v>5673503</v>
      </c>
      <c r="L5" s="1573">
        <v>6182383</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1798652</v>
      </c>
      <c r="D8" s="1573">
        <v>549224</v>
      </c>
      <c r="E8" s="1573">
        <v>18682</v>
      </c>
      <c r="F8" s="1573">
        <v>45541</v>
      </c>
      <c r="G8" s="1573">
        <v>1101</v>
      </c>
      <c r="H8" s="1573">
        <v>480</v>
      </c>
      <c r="I8" s="1574">
        <v>0</v>
      </c>
      <c r="J8" s="1574">
        <v>0</v>
      </c>
      <c r="K8" s="1672">
        <f t="shared" si="0"/>
        <v>2413680</v>
      </c>
      <c r="L8" s="1573">
        <v>2581940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245817</v>
      </c>
      <c r="D10" s="1573">
        <v>164972</v>
      </c>
      <c r="E10" s="1573">
        <v>37132</v>
      </c>
      <c r="F10" s="1573">
        <v>86070</v>
      </c>
      <c r="G10" s="1573">
        <v>2198</v>
      </c>
      <c r="H10" s="1573">
        <v>0</v>
      </c>
      <c r="I10" s="1574">
        <v>0</v>
      </c>
      <c r="J10" s="1574">
        <v>0</v>
      </c>
      <c r="K10" s="1672">
        <f t="shared" si="0"/>
        <v>536189</v>
      </c>
      <c r="L10" s="1573">
        <v>615205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1497</v>
      </c>
      <c r="G13" s="1573">
        <v>0</v>
      </c>
      <c r="H13" s="1573">
        <v>0</v>
      </c>
      <c r="I13" s="1574">
        <v>0</v>
      </c>
      <c r="J13" s="1574">
        <v>0</v>
      </c>
      <c r="K13" s="1672">
        <f t="shared" si="0"/>
        <v>1497</v>
      </c>
      <c r="L13" s="1573">
        <v>1750</v>
      </c>
    </row>
    <row r="14" spans="1:14" x14ac:dyDescent="0.2">
      <c r="A14" s="1274" t="s">
        <v>957</v>
      </c>
      <c r="B14" s="503">
        <v>1500</v>
      </c>
      <c r="C14" s="1573">
        <v>165899</v>
      </c>
      <c r="D14" s="1573">
        <v>45400</v>
      </c>
      <c r="E14" s="1573">
        <v>10004</v>
      </c>
      <c r="F14" s="1573">
        <v>8179</v>
      </c>
      <c r="G14" s="1573">
        <v>3401</v>
      </c>
      <c r="H14" s="1573">
        <v>6250</v>
      </c>
      <c r="I14" s="1574">
        <v>0</v>
      </c>
      <c r="J14" s="1574">
        <v>0</v>
      </c>
      <c r="K14" s="1672">
        <f t="shared" si="0"/>
        <v>239133</v>
      </c>
      <c r="L14" s="1573">
        <v>252680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42102</v>
      </c>
      <c r="D16" s="1573">
        <v>18812</v>
      </c>
      <c r="E16" s="1573">
        <v>0</v>
      </c>
      <c r="F16" s="1573">
        <v>0</v>
      </c>
      <c r="G16" s="1573">
        <v>0</v>
      </c>
      <c r="H16" s="1573">
        <v>0</v>
      </c>
      <c r="I16" s="1574">
        <v>0</v>
      </c>
      <c r="J16" s="1574">
        <v>0</v>
      </c>
      <c r="K16" s="1672">
        <f t="shared" si="0"/>
        <v>60914</v>
      </c>
      <c r="L16" s="1573">
        <v>61032</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18924</v>
      </c>
      <c r="D18" s="1573">
        <v>0</v>
      </c>
      <c r="E18" s="1573">
        <v>164</v>
      </c>
      <c r="F18" s="1573">
        <v>0</v>
      </c>
      <c r="G18" s="1573">
        <v>0</v>
      </c>
      <c r="H18" s="1573">
        <v>0</v>
      </c>
      <c r="I18" s="1574">
        <v>0</v>
      </c>
      <c r="J18" s="1574">
        <v>0</v>
      </c>
      <c r="K18" s="1672">
        <f t="shared" si="0"/>
        <v>19088</v>
      </c>
      <c r="L18" s="1573">
        <v>20600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385083</v>
      </c>
      <c r="I22" s="1673"/>
      <c r="J22" s="1582"/>
      <c r="K22" s="1672">
        <f t="shared" si="0"/>
        <v>385083</v>
      </c>
      <c r="L22" s="1577">
        <v>450000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6316729</v>
      </c>
      <c r="D33" s="1674">
        <f t="shared" ref="D33:L33" si="1">SUM(D5:D32)</f>
        <v>2104525</v>
      </c>
      <c r="E33" s="1674">
        <f t="shared" si="1"/>
        <v>102102</v>
      </c>
      <c r="F33" s="1674">
        <f t="shared" si="1"/>
        <v>343191</v>
      </c>
      <c r="G33" s="1674">
        <f t="shared" si="1"/>
        <v>6700</v>
      </c>
      <c r="H33" s="1674">
        <f t="shared" si="1"/>
        <v>453078</v>
      </c>
      <c r="I33" s="1674">
        <f t="shared" si="1"/>
        <v>0</v>
      </c>
      <c r="J33" s="1674">
        <f t="shared" si="1"/>
        <v>2762</v>
      </c>
      <c r="K33" s="1674">
        <f t="shared" si="1"/>
        <v>9329087</v>
      </c>
      <c r="L33" s="1674">
        <f t="shared" si="1"/>
        <v>10165590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172117</v>
      </c>
      <c r="D36" s="1586">
        <v>61675</v>
      </c>
      <c r="E36" s="1586">
        <v>441</v>
      </c>
      <c r="F36" s="1586">
        <v>623</v>
      </c>
      <c r="G36" s="1586">
        <v>0</v>
      </c>
      <c r="H36" s="1586">
        <v>0</v>
      </c>
      <c r="I36" s="1574">
        <v>0</v>
      </c>
      <c r="J36" s="1574">
        <v>0</v>
      </c>
      <c r="K36" s="1672">
        <f t="shared" ref="K36:K41" si="2">SUM(C36:J36)</f>
        <v>234856</v>
      </c>
      <c r="L36" s="1573">
        <v>236675</v>
      </c>
    </row>
    <row r="37" spans="1:14" x14ac:dyDescent="0.2">
      <c r="A37" s="1274" t="s">
        <v>1081</v>
      </c>
      <c r="B37" s="503">
        <v>2120</v>
      </c>
      <c r="C37" s="1573">
        <v>80599</v>
      </c>
      <c r="D37" s="1573">
        <v>34781</v>
      </c>
      <c r="E37" s="1573">
        <v>43788</v>
      </c>
      <c r="F37" s="1573">
        <v>0</v>
      </c>
      <c r="G37" s="1573">
        <v>0</v>
      </c>
      <c r="H37" s="1573">
        <v>0</v>
      </c>
      <c r="I37" s="1574">
        <v>0</v>
      </c>
      <c r="J37" s="1574">
        <v>0</v>
      </c>
      <c r="K37" s="1672">
        <f t="shared" si="2"/>
        <v>159168</v>
      </c>
      <c r="L37" s="1573">
        <v>198568</v>
      </c>
    </row>
    <row r="38" spans="1:14" x14ac:dyDescent="0.2">
      <c r="A38" s="1274" t="s">
        <v>196</v>
      </c>
      <c r="B38" s="503">
        <v>2130</v>
      </c>
      <c r="C38" s="1573">
        <v>0</v>
      </c>
      <c r="D38" s="1573">
        <v>0</v>
      </c>
      <c r="E38" s="1573">
        <v>168083</v>
      </c>
      <c r="F38" s="1573">
        <v>6557</v>
      </c>
      <c r="G38" s="1573">
        <v>0</v>
      </c>
      <c r="H38" s="1573">
        <v>0</v>
      </c>
      <c r="I38" s="1573">
        <v>0</v>
      </c>
      <c r="J38" s="1573">
        <v>0</v>
      </c>
      <c r="K38" s="1672">
        <f t="shared" si="2"/>
        <v>174640</v>
      </c>
      <c r="L38" s="1573">
        <v>177600</v>
      </c>
    </row>
    <row r="39" spans="1:14" x14ac:dyDescent="0.2">
      <c r="A39" s="1274" t="s">
        <v>197</v>
      </c>
      <c r="B39" s="503">
        <v>2140</v>
      </c>
      <c r="C39" s="1573">
        <v>45806</v>
      </c>
      <c r="D39" s="1573">
        <v>15364</v>
      </c>
      <c r="E39" s="1573">
        <v>778</v>
      </c>
      <c r="F39" s="1573">
        <v>608</v>
      </c>
      <c r="G39" s="1573">
        <v>0</v>
      </c>
      <c r="H39" s="1573">
        <v>0</v>
      </c>
      <c r="I39" s="1574">
        <v>0</v>
      </c>
      <c r="J39" s="1574">
        <v>0</v>
      </c>
      <c r="K39" s="1672">
        <f t="shared" si="2"/>
        <v>62556</v>
      </c>
      <c r="L39" s="1573">
        <v>64993</v>
      </c>
    </row>
    <row r="40" spans="1:14" x14ac:dyDescent="0.2">
      <c r="A40" s="1274" t="s">
        <v>198</v>
      </c>
      <c r="B40" s="503">
        <v>2150</v>
      </c>
      <c r="C40" s="1573">
        <v>202299</v>
      </c>
      <c r="D40" s="1573">
        <v>44071</v>
      </c>
      <c r="E40" s="1573">
        <v>158</v>
      </c>
      <c r="F40" s="1573">
        <v>1000</v>
      </c>
      <c r="G40" s="1573">
        <v>0</v>
      </c>
      <c r="H40" s="1573">
        <v>0</v>
      </c>
      <c r="I40" s="1574">
        <v>0</v>
      </c>
      <c r="J40" s="1574">
        <v>0</v>
      </c>
      <c r="K40" s="1672">
        <f t="shared" si="2"/>
        <v>247528</v>
      </c>
      <c r="L40" s="1573">
        <v>250400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500821</v>
      </c>
      <c r="D42" s="1674">
        <f t="shared" ref="D42:L42" si="3">SUM(D36:D41)</f>
        <v>155891</v>
      </c>
      <c r="E42" s="1674">
        <f t="shared" si="3"/>
        <v>213248</v>
      </c>
      <c r="F42" s="1674">
        <f t="shared" si="3"/>
        <v>8788</v>
      </c>
      <c r="G42" s="1674">
        <f t="shared" si="3"/>
        <v>0</v>
      </c>
      <c r="H42" s="1674">
        <f t="shared" si="3"/>
        <v>0</v>
      </c>
      <c r="I42" s="1674">
        <f t="shared" si="3"/>
        <v>0</v>
      </c>
      <c r="J42" s="1674">
        <f t="shared" si="3"/>
        <v>0</v>
      </c>
      <c r="K42" s="1674">
        <f t="shared" si="3"/>
        <v>878748</v>
      </c>
      <c r="L42" s="1674">
        <f t="shared" si="3"/>
        <v>928236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3230</v>
      </c>
      <c r="D44" s="1586">
        <v>408</v>
      </c>
      <c r="E44" s="1586">
        <v>35259</v>
      </c>
      <c r="F44" s="1586">
        <v>1437</v>
      </c>
      <c r="G44" s="1586">
        <v>0</v>
      </c>
      <c r="H44" s="1586">
        <v>0</v>
      </c>
      <c r="I44" s="1574">
        <v>0</v>
      </c>
      <c r="J44" s="1574">
        <v>0</v>
      </c>
      <c r="K44" s="1678">
        <f>SUM(C44:J44)</f>
        <v>40334</v>
      </c>
      <c r="L44" s="1586">
        <v>52015</v>
      </c>
    </row>
    <row r="45" spans="1:14" x14ac:dyDescent="0.2">
      <c r="A45" s="1274" t="s">
        <v>810</v>
      </c>
      <c r="B45" s="503">
        <v>2220</v>
      </c>
      <c r="C45" s="1573">
        <v>289239</v>
      </c>
      <c r="D45" s="1573">
        <v>110874</v>
      </c>
      <c r="E45" s="1573">
        <v>7246</v>
      </c>
      <c r="F45" s="1573">
        <v>27677</v>
      </c>
      <c r="G45" s="1573">
        <v>4050</v>
      </c>
      <c r="H45" s="1573">
        <v>0</v>
      </c>
      <c r="I45" s="1574">
        <v>0</v>
      </c>
      <c r="J45" s="1574">
        <v>0</v>
      </c>
      <c r="K45" s="1678">
        <f>SUM(C45:J45)</f>
        <v>439086</v>
      </c>
      <c r="L45" s="1573">
        <v>456830</v>
      </c>
    </row>
    <row r="46" spans="1:14" x14ac:dyDescent="0.2">
      <c r="A46" s="1274" t="s">
        <v>811</v>
      </c>
      <c r="B46" s="503">
        <v>2230</v>
      </c>
      <c r="C46" s="1573">
        <v>0</v>
      </c>
      <c r="D46" s="1573">
        <v>0</v>
      </c>
      <c r="E46" s="1573">
        <v>19063</v>
      </c>
      <c r="F46" s="1573">
        <v>806</v>
      </c>
      <c r="G46" s="1573">
        <v>0</v>
      </c>
      <c r="H46" s="1573">
        <v>0</v>
      </c>
      <c r="I46" s="1574">
        <v>0</v>
      </c>
      <c r="J46" s="1574">
        <v>0</v>
      </c>
      <c r="K46" s="1678">
        <f>SUM(C46:J46)</f>
        <v>19869</v>
      </c>
      <c r="L46" s="1573">
        <v>26400</v>
      </c>
    </row>
    <row r="47" spans="1:14" ht="12.75" customHeight="1" thickBot="1" x14ac:dyDescent="0.25">
      <c r="A47" s="1380" t="s">
        <v>557</v>
      </c>
      <c r="B47" s="1381" t="s">
        <v>32</v>
      </c>
      <c r="C47" s="1674">
        <f>SUM(C44:C46)</f>
        <v>292469</v>
      </c>
      <c r="D47" s="1674">
        <f t="shared" ref="D47:K47" si="4">SUM(D44:D46)</f>
        <v>111282</v>
      </c>
      <c r="E47" s="1674">
        <f t="shared" si="4"/>
        <v>61568</v>
      </c>
      <c r="F47" s="1674">
        <f t="shared" si="4"/>
        <v>29920</v>
      </c>
      <c r="G47" s="1674">
        <f t="shared" si="4"/>
        <v>4050</v>
      </c>
      <c r="H47" s="1674">
        <f t="shared" si="4"/>
        <v>0</v>
      </c>
      <c r="I47" s="1674">
        <f t="shared" si="4"/>
        <v>0</v>
      </c>
      <c r="J47" s="1674">
        <f t="shared" si="4"/>
        <v>0</v>
      </c>
      <c r="K47" s="1674">
        <f t="shared" si="4"/>
        <v>499289</v>
      </c>
      <c r="L47" s="1674">
        <f>SUM(L44:L46)</f>
        <v>535245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5500</v>
      </c>
      <c r="D49" s="1586">
        <v>0</v>
      </c>
      <c r="E49" s="1586">
        <v>152524</v>
      </c>
      <c r="F49" s="1586">
        <v>8377</v>
      </c>
      <c r="G49" s="1586">
        <v>0</v>
      </c>
      <c r="H49" s="1586">
        <v>5671</v>
      </c>
      <c r="I49" s="1574">
        <v>0</v>
      </c>
      <c r="J49" s="1574">
        <v>0</v>
      </c>
      <c r="K49" s="1678">
        <f>SUM(C49:J49)</f>
        <v>172072</v>
      </c>
      <c r="L49" s="1586">
        <v>197680</v>
      </c>
    </row>
    <row r="50" spans="1:14" x14ac:dyDescent="0.2">
      <c r="A50" s="1274" t="s">
        <v>813</v>
      </c>
      <c r="B50" s="503">
        <v>2320</v>
      </c>
      <c r="C50" s="1574">
        <v>323332</v>
      </c>
      <c r="D50" s="1573">
        <v>113253</v>
      </c>
      <c r="E50" s="1573">
        <v>9082</v>
      </c>
      <c r="F50" s="1573">
        <v>4467</v>
      </c>
      <c r="G50" s="1573">
        <v>0</v>
      </c>
      <c r="H50" s="1573">
        <v>25842</v>
      </c>
      <c r="I50" s="1574">
        <v>0</v>
      </c>
      <c r="J50" s="1574">
        <v>0</v>
      </c>
      <c r="K50" s="1678">
        <f>SUM(C50:J50)</f>
        <v>475976</v>
      </c>
      <c r="L50" s="1573">
        <v>491216</v>
      </c>
    </row>
    <row r="51" spans="1:14" x14ac:dyDescent="0.2">
      <c r="A51" s="1274" t="s">
        <v>42</v>
      </c>
      <c r="B51" s="503">
        <v>2330</v>
      </c>
      <c r="C51" s="1573">
        <v>194627</v>
      </c>
      <c r="D51" s="1573">
        <v>95971</v>
      </c>
      <c r="E51" s="1573">
        <v>3495</v>
      </c>
      <c r="F51" s="1573">
        <v>1187</v>
      </c>
      <c r="G51" s="1573">
        <v>0</v>
      </c>
      <c r="H51" s="1573">
        <v>641</v>
      </c>
      <c r="I51" s="1574">
        <v>0</v>
      </c>
      <c r="J51" s="1574">
        <v>0</v>
      </c>
      <c r="K51" s="1678">
        <f>SUM(C51:J51)</f>
        <v>295921</v>
      </c>
      <c r="L51" s="1573">
        <v>301155</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523459</v>
      </c>
      <c r="D53" s="1674">
        <f t="shared" ref="D53:L53" si="5">SUM(D49:D52)</f>
        <v>209224</v>
      </c>
      <c r="E53" s="1674">
        <f t="shared" si="5"/>
        <v>165101</v>
      </c>
      <c r="F53" s="1674">
        <f t="shared" si="5"/>
        <v>14031</v>
      </c>
      <c r="G53" s="1674">
        <f t="shared" si="5"/>
        <v>0</v>
      </c>
      <c r="H53" s="1674">
        <f t="shared" si="5"/>
        <v>32154</v>
      </c>
      <c r="I53" s="1674">
        <f t="shared" si="5"/>
        <v>0</v>
      </c>
      <c r="J53" s="1674">
        <f t="shared" si="5"/>
        <v>0</v>
      </c>
      <c r="K53" s="1674">
        <f t="shared" si="5"/>
        <v>943969</v>
      </c>
      <c r="L53" s="1674">
        <f t="shared" si="5"/>
        <v>990051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796992</v>
      </c>
      <c r="D55" s="1586">
        <v>371405</v>
      </c>
      <c r="E55" s="1586">
        <v>3245</v>
      </c>
      <c r="F55" s="1586">
        <v>10800</v>
      </c>
      <c r="G55" s="1586">
        <v>0</v>
      </c>
      <c r="H55" s="1586">
        <v>9326</v>
      </c>
      <c r="I55" s="1574">
        <v>0</v>
      </c>
      <c r="J55" s="1574">
        <v>0</v>
      </c>
      <c r="K55" s="1678">
        <f>SUM(C55:J55)</f>
        <v>1191768</v>
      </c>
      <c r="L55" s="1586">
        <v>1216230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796992</v>
      </c>
      <c r="D57" s="1679">
        <f t="shared" ref="D57:K57" si="6">SUM(D55:D56)</f>
        <v>371405</v>
      </c>
      <c r="E57" s="1679">
        <f t="shared" si="6"/>
        <v>3245</v>
      </c>
      <c r="F57" s="1679">
        <f t="shared" si="6"/>
        <v>10800</v>
      </c>
      <c r="G57" s="1679">
        <f t="shared" si="6"/>
        <v>0</v>
      </c>
      <c r="H57" s="1679">
        <f t="shared" si="6"/>
        <v>9326</v>
      </c>
      <c r="I57" s="1679">
        <f t="shared" si="6"/>
        <v>0</v>
      </c>
      <c r="J57" s="1679">
        <f t="shared" si="6"/>
        <v>0</v>
      </c>
      <c r="K57" s="1679">
        <f t="shared" si="6"/>
        <v>1191768</v>
      </c>
      <c r="L57" s="1674">
        <f>SUM(L55:L56)</f>
        <v>1216230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116742</v>
      </c>
      <c r="D59" s="1586">
        <v>48484</v>
      </c>
      <c r="E59" s="1586">
        <v>2596</v>
      </c>
      <c r="F59" s="1586">
        <v>29</v>
      </c>
      <c r="G59" s="1586">
        <v>0</v>
      </c>
      <c r="H59" s="1586">
        <v>375</v>
      </c>
      <c r="I59" s="1574">
        <v>0</v>
      </c>
      <c r="J59" s="1574">
        <v>0</v>
      </c>
      <c r="K59" s="1678">
        <f t="shared" ref="K59:K64" si="7">SUM(C59:J59)</f>
        <v>168226</v>
      </c>
      <c r="L59" s="1586">
        <v>170810</v>
      </c>
      <c r="M59" s="501"/>
      <c r="N59" s="501"/>
    </row>
    <row r="60" spans="1:14" s="321" customFormat="1" x14ac:dyDescent="0.2">
      <c r="A60" s="1274" t="s">
        <v>460</v>
      </c>
      <c r="B60" s="503">
        <v>2520</v>
      </c>
      <c r="C60" s="1573">
        <v>140997</v>
      </c>
      <c r="D60" s="1573">
        <v>55902</v>
      </c>
      <c r="E60" s="1573">
        <v>3267</v>
      </c>
      <c r="F60" s="1573">
        <v>5015</v>
      </c>
      <c r="G60" s="1573">
        <v>0</v>
      </c>
      <c r="H60" s="1573">
        <v>4796</v>
      </c>
      <c r="I60" s="1574">
        <v>0</v>
      </c>
      <c r="J60" s="1574">
        <v>0</v>
      </c>
      <c r="K60" s="1678">
        <f t="shared" si="7"/>
        <v>209977</v>
      </c>
      <c r="L60" s="1573">
        <v>213450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271105</v>
      </c>
      <c r="D63" s="1573">
        <v>18150</v>
      </c>
      <c r="E63" s="1573">
        <v>8669</v>
      </c>
      <c r="F63" s="1573">
        <v>287917</v>
      </c>
      <c r="G63" s="1573">
        <v>0</v>
      </c>
      <c r="H63" s="1573">
        <v>474</v>
      </c>
      <c r="I63" s="1574">
        <v>0</v>
      </c>
      <c r="J63" s="1574">
        <v>0</v>
      </c>
      <c r="K63" s="1678">
        <f t="shared" si="7"/>
        <v>586315</v>
      </c>
      <c r="L63" s="1573">
        <v>658820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528844</v>
      </c>
      <c r="D65" s="1674">
        <f t="shared" ref="D65:L65" si="8">SUM(D59:D64)</f>
        <v>122536</v>
      </c>
      <c r="E65" s="1674">
        <f t="shared" si="8"/>
        <v>14532</v>
      </c>
      <c r="F65" s="1674">
        <f t="shared" si="8"/>
        <v>292961</v>
      </c>
      <c r="G65" s="1674">
        <f t="shared" si="8"/>
        <v>0</v>
      </c>
      <c r="H65" s="1674">
        <f t="shared" si="8"/>
        <v>5645</v>
      </c>
      <c r="I65" s="1674">
        <f t="shared" si="8"/>
        <v>0</v>
      </c>
      <c r="J65" s="1674">
        <f t="shared" si="8"/>
        <v>0</v>
      </c>
      <c r="K65" s="1674">
        <f t="shared" si="8"/>
        <v>964518</v>
      </c>
      <c r="L65" s="1674">
        <f t="shared" si="8"/>
        <v>1043080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104223</v>
      </c>
      <c r="D71" s="1573">
        <v>11355</v>
      </c>
      <c r="E71" s="1573">
        <v>37642</v>
      </c>
      <c r="F71" s="1573">
        <v>126136</v>
      </c>
      <c r="G71" s="1573">
        <v>29909</v>
      </c>
      <c r="H71" s="1573">
        <v>0</v>
      </c>
      <c r="I71" s="1574">
        <v>0</v>
      </c>
      <c r="J71" s="1574">
        <v>0</v>
      </c>
      <c r="K71" s="1678">
        <f>SUM(C71:J71)</f>
        <v>309265</v>
      </c>
      <c r="L71" s="1573">
        <v>415166</v>
      </c>
      <c r="M71" s="501"/>
      <c r="N71" s="501"/>
    </row>
    <row r="72" spans="1:14" s="321" customFormat="1" ht="12.75" customHeight="1" thickBot="1" x14ac:dyDescent="0.25">
      <c r="A72" s="1380" t="s">
        <v>37</v>
      </c>
      <c r="B72" s="1383" t="s">
        <v>36</v>
      </c>
      <c r="C72" s="1674">
        <f>SUM(C67:C71)</f>
        <v>104223</v>
      </c>
      <c r="D72" s="1674">
        <f t="shared" ref="D72:K72" si="9">SUM(D67:D71)</f>
        <v>11355</v>
      </c>
      <c r="E72" s="1674">
        <f t="shared" si="9"/>
        <v>37642</v>
      </c>
      <c r="F72" s="1674">
        <f t="shared" si="9"/>
        <v>126136</v>
      </c>
      <c r="G72" s="1674">
        <f t="shared" si="9"/>
        <v>29909</v>
      </c>
      <c r="H72" s="1674">
        <f t="shared" si="9"/>
        <v>0</v>
      </c>
      <c r="I72" s="1674">
        <f t="shared" si="9"/>
        <v>0</v>
      </c>
      <c r="J72" s="1674">
        <f t="shared" si="9"/>
        <v>0</v>
      </c>
      <c r="K72" s="1674">
        <f t="shared" si="9"/>
        <v>309265</v>
      </c>
      <c r="L72" s="1674">
        <f>SUM(L67:L71)</f>
        <v>415166</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2746808</v>
      </c>
      <c r="D74" s="1681">
        <f t="shared" ref="D74:K74" si="10">SUM(D42,D47,D53,D57,D65,D72,D73)</f>
        <v>981693</v>
      </c>
      <c r="E74" s="1681">
        <f t="shared" si="10"/>
        <v>495336</v>
      </c>
      <c r="F74" s="1681">
        <f t="shared" si="10"/>
        <v>482636</v>
      </c>
      <c r="G74" s="1681">
        <f t="shared" si="10"/>
        <v>33959</v>
      </c>
      <c r="H74" s="1681">
        <f t="shared" si="10"/>
        <v>47125</v>
      </c>
      <c r="I74" s="1681">
        <f t="shared" si="10"/>
        <v>0</v>
      </c>
      <c r="J74" s="1681">
        <f t="shared" si="10"/>
        <v>0</v>
      </c>
      <c r="K74" s="1681">
        <f t="shared" si="10"/>
        <v>4787557</v>
      </c>
      <c r="L74" s="1681">
        <f>SUM(L42,L47,L53,L57,L65,L72,L73)</f>
        <v>5128008</v>
      </c>
    </row>
    <row r="75" spans="1:14" s="254" customFormat="1" ht="15.75" customHeight="1" thickTop="1" thickBot="1" x14ac:dyDescent="0.25">
      <c r="A75" s="1348" t="s">
        <v>47</v>
      </c>
      <c r="B75" s="1349" t="s">
        <v>571</v>
      </c>
      <c r="C75" s="1649">
        <v>1052</v>
      </c>
      <c r="D75" s="1649">
        <v>294</v>
      </c>
      <c r="E75" s="1649">
        <v>0</v>
      </c>
      <c r="F75" s="1649">
        <v>0</v>
      </c>
      <c r="G75" s="1649">
        <v>0</v>
      </c>
      <c r="H75" s="1649">
        <v>0</v>
      </c>
      <c r="I75" s="1627">
        <v>0</v>
      </c>
      <c r="J75" s="1627">
        <v>0</v>
      </c>
      <c r="K75" s="1674">
        <f>SUM(C75:J75)</f>
        <v>1346</v>
      </c>
      <c r="L75" s="1651">
        <v>1640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24631</v>
      </c>
      <c r="F78" s="1673"/>
      <c r="G78" s="1673"/>
      <c r="H78" s="1682">
        <v>0</v>
      </c>
      <c r="I78" s="1582"/>
      <c r="J78" s="1582"/>
      <c r="K78" s="1672">
        <f t="shared" ref="K78:K83" si="11">SUM(C78:J78)</f>
        <v>24631</v>
      </c>
      <c r="L78" s="1586">
        <v>30000</v>
      </c>
    </row>
    <row r="79" spans="1:14" x14ac:dyDescent="0.2">
      <c r="A79" s="1274" t="s">
        <v>301</v>
      </c>
      <c r="B79" s="503">
        <v>4120</v>
      </c>
      <c r="C79" s="1673"/>
      <c r="D79" s="1673"/>
      <c r="E79" s="1573">
        <v>88140</v>
      </c>
      <c r="F79" s="1673"/>
      <c r="G79" s="1673"/>
      <c r="H79" s="1573">
        <v>0</v>
      </c>
      <c r="I79" s="1582"/>
      <c r="J79" s="1582"/>
      <c r="K79" s="1672">
        <f t="shared" si="11"/>
        <v>88140</v>
      </c>
      <c r="L79" s="1573">
        <v>95000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17500</v>
      </c>
    </row>
    <row r="84" spans="1:12" ht="13.5" thickBot="1" x14ac:dyDescent="0.25">
      <c r="A84" s="1380" t="s">
        <v>1468</v>
      </c>
      <c r="B84" s="1385">
        <v>4100</v>
      </c>
      <c r="C84" s="1673"/>
      <c r="D84" s="1673"/>
      <c r="E84" s="1674">
        <f>SUM(E78:E83)</f>
        <v>112771</v>
      </c>
      <c r="F84" s="1673"/>
      <c r="G84" s="1673"/>
      <c r="H84" s="1674">
        <f>SUM(H78:H83)</f>
        <v>0</v>
      </c>
      <c r="I84" s="1582"/>
      <c r="J84" s="1582"/>
      <c r="K84" s="1674">
        <f>SUM(K78:K83)</f>
        <v>112771</v>
      </c>
      <c r="L84" s="1674">
        <f>SUM(L78:L83)</f>
        <v>142500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294443</v>
      </c>
      <c r="I86" s="1582"/>
      <c r="J86" s="1582"/>
      <c r="K86" s="1681">
        <f t="shared" ref="K86:K98" si="12">H86</f>
        <v>294443</v>
      </c>
      <c r="L86" s="1626">
        <v>345000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294443</v>
      </c>
      <c r="I92" s="1582"/>
      <c r="J92" s="1582"/>
      <c r="K92" s="1681">
        <f t="shared" si="12"/>
        <v>294443</v>
      </c>
      <c r="L92" s="1674">
        <f>SUM(L85:L91)</f>
        <v>345000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112771</v>
      </c>
      <c r="F102" s="1673"/>
      <c r="G102" s="1673"/>
      <c r="H102" s="1681">
        <f>SUM(H84,H92,H100,H101)</f>
        <v>294443</v>
      </c>
      <c r="I102" s="1582"/>
      <c r="J102" s="1582"/>
      <c r="K102" s="1681">
        <f>SUM(K84,K92,K100,K101)</f>
        <v>407214</v>
      </c>
      <c r="L102" s="1681">
        <f>SUM(L84,L92,L100,L101)</f>
        <v>487500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1215</v>
      </c>
      <c r="M113" s="502"/>
      <c r="N113" s="502"/>
    </row>
    <row r="114" spans="1:14" ht="12.75" customHeight="1" thickTop="1" thickBot="1" x14ac:dyDescent="0.25">
      <c r="A114" s="1380" t="s">
        <v>48</v>
      </c>
      <c r="B114" s="1388"/>
      <c r="C114" s="1674">
        <f>SUM(C33,C74,C75,C102,C112,C113)</f>
        <v>9064589</v>
      </c>
      <c r="D114" s="1674">
        <f t="shared" ref="D114:K114" si="13">SUM(D33,D74,D75,D102,D112,D113)</f>
        <v>3086512</v>
      </c>
      <c r="E114" s="1674">
        <f t="shared" si="13"/>
        <v>710209</v>
      </c>
      <c r="F114" s="1674">
        <f t="shared" si="13"/>
        <v>825827</v>
      </c>
      <c r="G114" s="1674">
        <f t="shared" si="13"/>
        <v>40659</v>
      </c>
      <c r="H114" s="1674">
        <f>SUM(H33,H74,H75,H102,H112,H113)</f>
        <v>794646</v>
      </c>
      <c r="I114" s="1674">
        <f t="shared" si="13"/>
        <v>0</v>
      </c>
      <c r="J114" s="1674">
        <f t="shared" si="13"/>
        <v>2762</v>
      </c>
      <c r="K114" s="1674">
        <f t="shared" si="13"/>
        <v>14525204</v>
      </c>
      <c r="L114" s="1674">
        <f>SUM(L33,L74,L75,L102,L112,L113)</f>
        <v>15783953</v>
      </c>
    </row>
    <row r="115" spans="1:14" ht="13.5" thickTop="1" x14ac:dyDescent="0.2">
      <c r="A115" s="2384" t="s">
        <v>989</v>
      </c>
      <c r="B115" s="2385"/>
      <c r="C115" s="1675"/>
      <c r="D115" s="1675"/>
      <c r="E115" s="1675"/>
      <c r="F115" s="1675"/>
      <c r="G115" s="1675"/>
      <c r="H115" s="1675"/>
      <c r="I115" s="1675"/>
      <c r="J115" s="1675"/>
      <c r="K115" s="1689">
        <f>'Revenues 9-14'!C268-'Expenditures 15-22'!K114</f>
        <v>453904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899999999999999" customHeight="1" x14ac:dyDescent="0.2">
      <c r="A117" s="2389" t="s">
        <v>293</v>
      </c>
      <c r="B117" s="239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1961</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1500</v>
      </c>
    </row>
    <row r="124" spans="1:14" ht="14.25" thickTop="1" thickBot="1" x14ac:dyDescent="0.25">
      <c r="A124" s="1274" t="s">
        <v>195</v>
      </c>
      <c r="B124" s="503">
        <v>2540</v>
      </c>
      <c r="C124" s="1573">
        <v>227153</v>
      </c>
      <c r="D124" s="1573">
        <v>73508</v>
      </c>
      <c r="E124" s="1573">
        <v>785640</v>
      </c>
      <c r="F124" s="1573">
        <v>349911</v>
      </c>
      <c r="G124" s="1573">
        <v>45975</v>
      </c>
      <c r="H124" s="1573">
        <v>26976</v>
      </c>
      <c r="I124" s="1574">
        <v>0</v>
      </c>
      <c r="J124" s="1574">
        <v>0</v>
      </c>
      <c r="K124" s="1674">
        <f>SUM(C124:J124)</f>
        <v>1509163</v>
      </c>
      <c r="L124" s="1573">
        <v>1628625</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227153</v>
      </c>
      <c r="D127" s="1674">
        <f t="shared" ref="D127:L127" si="14">SUM(D122:D126)</f>
        <v>73508</v>
      </c>
      <c r="E127" s="1674">
        <f t="shared" si="14"/>
        <v>785640</v>
      </c>
      <c r="F127" s="1674">
        <f t="shared" si="14"/>
        <v>349911</v>
      </c>
      <c r="G127" s="1674">
        <f t="shared" si="14"/>
        <v>45975</v>
      </c>
      <c r="H127" s="1674">
        <f t="shared" si="14"/>
        <v>26976</v>
      </c>
      <c r="I127" s="1674">
        <f t="shared" si="14"/>
        <v>0</v>
      </c>
      <c r="J127" s="1674">
        <f t="shared" si="14"/>
        <v>0</v>
      </c>
      <c r="K127" s="1674">
        <f t="shared" si="14"/>
        <v>1509163</v>
      </c>
      <c r="L127" s="1674">
        <f t="shared" si="14"/>
        <v>1630125</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227153</v>
      </c>
      <c r="D129" s="1681">
        <f t="shared" ref="D129:L129" si="15">SUM(D120,D127,D128)</f>
        <v>73508</v>
      </c>
      <c r="E129" s="1681">
        <f t="shared" si="15"/>
        <v>785640</v>
      </c>
      <c r="F129" s="1681">
        <f t="shared" si="15"/>
        <v>349911</v>
      </c>
      <c r="G129" s="1681">
        <f t="shared" si="15"/>
        <v>45975</v>
      </c>
      <c r="H129" s="1681">
        <f t="shared" si="15"/>
        <v>26976</v>
      </c>
      <c r="I129" s="1681">
        <f t="shared" si="15"/>
        <v>0</v>
      </c>
      <c r="J129" s="1681">
        <f t="shared" si="15"/>
        <v>0</v>
      </c>
      <c r="K129" s="1681">
        <f t="shared" si="15"/>
        <v>1509163</v>
      </c>
      <c r="L129" s="1681">
        <f t="shared" si="15"/>
        <v>1630125</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1814</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401" t="s">
        <v>616</v>
      </c>
      <c r="B151" s="2381"/>
      <c r="C151" s="1674">
        <f>SUM(C129,C130,C139,C149,C150)</f>
        <v>227153</v>
      </c>
      <c r="D151" s="1674">
        <f t="shared" ref="D151:K151" si="16">SUM(D129,D130,D139,D149,D150)</f>
        <v>73508</v>
      </c>
      <c r="E151" s="1674">
        <f t="shared" si="16"/>
        <v>785640</v>
      </c>
      <c r="F151" s="1674">
        <f t="shared" si="16"/>
        <v>349911</v>
      </c>
      <c r="G151" s="1674">
        <f t="shared" si="16"/>
        <v>45975</v>
      </c>
      <c r="H151" s="1674">
        <f t="shared" si="16"/>
        <v>26976</v>
      </c>
      <c r="I151" s="1674">
        <f t="shared" si="16"/>
        <v>0</v>
      </c>
      <c r="J151" s="1674">
        <f t="shared" si="16"/>
        <v>0</v>
      </c>
      <c r="K151" s="1674">
        <f t="shared" si="16"/>
        <v>1509163</v>
      </c>
      <c r="L151" s="1674">
        <f>SUM(L129,L130,L139,L149,L150)</f>
        <v>1630125</v>
      </c>
    </row>
    <row r="152" spans="1:14" ht="12.75" customHeight="1" thickTop="1" x14ac:dyDescent="0.2">
      <c r="A152" s="2404" t="s">
        <v>1168</v>
      </c>
      <c r="B152" s="2405"/>
      <c r="C152" s="1675"/>
      <c r="D152" s="1675"/>
      <c r="E152" s="1675"/>
      <c r="F152" s="1675"/>
      <c r="G152" s="1675"/>
      <c r="H152" s="1675"/>
      <c r="I152" s="1675"/>
      <c r="J152" s="1673"/>
      <c r="K152" s="1689">
        <f>'Revenues 9-14'!D268-'Expenditures 15-22'!K151</f>
        <v>172373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899999999999999" customHeight="1" x14ac:dyDescent="0.2">
      <c r="A154" s="2389" t="s">
        <v>617</v>
      </c>
      <c r="B154" s="239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1815</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1814</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1816</v>
      </c>
      <c r="C158" s="1673"/>
      <c r="D158" s="1673"/>
      <c r="E158" s="1673"/>
      <c r="F158" s="1673"/>
      <c r="G158" s="1673"/>
      <c r="H158" s="1574">
        <v>0</v>
      </c>
      <c r="I158" s="1673"/>
      <c r="J158" s="1673"/>
      <c r="K158" s="1672">
        <f>H158</f>
        <v>0</v>
      </c>
      <c r="L158" s="1574">
        <v>0</v>
      </c>
      <c r="M158" s="505"/>
      <c r="N158" s="505"/>
    </row>
    <row r="159" spans="1:14" s="506" customFormat="1" ht="12" x14ac:dyDescent="0.2">
      <c r="A159" s="1462" t="s">
        <v>1817</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1818</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347876</v>
      </c>
      <c r="I169" s="1673"/>
      <c r="J169" s="1673"/>
      <c r="K169" s="1672">
        <f>SUM(C169:H169)</f>
        <v>347876</v>
      </c>
      <c r="L169" s="1695">
        <v>348000</v>
      </c>
    </row>
    <row r="170" spans="1:14" ht="33.75" customHeight="1" x14ac:dyDescent="0.2">
      <c r="A170" s="543" t="s">
        <v>1651</v>
      </c>
      <c r="B170" s="545" t="s">
        <v>31</v>
      </c>
      <c r="C170" s="1673"/>
      <c r="D170" s="1673"/>
      <c r="E170" s="1673"/>
      <c r="F170" s="1673"/>
      <c r="G170" s="1673"/>
      <c r="H170" s="1646">
        <v>1036487</v>
      </c>
      <c r="I170" s="1673"/>
      <c r="J170" s="1673"/>
      <c r="K170" s="1672">
        <f>SUM(C170:J170)</f>
        <v>1036487</v>
      </c>
      <c r="L170" s="1646">
        <v>1036700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1384363</v>
      </c>
      <c r="I172" s="1684"/>
      <c r="J172" s="1673"/>
      <c r="K172" s="1681">
        <f>SUM(K168,K169,K170,K171)</f>
        <v>1384363</v>
      </c>
      <c r="L172" s="1681">
        <f>SUM(L168,L169,L170,L171)</f>
        <v>1384700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1384363</v>
      </c>
      <c r="I174" s="1684"/>
      <c r="J174" s="1673"/>
      <c r="K174" s="1681">
        <f>SUM(K160,K172,K173)</f>
        <v>1384363</v>
      </c>
      <c r="L174" s="1681">
        <f>SUM(L160,L172,L173)</f>
        <v>1384700</v>
      </c>
    </row>
    <row r="175" spans="1:14" ht="13.5" thickTop="1" x14ac:dyDescent="0.2">
      <c r="A175" s="2384" t="s">
        <v>989</v>
      </c>
      <c r="B175" s="2385"/>
      <c r="C175" s="1673"/>
      <c r="D175" s="1673"/>
      <c r="E175" s="1673"/>
      <c r="F175" s="1673"/>
      <c r="G175" s="1673"/>
      <c r="H175" s="1675"/>
      <c r="I175" s="1673"/>
      <c r="J175" s="1673"/>
      <c r="K175" s="1689">
        <f>'Revenues 9-14'!E268-'Expenditures 15-22'!K174</f>
        <v>-118757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899999999999999"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1961</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878746</v>
      </c>
      <c r="D182" s="1573">
        <v>20371</v>
      </c>
      <c r="E182" s="1573">
        <v>546384</v>
      </c>
      <c r="F182" s="1573">
        <v>154018</v>
      </c>
      <c r="G182" s="1573">
        <v>116240</v>
      </c>
      <c r="H182" s="1573">
        <v>6326</v>
      </c>
      <c r="I182" s="1574">
        <v>0</v>
      </c>
      <c r="J182" s="1574">
        <v>0</v>
      </c>
      <c r="K182" s="1672">
        <f>SUM(C182:J182)</f>
        <v>1722085</v>
      </c>
      <c r="L182" s="1573">
        <v>1886440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878746</v>
      </c>
      <c r="D184" s="1681">
        <f t="shared" ref="D184:J184" si="17">SUM(D180,D182,D183)</f>
        <v>20371</v>
      </c>
      <c r="E184" s="1681">
        <f t="shared" si="17"/>
        <v>546384</v>
      </c>
      <c r="F184" s="1681">
        <f t="shared" si="17"/>
        <v>154018</v>
      </c>
      <c r="G184" s="1681">
        <f t="shared" si="17"/>
        <v>116240</v>
      </c>
      <c r="H184" s="1681">
        <f t="shared" si="17"/>
        <v>6326</v>
      </c>
      <c r="I184" s="1681">
        <f t="shared" si="17"/>
        <v>0</v>
      </c>
      <c r="J184" s="1681">
        <f t="shared" si="17"/>
        <v>0</v>
      </c>
      <c r="K184" s="1681">
        <f>SUM(K180,K182,K183)</f>
        <v>1722085</v>
      </c>
      <c r="L184" s="1681">
        <f>SUM(L180, L182:L183)</f>
        <v>1886440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878746</v>
      </c>
      <c r="D210" s="1674">
        <f>SUM(D184,D185)</f>
        <v>20371</v>
      </c>
      <c r="E210" s="1674">
        <f>SUM(E184,E185,E196)</f>
        <v>546384</v>
      </c>
      <c r="F210" s="1674">
        <f>SUM(F184,F185)</f>
        <v>154018</v>
      </c>
      <c r="G210" s="1674">
        <f>SUM(G184,G185)</f>
        <v>116240</v>
      </c>
      <c r="H210" s="1674">
        <f>SUM(H184,H185,H196,H208,H209)</f>
        <v>6326</v>
      </c>
      <c r="I210" s="1674">
        <f>SUM(I184,I185)</f>
        <v>0</v>
      </c>
      <c r="J210" s="1674">
        <f>SUM(J184,J185)</f>
        <v>0</v>
      </c>
      <c r="K210" s="1672">
        <f>SUM(K184,K185,K196,K208,K209)</f>
        <v>1722085</v>
      </c>
      <c r="L210" s="1674">
        <f>SUM(L184,L185,L196,L208,L209)</f>
        <v>1886440</v>
      </c>
    </row>
    <row r="211" spans="1:14" ht="13.5" thickTop="1" x14ac:dyDescent="0.2">
      <c r="A211" s="2384" t="s">
        <v>989</v>
      </c>
      <c r="B211" s="2385"/>
      <c r="C211" s="1675"/>
      <c r="D211" s="1675"/>
      <c r="E211" s="1675"/>
      <c r="F211" s="1675"/>
      <c r="G211" s="1675"/>
      <c r="H211" s="1675"/>
      <c r="I211" s="1673"/>
      <c r="J211" s="1673"/>
      <c r="K211" s="1689">
        <f>'Revenues 9-14'!F268-'Expenditures 15-22'!K210</f>
        <v>250747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899999999999999" customHeight="1" x14ac:dyDescent="0.2">
      <c r="A213" s="2406" t="s">
        <v>959</v>
      </c>
      <c r="B213" s="240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65062</v>
      </c>
      <c r="E215" s="1673"/>
      <c r="F215" s="1673"/>
      <c r="G215" s="1673"/>
      <c r="H215" s="1673"/>
      <c r="I215" s="1673"/>
      <c r="J215" s="1673"/>
      <c r="K215" s="1672">
        <f>D215</f>
        <v>65062</v>
      </c>
      <c r="L215" s="1573">
        <v>73800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136296</v>
      </c>
      <c r="E217" s="1673"/>
      <c r="F217" s="1673"/>
      <c r="G217" s="1673"/>
      <c r="H217" s="1673"/>
      <c r="I217" s="1673"/>
      <c r="J217" s="1673"/>
      <c r="K217" s="1672">
        <f t="shared" si="19"/>
        <v>136296</v>
      </c>
      <c r="L217" s="1573">
        <v>146290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7229</v>
      </c>
      <c r="E219" s="1673"/>
      <c r="F219" s="1673"/>
      <c r="G219" s="1673"/>
      <c r="H219" s="1673"/>
      <c r="I219" s="1673"/>
      <c r="J219" s="1673"/>
      <c r="K219" s="1672">
        <f t="shared" si="19"/>
        <v>7229</v>
      </c>
      <c r="L219" s="1573">
        <v>8500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4720</v>
      </c>
      <c r="E223" s="1673"/>
      <c r="F223" s="1673"/>
      <c r="G223" s="1673"/>
      <c r="H223" s="1673"/>
      <c r="I223" s="1673"/>
      <c r="J223" s="1673"/>
      <c r="K223" s="1672">
        <f t="shared" si="19"/>
        <v>4720</v>
      </c>
      <c r="L223" s="1573">
        <v>5450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536</v>
      </c>
      <c r="E225" s="1673"/>
      <c r="F225" s="1673"/>
      <c r="G225" s="1673"/>
      <c r="H225" s="1673"/>
      <c r="I225" s="1673"/>
      <c r="J225" s="1673"/>
      <c r="K225" s="1672">
        <f t="shared" si="19"/>
        <v>536</v>
      </c>
      <c r="L225" s="1573">
        <v>820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274</v>
      </c>
      <c r="E227" s="1673"/>
      <c r="F227" s="1673"/>
      <c r="G227" s="1673"/>
      <c r="H227" s="1673"/>
      <c r="I227" s="1673"/>
      <c r="J227" s="1673"/>
      <c r="K227" s="1672">
        <f t="shared" si="19"/>
        <v>274</v>
      </c>
      <c r="L227" s="1573">
        <v>400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214117</v>
      </c>
      <c r="E229" s="1673"/>
      <c r="F229" s="1673"/>
      <c r="G229" s="1673"/>
      <c r="H229" s="1673"/>
      <c r="I229" s="1673"/>
      <c r="J229" s="1673"/>
      <c r="K229" s="1674">
        <f>SUM(K215:K228)</f>
        <v>214117</v>
      </c>
      <c r="L229" s="1674">
        <f>SUM(L215:L228)</f>
        <v>235260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2389</v>
      </c>
      <c r="E232" s="1673"/>
      <c r="F232" s="1673"/>
      <c r="G232" s="1673"/>
      <c r="H232" s="1673"/>
      <c r="I232" s="1673"/>
      <c r="J232" s="1673"/>
      <c r="K232" s="1672">
        <f t="shared" ref="K232:K237" si="20">D232</f>
        <v>2389</v>
      </c>
      <c r="L232" s="1573">
        <v>2800</v>
      </c>
    </row>
    <row r="233" spans="1:12" x14ac:dyDescent="0.2">
      <c r="A233" s="1274" t="s">
        <v>1081</v>
      </c>
      <c r="B233" s="503">
        <v>2120</v>
      </c>
      <c r="C233" s="1673"/>
      <c r="D233" s="1573">
        <v>1091</v>
      </c>
      <c r="E233" s="1673"/>
      <c r="F233" s="1673"/>
      <c r="G233" s="1673"/>
      <c r="H233" s="1673"/>
      <c r="I233" s="1673"/>
      <c r="J233" s="1673"/>
      <c r="K233" s="1672">
        <f t="shared" si="20"/>
        <v>1091</v>
      </c>
      <c r="L233" s="1573">
        <v>1450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642</v>
      </c>
      <c r="E235" s="1673"/>
      <c r="F235" s="1673"/>
      <c r="G235" s="1673"/>
      <c r="H235" s="1673"/>
      <c r="I235" s="1673"/>
      <c r="J235" s="1673"/>
      <c r="K235" s="1672">
        <f t="shared" si="20"/>
        <v>642</v>
      </c>
      <c r="L235" s="1573">
        <v>850</v>
      </c>
    </row>
    <row r="236" spans="1:12" x14ac:dyDescent="0.2">
      <c r="A236" s="1274" t="s">
        <v>198</v>
      </c>
      <c r="B236" s="503">
        <v>2150</v>
      </c>
      <c r="C236" s="1673"/>
      <c r="D236" s="1573">
        <v>2894</v>
      </c>
      <c r="E236" s="1673"/>
      <c r="F236" s="1673"/>
      <c r="G236" s="1673"/>
      <c r="H236" s="1673"/>
      <c r="I236" s="1673"/>
      <c r="J236" s="1673"/>
      <c r="K236" s="1672">
        <f t="shared" si="20"/>
        <v>2894</v>
      </c>
      <c r="L236" s="1573">
        <v>3500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7016</v>
      </c>
      <c r="E238" s="1673"/>
      <c r="F238" s="1673"/>
      <c r="G238" s="1673"/>
      <c r="H238" s="1673"/>
      <c r="I238" s="1673"/>
      <c r="J238" s="1673"/>
      <c r="K238" s="1674">
        <f>SUM(K232:K237)</f>
        <v>7016</v>
      </c>
      <c r="L238" s="1674">
        <f>SUM(L232:L237)</f>
        <v>8600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43</v>
      </c>
      <c r="E240" s="1673"/>
      <c r="F240" s="1673"/>
      <c r="G240" s="1673"/>
      <c r="H240" s="1673"/>
      <c r="I240" s="1673"/>
      <c r="J240" s="1673"/>
      <c r="K240" s="1678">
        <f>D240</f>
        <v>43</v>
      </c>
      <c r="L240" s="1586">
        <v>700</v>
      </c>
    </row>
    <row r="241" spans="1:12" x14ac:dyDescent="0.2">
      <c r="A241" s="1274" t="s">
        <v>810</v>
      </c>
      <c r="B241" s="503">
        <v>2220</v>
      </c>
      <c r="C241" s="1673"/>
      <c r="D241" s="1573">
        <v>37940</v>
      </c>
      <c r="E241" s="1673"/>
      <c r="F241" s="1673"/>
      <c r="G241" s="1673"/>
      <c r="H241" s="1673"/>
      <c r="I241" s="1673"/>
      <c r="J241" s="1673"/>
      <c r="K241" s="1678">
        <f>D241</f>
        <v>37940</v>
      </c>
      <c r="L241" s="1573">
        <v>42750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37983</v>
      </c>
      <c r="E243" s="1673"/>
      <c r="F243" s="1673"/>
      <c r="G243" s="1673"/>
      <c r="H243" s="1673"/>
      <c r="I243" s="1673"/>
      <c r="J243" s="1673"/>
      <c r="K243" s="1674">
        <f>SUM(K240:K242)</f>
        <v>37983</v>
      </c>
      <c r="L243" s="1674">
        <f>SUM(L240:L242)</f>
        <v>43450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788</v>
      </c>
      <c r="E245" s="1673"/>
      <c r="F245" s="1673"/>
      <c r="G245" s="1673"/>
      <c r="H245" s="1673"/>
      <c r="I245" s="1673"/>
      <c r="J245" s="1673"/>
      <c r="K245" s="1678">
        <f>D245</f>
        <v>788</v>
      </c>
      <c r="L245" s="1586">
        <v>1000</v>
      </c>
    </row>
    <row r="246" spans="1:12" x14ac:dyDescent="0.2">
      <c r="A246" s="1274" t="s">
        <v>813</v>
      </c>
      <c r="B246" s="503">
        <v>2320</v>
      </c>
      <c r="C246" s="1673"/>
      <c r="D246" s="1573">
        <v>14362</v>
      </c>
      <c r="E246" s="1673"/>
      <c r="F246" s="1673"/>
      <c r="G246" s="1673"/>
      <c r="H246" s="1673"/>
      <c r="I246" s="1673"/>
      <c r="J246" s="1673"/>
      <c r="K246" s="1678">
        <f t="shared" ref="K246:K256" si="21">D246</f>
        <v>14362</v>
      </c>
      <c r="L246" s="1573">
        <v>15994</v>
      </c>
    </row>
    <row r="247" spans="1:12" x14ac:dyDescent="0.2">
      <c r="A247" s="1274" t="s">
        <v>814</v>
      </c>
      <c r="B247" s="503">
        <v>2330</v>
      </c>
      <c r="C247" s="1673"/>
      <c r="D247" s="1573">
        <v>11063</v>
      </c>
      <c r="E247" s="1673"/>
      <c r="F247" s="1673"/>
      <c r="G247" s="1673"/>
      <c r="H247" s="1673"/>
      <c r="I247" s="1673"/>
      <c r="J247" s="1673"/>
      <c r="K247" s="1678">
        <f t="shared" si="21"/>
        <v>11063</v>
      </c>
      <c r="L247" s="1573">
        <v>12200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1780</v>
      </c>
      <c r="B249" s="557" t="s">
        <v>280</v>
      </c>
      <c r="C249" s="1673"/>
      <c r="D249" s="1579">
        <v>0</v>
      </c>
      <c r="E249" s="1673"/>
      <c r="F249" s="1673"/>
      <c r="G249" s="1673"/>
      <c r="H249" s="1673"/>
      <c r="I249" s="1673"/>
      <c r="J249" s="1673"/>
      <c r="K249" s="1678">
        <f t="shared" si="21"/>
        <v>0</v>
      </c>
      <c r="L249" s="1573">
        <v>0</v>
      </c>
    </row>
    <row r="250" spans="1:12" x14ac:dyDescent="0.2">
      <c r="A250" s="1275" t="s">
        <v>1781</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26213</v>
      </c>
      <c r="E257" s="1673"/>
      <c r="F257" s="1673"/>
      <c r="G257" s="1673"/>
      <c r="H257" s="1673"/>
      <c r="I257" s="1673"/>
      <c r="J257" s="1673"/>
      <c r="K257" s="1674">
        <f>SUM(K245:K256)</f>
        <v>26213</v>
      </c>
      <c r="L257" s="1674">
        <f>SUM(L245:L256)</f>
        <v>29194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52714</v>
      </c>
      <c r="E259" s="1673"/>
      <c r="F259" s="1673"/>
      <c r="G259" s="1673"/>
      <c r="H259" s="1673"/>
      <c r="I259" s="1673"/>
      <c r="J259" s="1673"/>
      <c r="K259" s="1678">
        <f>D259</f>
        <v>52714</v>
      </c>
      <c r="L259" s="1586">
        <v>54900</v>
      </c>
    </row>
    <row r="260" spans="1:14" s="493" customFormat="1" x14ac:dyDescent="0.2">
      <c r="A260" s="1292" t="s">
        <v>1779</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52714</v>
      </c>
      <c r="E261" s="1673"/>
      <c r="F261" s="1673"/>
      <c r="G261" s="1673"/>
      <c r="H261" s="1673"/>
      <c r="I261" s="1673"/>
      <c r="J261" s="1673"/>
      <c r="K261" s="1674">
        <f>SUM(K259:K260)</f>
        <v>52714</v>
      </c>
      <c r="L261" s="1674">
        <f>SUM(L259:L260)</f>
        <v>54900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1693</v>
      </c>
      <c r="E263" s="1673"/>
      <c r="F263" s="1673"/>
      <c r="G263" s="1673"/>
      <c r="H263" s="1673"/>
      <c r="I263" s="1673"/>
      <c r="J263" s="1673"/>
      <c r="K263" s="1678">
        <f>D263</f>
        <v>1693</v>
      </c>
      <c r="L263" s="1586">
        <v>2000</v>
      </c>
    </row>
    <row r="264" spans="1:14" x14ac:dyDescent="0.2">
      <c r="A264" s="1274" t="s">
        <v>460</v>
      </c>
      <c r="B264" s="559">
        <v>2520</v>
      </c>
      <c r="C264" s="1673"/>
      <c r="D264" s="1573">
        <v>29995</v>
      </c>
      <c r="E264" s="1673"/>
      <c r="F264" s="1673"/>
      <c r="G264" s="1673"/>
      <c r="H264" s="1673"/>
      <c r="I264" s="1673"/>
      <c r="J264" s="1673"/>
      <c r="K264" s="1678">
        <f t="shared" ref="K264:K269" si="22">D264</f>
        <v>29995</v>
      </c>
      <c r="L264" s="1573">
        <v>30950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47978</v>
      </c>
      <c r="E266" s="1673"/>
      <c r="F266" s="1673"/>
      <c r="G266" s="1673"/>
      <c r="H266" s="1673"/>
      <c r="I266" s="1673"/>
      <c r="J266" s="1673"/>
      <c r="K266" s="1678">
        <f t="shared" si="22"/>
        <v>47978</v>
      </c>
      <c r="L266" s="1573">
        <v>52900</v>
      </c>
    </row>
    <row r="267" spans="1:14" x14ac:dyDescent="0.2">
      <c r="A267" s="1274" t="s">
        <v>947</v>
      </c>
      <c r="B267" s="503">
        <v>2550</v>
      </c>
      <c r="C267" s="1673"/>
      <c r="D267" s="1573">
        <v>189919</v>
      </c>
      <c r="E267" s="1673"/>
      <c r="F267" s="1673"/>
      <c r="G267" s="1673"/>
      <c r="H267" s="1673"/>
      <c r="I267" s="1673"/>
      <c r="J267" s="1673"/>
      <c r="K267" s="1678">
        <f t="shared" si="22"/>
        <v>189919</v>
      </c>
      <c r="L267" s="1573">
        <v>194000</v>
      </c>
    </row>
    <row r="268" spans="1:14" x14ac:dyDescent="0.2">
      <c r="A268" s="1274" t="s">
        <v>100</v>
      </c>
      <c r="B268" s="503">
        <v>2560</v>
      </c>
      <c r="C268" s="1673"/>
      <c r="D268" s="1573">
        <v>53513</v>
      </c>
      <c r="E268" s="1673"/>
      <c r="F268" s="1673"/>
      <c r="G268" s="1673"/>
      <c r="H268" s="1673"/>
      <c r="I268" s="1673"/>
      <c r="J268" s="1673"/>
      <c r="K268" s="1678">
        <f t="shared" si="22"/>
        <v>53513</v>
      </c>
      <c r="L268" s="1573">
        <v>58500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323098</v>
      </c>
      <c r="E270" s="1673"/>
      <c r="F270" s="1673"/>
      <c r="G270" s="1673"/>
      <c r="H270" s="1673"/>
      <c r="I270" s="1673"/>
      <c r="J270" s="1673"/>
      <c r="K270" s="1674">
        <f>SUM(K263:K269)</f>
        <v>323098</v>
      </c>
      <c r="L270" s="1674">
        <f>SUM(L263:L269)</f>
        <v>338350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22694</v>
      </c>
      <c r="E276" s="1673"/>
      <c r="F276" s="1673"/>
      <c r="G276" s="1673"/>
      <c r="H276" s="1673"/>
      <c r="I276" s="1673"/>
      <c r="J276" s="1673"/>
      <c r="K276" s="1678">
        <f>D276</f>
        <v>22694</v>
      </c>
      <c r="L276" s="1573">
        <v>24200</v>
      </c>
    </row>
    <row r="277" spans="1:12" ht="12.75" customHeight="1" thickBot="1" x14ac:dyDescent="0.25">
      <c r="A277" s="1393" t="s">
        <v>37</v>
      </c>
      <c r="B277" s="1381" t="s">
        <v>36</v>
      </c>
      <c r="C277" s="1673"/>
      <c r="D277" s="1674">
        <f>SUM(D272:D276)</f>
        <v>22694</v>
      </c>
      <c r="E277" s="1673"/>
      <c r="F277" s="1673"/>
      <c r="G277" s="1673"/>
      <c r="H277" s="1673"/>
      <c r="I277" s="1673"/>
      <c r="J277" s="1673"/>
      <c r="K277" s="1674">
        <f>SUM(K272:K276)</f>
        <v>22694</v>
      </c>
      <c r="L277" s="1674">
        <f>SUM(L272:L276)</f>
        <v>24200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469718</v>
      </c>
      <c r="E279" s="1673"/>
      <c r="F279" s="1673"/>
      <c r="G279" s="1673"/>
      <c r="H279" s="1673"/>
      <c r="I279" s="1673"/>
      <c r="J279" s="1673"/>
      <c r="K279" s="1681">
        <f>SUM(K238,K243,K257,K261,K270,K277,K278)</f>
        <v>469718</v>
      </c>
      <c r="L279" s="1681">
        <f>SUM(L238,L243,L257,L261,L270,L277,L278)</f>
        <v>498694</v>
      </c>
    </row>
    <row r="280" spans="1:12" ht="15.75" customHeight="1" thickTop="1" thickBot="1" x14ac:dyDescent="0.25">
      <c r="A280" s="1362" t="s">
        <v>870</v>
      </c>
      <c r="B280" s="1351">
        <v>3000</v>
      </c>
      <c r="C280" s="1673"/>
      <c r="D280" s="1651">
        <v>15</v>
      </c>
      <c r="E280" s="1673"/>
      <c r="F280" s="1673"/>
      <c r="G280" s="1673"/>
      <c r="H280" s="1673"/>
      <c r="I280" s="1673"/>
      <c r="J280" s="1673"/>
      <c r="K280" s="1687">
        <f>D280</f>
        <v>15</v>
      </c>
      <c r="L280" s="1651">
        <v>40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1814</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402" t="s">
        <v>502</v>
      </c>
      <c r="B295" s="2403"/>
      <c r="C295" s="1673"/>
      <c r="D295" s="1674">
        <f>SUM(D229,D279,D280,D285)</f>
        <v>683850</v>
      </c>
      <c r="E295" s="1673"/>
      <c r="F295" s="1673"/>
      <c r="G295" s="1673"/>
      <c r="H295" s="1674">
        <f>H293</f>
        <v>0</v>
      </c>
      <c r="I295" s="1673"/>
      <c r="J295" s="1673"/>
      <c r="K295" s="1674">
        <f>SUM(K229,K279,K280,K285,K293,K294)</f>
        <v>683850</v>
      </c>
      <c r="L295" s="1674">
        <f>SUM(L229,L279,L280,L285,L293,L294)</f>
        <v>733994</v>
      </c>
    </row>
    <row r="296" spans="1:14" ht="13.5" thickTop="1" x14ac:dyDescent="0.2">
      <c r="A296" s="2384" t="s">
        <v>989</v>
      </c>
      <c r="B296" s="2385"/>
      <c r="C296" s="1673"/>
      <c r="D296" s="1675"/>
      <c r="E296" s="1673"/>
      <c r="F296" s="1673"/>
      <c r="G296" s="1673"/>
      <c r="H296" s="1707"/>
      <c r="I296" s="1673"/>
      <c r="J296" s="1673"/>
      <c r="K296" s="1689">
        <f>'Revenues 9-14'!G268-'Expenditures 15-22'!K295</f>
        <v>164422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899999999999999" customHeight="1" x14ac:dyDescent="0.2">
      <c r="A298" s="2394" t="s">
        <v>142</v>
      </c>
      <c r="B298" s="238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18058</v>
      </c>
      <c r="F301" s="1573">
        <v>0</v>
      </c>
      <c r="G301" s="1573">
        <v>633715</v>
      </c>
      <c r="H301" s="1573">
        <v>0</v>
      </c>
      <c r="I301" s="1574">
        <v>0</v>
      </c>
      <c r="J301" s="1574">
        <v>0</v>
      </c>
      <c r="K301" s="1672">
        <f>SUM(C301:J301)</f>
        <v>651773</v>
      </c>
      <c r="L301" s="1574">
        <v>1505000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18058</v>
      </c>
      <c r="F303" s="1681">
        <f t="shared" si="23"/>
        <v>0</v>
      </c>
      <c r="G303" s="1681">
        <f t="shared" si="23"/>
        <v>633715</v>
      </c>
      <c r="H303" s="1681">
        <f t="shared" si="23"/>
        <v>0</v>
      </c>
      <c r="I303" s="1681">
        <f t="shared" si="23"/>
        <v>0</v>
      </c>
      <c r="J303" s="1681">
        <f t="shared" si="23"/>
        <v>0</v>
      </c>
      <c r="K303" s="1681">
        <f t="shared" si="23"/>
        <v>651773</v>
      </c>
      <c r="L303" s="1681">
        <f t="shared" si="23"/>
        <v>1505000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1819</v>
      </c>
      <c r="B306" s="562" t="s">
        <v>1814</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99" t="s">
        <v>275</v>
      </c>
      <c r="B312" s="2400"/>
      <c r="C312" s="1674">
        <f>SUM(C303)</f>
        <v>0</v>
      </c>
      <c r="D312" s="1674">
        <f>SUM(D303)</f>
        <v>0</v>
      </c>
      <c r="E312" s="1674">
        <f>SUM(E303,E310)</f>
        <v>18058</v>
      </c>
      <c r="F312" s="1674">
        <f>SUM(F303)</f>
        <v>0</v>
      </c>
      <c r="G312" s="1674">
        <f>SUM(G303)</f>
        <v>633715</v>
      </c>
      <c r="H312" s="1674">
        <f>SUM(H303,H310)</f>
        <v>0</v>
      </c>
      <c r="I312" s="1674">
        <f>SUM(I303)</f>
        <v>0</v>
      </c>
      <c r="J312" s="1674">
        <f>SUM(J303)</f>
        <v>0</v>
      </c>
      <c r="K312" s="1674">
        <f>SUM(K303,K310,K311)</f>
        <v>651773</v>
      </c>
      <c r="L312" s="1674">
        <f>SUM(L303,L310,L311)</f>
        <v>1505000</v>
      </c>
      <c r="M312" s="539"/>
      <c r="N312" s="539"/>
    </row>
    <row r="313" spans="1:14" ht="13.5" thickTop="1" x14ac:dyDescent="0.2">
      <c r="A313" s="2395" t="s">
        <v>989</v>
      </c>
      <c r="B313" s="2396"/>
      <c r="C313" s="1677"/>
      <c r="D313" s="1677"/>
      <c r="E313" s="1677"/>
      <c r="F313" s="1677"/>
      <c r="G313" s="1677"/>
      <c r="H313" s="1677"/>
      <c r="I313" s="1677"/>
      <c r="J313" s="1677"/>
      <c r="K313" s="1696">
        <f>'Revenues 9-14'!H268-'Expenditures 15-22'!K312</f>
        <v>-247824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899999999999999" customHeight="1" x14ac:dyDescent="0.2">
      <c r="A315" s="2408" t="s">
        <v>148</v>
      </c>
      <c r="B315" s="240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899999999999999" customHeight="1" x14ac:dyDescent="0.2">
      <c r="A317" s="2410" t="s">
        <v>892</v>
      </c>
      <c r="B317" s="240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1780</v>
      </c>
      <c r="B320" s="568" t="s">
        <v>280</v>
      </c>
      <c r="C320" s="1574">
        <v>0</v>
      </c>
      <c r="D320" s="1574">
        <v>0</v>
      </c>
      <c r="E320" s="1574">
        <v>43727</v>
      </c>
      <c r="F320" s="1574">
        <v>0</v>
      </c>
      <c r="G320" s="1574">
        <v>0</v>
      </c>
      <c r="H320" s="1574">
        <v>0</v>
      </c>
      <c r="I320" s="1574">
        <v>0</v>
      </c>
      <c r="J320" s="1574">
        <v>0</v>
      </c>
      <c r="K320" s="1672">
        <f t="shared" ref="K320:K327" si="24">SUM(C320:J320)</f>
        <v>43727</v>
      </c>
      <c r="L320" s="1574">
        <v>110000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43727</v>
      </c>
      <c r="F330" s="1674">
        <f t="shared" si="25"/>
        <v>0</v>
      </c>
      <c r="G330" s="1674">
        <f t="shared" si="25"/>
        <v>0</v>
      </c>
      <c r="H330" s="1674">
        <f t="shared" si="25"/>
        <v>0</v>
      </c>
      <c r="I330" s="1674">
        <f t="shared" si="25"/>
        <v>0</v>
      </c>
      <c r="J330" s="1674">
        <f t="shared" si="25"/>
        <v>0</v>
      </c>
      <c r="K330" s="1674">
        <f>SUM(K319:K329)</f>
        <v>43727</v>
      </c>
      <c r="L330" s="1674">
        <f>SUM(L319:L329)</f>
        <v>110000</v>
      </c>
      <c r="M330" s="539"/>
      <c r="N330" s="539"/>
    </row>
    <row r="331" spans="1:14" s="548" customFormat="1" ht="12.75" customHeight="1" thickTop="1" x14ac:dyDescent="0.2">
      <c r="A331" s="1467" t="s">
        <v>1820</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1814</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1816</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1821</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43727</v>
      </c>
      <c r="F342" s="1674">
        <f>SUM(F330)</f>
        <v>0</v>
      </c>
      <c r="G342" s="1674">
        <f>SUM(G330)</f>
        <v>0</v>
      </c>
      <c r="H342" s="1674">
        <f>SUM(H330,H334,H340)</f>
        <v>0</v>
      </c>
      <c r="I342" s="1674">
        <f>SUM(I330)</f>
        <v>0</v>
      </c>
      <c r="J342" s="1674">
        <f>SUM(J330)</f>
        <v>0</v>
      </c>
      <c r="K342" s="1674">
        <f>SUM(K330,K334,K340)</f>
        <v>43727</v>
      </c>
      <c r="L342" s="1681">
        <f>SUM(L330,L334,L340,L341)</f>
        <v>110000</v>
      </c>
    </row>
    <row r="343" spans="1:14" ht="12.75" customHeight="1" thickTop="1" x14ac:dyDescent="0.2">
      <c r="A343" s="2397" t="s">
        <v>989</v>
      </c>
      <c r="B343" s="2398"/>
      <c r="C343" s="1673"/>
      <c r="D343" s="1673"/>
      <c r="E343" s="1673"/>
      <c r="F343" s="1673"/>
      <c r="G343" s="1673"/>
      <c r="H343" s="1673"/>
      <c r="I343" s="1673"/>
      <c r="J343" s="1673"/>
      <c r="K343" s="1689">
        <f>'Revenues 9-14'!J268-'Expenditures 15-22'!K342</f>
        <v>77879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899999999999999" customHeight="1" x14ac:dyDescent="0.2">
      <c r="A345" s="2387" t="s">
        <v>960</v>
      </c>
      <c r="B345" s="238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19200</v>
      </c>
      <c r="F349" s="1573">
        <v>0</v>
      </c>
      <c r="G349" s="1573">
        <v>11250</v>
      </c>
      <c r="H349" s="1573">
        <v>0</v>
      </c>
      <c r="I349" s="1574">
        <v>0</v>
      </c>
      <c r="J349" s="1574">
        <v>0</v>
      </c>
      <c r="K349" s="1672">
        <f>SUM(C349:J349)</f>
        <v>30450</v>
      </c>
      <c r="L349" s="1573">
        <v>630000</v>
      </c>
    </row>
    <row r="350" spans="1:14" ht="12.75" customHeight="1" thickBot="1" x14ac:dyDescent="0.25">
      <c r="A350" s="1380" t="s">
        <v>714</v>
      </c>
      <c r="B350" s="1381" t="s">
        <v>35</v>
      </c>
      <c r="C350" s="1674">
        <f>SUM(C348:C349)</f>
        <v>0</v>
      </c>
      <c r="D350" s="1674">
        <f t="shared" ref="D350:L350" si="26">SUM(D348:D349)</f>
        <v>0</v>
      </c>
      <c r="E350" s="1674">
        <f t="shared" si="26"/>
        <v>19200</v>
      </c>
      <c r="F350" s="1674">
        <f t="shared" si="26"/>
        <v>0</v>
      </c>
      <c r="G350" s="1674">
        <f t="shared" si="26"/>
        <v>11250</v>
      </c>
      <c r="H350" s="1674">
        <f t="shared" si="26"/>
        <v>0</v>
      </c>
      <c r="I350" s="1674">
        <f t="shared" si="26"/>
        <v>0</v>
      </c>
      <c r="J350" s="1674">
        <f t="shared" si="26"/>
        <v>0</v>
      </c>
      <c r="K350" s="1674">
        <f t="shared" si="26"/>
        <v>30450</v>
      </c>
      <c r="L350" s="1674">
        <f t="shared" si="26"/>
        <v>630000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19200</v>
      </c>
      <c r="F352" s="1674">
        <f t="shared" si="27"/>
        <v>0</v>
      </c>
      <c r="G352" s="1674">
        <f t="shared" si="27"/>
        <v>11250</v>
      </c>
      <c r="H352" s="1674">
        <f t="shared" si="27"/>
        <v>0</v>
      </c>
      <c r="I352" s="1674">
        <f t="shared" si="27"/>
        <v>0</v>
      </c>
      <c r="J352" s="1674">
        <f t="shared" si="27"/>
        <v>0</v>
      </c>
      <c r="K352" s="1674">
        <f t="shared" si="27"/>
        <v>30450</v>
      </c>
      <c r="L352" s="1674">
        <f t="shared" si="27"/>
        <v>630000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1822</v>
      </c>
      <c r="B354" s="557" t="s">
        <v>1814</v>
      </c>
      <c r="C354" s="1673"/>
      <c r="D354" s="1673"/>
      <c r="E354" s="1673"/>
      <c r="F354" s="1673"/>
      <c r="G354" s="1673"/>
      <c r="H354" s="1579">
        <v>0</v>
      </c>
      <c r="I354" s="1716"/>
      <c r="J354" s="1673"/>
      <c r="K354" s="1713">
        <f>H354</f>
        <v>0</v>
      </c>
      <c r="L354" s="1577">
        <v>0</v>
      </c>
    </row>
    <row r="355" spans="1:14" ht="12.75" customHeight="1" x14ac:dyDescent="0.2">
      <c r="A355" s="1283" t="s">
        <v>1823</v>
      </c>
      <c r="B355" s="562" t="s">
        <v>1816</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19200</v>
      </c>
      <c r="F367" s="1674">
        <f t="shared" si="28"/>
        <v>0</v>
      </c>
      <c r="G367" s="1674">
        <f t="shared" si="28"/>
        <v>11250</v>
      </c>
      <c r="H367" s="1674">
        <f t="shared" si="28"/>
        <v>0</v>
      </c>
      <c r="I367" s="1674">
        <f t="shared" si="28"/>
        <v>0</v>
      </c>
      <c r="J367" s="1674">
        <f t="shared" si="28"/>
        <v>0</v>
      </c>
      <c r="K367" s="1674">
        <f t="shared" si="28"/>
        <v>30450</v>
      </c>
      <c r="L367" s="1674">
        <f t="shared" si="28"/>
        <v>630000</v>
      </c>
    </row>
    <row r="368" spans="1:14" ht="13.5" thickTop="1" x14ac:dyDescent="0.2">
      <c r="A368" s="2384" t="s">
        <v>989</v>
      </c>
      <c r="B368" s="2385"/>
      <c r="C368" s="1694"/>
      <c r="D368" s="1694"/>
      <c r="E368" s="1677"/>
      <c r="F368" s="1677"/>
      <c r="G368" s="1677"/>
      <c r="H368" s="1677"/>
      <c r="I368" s="1677"/>
      <c r="J368" s="1676"/>
      <c r="K368" s="1672">
        <f>'Revenues 9-14'!K268-'Expenditures 15-22'!K367</f>
        <v>352082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12" t="s">
        <v>104</v>
      </c>
      <c r="B1" s="307"/>
      <c r="C1" s="307"/>
      <c r="D1" s="307"/>
      <c r="E1" s="307"/>
    </row>
    <row r="2" spans="1:8" ht="39.75" customHeight="1" x14ac:dyDescent="0.2">
      <c r="A2" s="2411" t="s">
        <v>1777</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412"/>
      <c r="B3" s="1294"/>
      <c r="C3" s="1295"/>
      <c r="D3" s="1296" t="s">
        <v>254</v>
      </c>
      <c r="E3" s="1295"/>
      <c r="F3" s="1296" t="s">
        <v>255</v>
      </c>
    </row>
    <row r="4" spans="1:8" ht="13.9" customHeight="1" x14ac:dyDescent="0.2">
      <c r="A4" s="579" t="s">
        <v>1145</v>
      </c>
      <c r="B4" s="1721">
        <f>'Revenues 9-14'!C5</f>
        <v>8398265</v>
      </c>
      <c r="C4" s="1722"/>
      <c r="D4" s="1723">
        <f>B4-C4</f>
        <v>8398265</v>
      </c>
      <c r="E4" s="1722">
        <v>9092150</v>
      </c>
      <c r="F4" s="1723">
        <f>E4-C4</f>
        <v>9092150</v>
      </c>
    </row>
    <row r="5" spans="1:8" ht="13.9" customHeight="1" x14ac:dyDescent="0.2">
      <c r="A5" s="579" t="s">
        <v>865</v>
      </c>
      <c r="B5" s="1724">
        <f>'Revenues 9-14'!D5</f>
        <v>1374318</v>
      </c>
      <c r="C5" s="1664"/>
      <c r="D5" s="1725">
        <f t="shared" ref="D5:D18" si="0">B5-C5</f>
        <v>1374318</v>
      </c>
      <c r="E5" s="1664">
        <v>1415471</v>
      </c>
      <c r="F5" s="1725">
        <f>E5-C5</f>
        <v>1415471</v>
      </c>
    </row>
    <row r="6" spans="1:8" ht="13.9" customHeight="1" x14ac:dyDescent="0.2">
      <c r="A6" s="579" t="s">
        <v>408</v>
      </c>
      <c r="B6" s="1724">
        <f>'Revenues 9-14'!E5</f>
        <v>713912</v>
      </c>
      <c r="C6" s="1664"/>
      <c r="D6" s="1725">
        <f t="shared" si="0"/>
        <v>713912</v>
      </c>
      <c r="E6" s="1664">
        <v>727212</v>
      </c>
      <c r="F6" s="1725">
        <f t="shared" ref="F6:F18" si="1">E6-C6</f>
        <v>727212</v>
      </c>
    </row>
    <row r="7" spans="1:8" ht="13.9" customHeight="1" x14ac:dyDescent="0.2">
      <c r="A7" s="579" t="s">
        <v>154</v>
      </c>
      <c r="B7" s="1724">
        <f>'Revenues 9-14'!F5</f>
        <v>927692</v>
      </c>
      <c r="C7" s="1664"/>
      <c r="D7" s="1725">
        <f t="shared" si="0"/>
        <v>927692</v>
      </c>
      <c r="E7" s="1664">
        <v>666875</v>
      </c>
      <c r="F7" s="1725">
        <f t="shared" si="1"/>
        <v>666875</v>
      </c>
    </row>
    <row r="8" spans="1:8" ht="13.9" customHeight="1" x14ac:dyDescent="0.2">
      <c r="A8" s="579" t="s">
        <v>1169</v>
      </c>
      <c r="B8" s="1724">
        <f>'Revenues 9-14'!G5</f>
        <v>294466</v>
      </c>
      <c r="C8" s="1664"/>
      <c r="D8" s="1725">
        <f t="shared" si="0"/>
        <v>294466</v>
      </c>
      <c r="E8" s="1664">
        <v>303345</v>
      </c>
      <c r="F8" s="1725">
        <f t="shared" si="1"/>
        <v>303345</v>
      </c>
    </row>
    <row r="9" spans="1:8" ht="13.9" customHeight="1" x14ac:dyDescent="0.2">
      <c r="A9" s="579" t="s">
        <v>405</v>
      </c>
      <c r="B9" s="1724">
        <f>'Revenues 9-14'!H5</f>
        <v>0</v>
      </c>
      <c r="C9" s="1664"/>
      <c r="D9" s="1725">
        <f t="shared" si="0"/>
        <v>0</v>
      </c>
      <c r="E9" s="1664">
        <v>0</v>
      </c>
      <c r="F9" s="1725">
        <f t="shared" si="1"/>
        <v>0</v>
      </c>
    </row>
    <row r="10" spans="1:8" ht="13.9" customHeight="1" x14ac:dyDescent="0.2">
      <c r="A10" s="579" t="s">
        <v>404</v>
      </c>
      <c r="B10" s="1724">
        <f>'Revenues 9-14'!I5</f>
        <v>81505</v>
      </c>
      <c r="C10" s="1664"/>
      <c r="D10" s="1725">
        <f t="shared" si="0"/>
        <v>81505</v>
      </c>
      <c r="E10" s="1664">
        <v>83988</v>
      </c>
      <c r="F10" s="1725">
        <f t="shared" si="1"/>
        <v>83988</v>
      </c>
    </row>
    <row r="11" spans="1:8" x14ac:dyDescent="0.2">
      <c r="A11" s="579" t="s">
        <v>406</v>
      </c>
      <c r="B11" s="1724">
        <f>'Revenues 9-14'!J5</f>
        <v>117805</v>
      </c>
      <c r="C11" s="1664"/>
      <c r="D11" s="1725">
        <f t="shared" si="0"/>
        <v>117805</v>
      </c>
      <c r="E11" s="1664">
        <v>121353</v>
      </c>
      <c r="F11" s="1725">
        <f t="shared" si="1"/>
        <v>121353</v>
      </c>
    </row>
    <row r="12" spans="1:8" ht="13.9" customHeight="1" x14ac:dyDescent="0.2">
      <c r="A12" s="579" t="s">
        <v>156</v>
      </c>
      <c r="B12" s="1724">
        <f>'Revenues 9-14'!K5</f>
        <v>363222</v>
      </c>
      <c r="C12" s="1664"/>
      <c r="D12" s="1725">
        <f t="shared" si="0"/>
        <v>363222</v>
      </c>
      <c r="E12" s="1664">
        <v>365722</v>
      </c>
      <c r="F12" s="1725">
        <f t="shared" si="1"/>
        <v>365722</v>
      </c>
    </row>
    <row r="13" spans="1:8" ht="13.9" customHeight="1" x14ac:dyDescent="0.2">
      <c r="A13" s="579" t="s">
        <v>930</v>
      </c>
      <c r="B13" s="1724">
        <f>SUM('Revenues 9-14'!C6:D6)</f>
        <v>71663</v>
      </c>
      <c r="C13" s="1664"/>
      <c r="D13" s="1725">
        <f t="shared" si="0"/>
        <v>71663</v>
      </c>
      <c r="E13" s="1664">
        <v>73824</v>
      </c>
      <c r="F13" s="1725">
        <f t="shared" si="1"/>
        <v>73824</v>
      </c>
    </row>
    <row r="14" spans="1:8" ht="13.9" customHeight="1" x14ac:dyDescent="0.2">
      <c r="A14" s="579" t="s">
        <v>407</v>
      </c>
      <c r="B14" s="1724">
        <f>SUM('Revenues 9-14'!C7:D7,'Revenues 9-14'!F7:H7)</f>
        <v>116832</v>
      </c>
      <c r="C14" s="1664"/>
      <c r="D14" s="1725">
        <f t="shared" si="0"/>
        <v>116832</v>
      </c>
      <c r="E14" s="1664">
        <v>120371</v>
      </c>
      <c r="F14" s="1725">
        <f t="shared" si="1"/>
        <v>120371</v>
      </c>
    </row>
    <row r="15" spans="1:8" ht="13.9" customHeight="1" x14ac:dyDescent="0.2">
      <c r="A15" s="579" t="s">
        <v>1148</v>
      </c>
      <c r="B15" s="1724">
        <f>SUM('Revenues 9-14'!D9:E9,'Revenues 9-14'!H9)</f>
        <v>0</v>
      </c>
      <c r="C15" s="1664"/>
      <c r="D15" s="1725">
        <f t="shared" si="0"/>
        <v>0</v>
      </c>
      <c r="E15" s="1664">
        <v>0</v>
      </c>
      <c r="F15" s="1725">
        <f t="shared" si="1"/>
        <v>0</v>
      </c>
    </row>
    <row r="16" spans="1:8" ht="13.9" customHeight="1" x14ac:dyDescent="0.2">
      <c r="A16" s="579" t="s">
        <v>1149</v>
      </c>
      <c r="B16" s="1724">
        <f>'Revenues 9-14'!G8</f>
        <v>294512</v>
      </c>
      <c r="C16" s="1664"/>
      <c r="D16" s="1725">
        <f t="shared" si="0"/>
        <v>294512</v>
      </c>
      <c r="E16" s="1664">
        <v>303345</v>
      </c>
      <c r="F16" s="1725">
        <f t="shared" si="1"/>
        <v>303345</v>
      </c>
    </row>
    <row r="17" spans="1:6" ht="13.9" customHeight="1" x14ac:dyDescent="0.2">
      <c r="A17" s="579" t="s">
        <v>1150</v>
      </c>
      <c r="B17" s="1724">
        <f>'Revenues 9-14'!C10</f>
        <v>0</v>
      </c>
      <c r="C17" s="1664"/>
      <c r="D17" s="1725">
        <f t="shared" si="0"/>
        <v>0</v>
      </c>
      <c r="E17" s="1664">
        <v>0</v>
      </c>
      <c r="F17" s="1725">
        <f t="shared" si="1"/>
        <v>0</v>
      </c>
    </row>
    <row r="18" spans="1:6" ht="13.9" customHeight="1" x14ac:dyDescent="0.2">
      <c r="A18" s="579" t="s">
        <v>757</v>
      </c>
      <c r="B18" s="1724">
        <f>SUM('Revenues 9-14'!C11:K11)</f>
        <v>0</v>
      </c>
      <c r="C18" s="1664"/>
      <c r="D18" s="1725">
        <f t="shared" si="0"/>
        <v>0</v>
      </c>
      <c r="E18" s="1664">
        <v>0</v>
      </c>
      <c r="F18" s="1725">
        <f t="shared" si="1"/>
        <v>0</v>
      </c>
    </row>
    <row r="19" spans="1:6" ht="13.9" customHeight="1" thickBot="1" x14ac:dyDescent="0.25">
      <c r="A19" s="1432" t="s">
        <v>1151</v>
      </c>
      <c r="B19" s="1726">
        <f>SUM(B4:B18)</f>
        <v>12754192</v>
      </c>
      <c r="C19" s="1726">
        <f>SUM(C4:C18)</f>
        <v>0</v>
      </c>
      <c r="D19" s="1726">
        <f>SUM(D4:D18)</f>
        <v>12754192</v>
      </c>
      <c r="E19" s="1726">
        <f>SUM(E4:E18)</f>
        <v>13273656</v>
      </c>
      <c r="F19" s="1726">
        <f>SUM(F4:F18)</f>
        <v>13273656</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433" t="s">
        <v>625</v>
      </c>
      <c r="B1" s="2431"/>
      <c r="C1" s="585"/>
    </row>
    <row r="2" spans="1:7" ht="33.75" x14ac:dyDescent="0.2">
      <c r="A2" s="2438" t="s">
        <v>1777</v>
      </c>
      <c r="B2" s="243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40" t="s">
        <v>1104</v>
      </c>
      <c r="B3" s="2441"/>
      <c r="C3" s="2434"/>
      <c r="D3" s="2435"/>
      <c r="E3" s="2435"/>
      <c r="F3" s="2436"/>
    </row>
    <row r="4" spans="1:7" ht="12.75" customHeight="1" thickBot="1" x14ac:dyDescent="0.25">
      <c r="A4" s="2428" t="s">
        <v>626</v>
      </c>
      <c r="B4" s="2429"/>
      <c r="C4" s="1656"/>
      <c r="D4" s="1656"/>
      <c r="E4" s="1656"/>
      <c r="F4" s="1732">
        <f>SUM(C4+D4)-E4</f>
        <v>0</v>
      </c>
    </row>
    <row r="5" spans="1:7" ht="15.75" customHeight="1" thickTop="1" x14ac:dyDescent="0.2">
      <c r="A5" s="2432" t="s">
        <v>1101</v>
      </c>
      <c r="B5" s="2427"/>
      <c r="C5" s="2421"/>
      <c r="D5" s="2422"/>
      <c r="E5" s="2422"/>
      <c r="F5" s="24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424" t="s">
        <v>627</v>
      </c>
      <c r="B15" s="2425"/>
      <c r="C15" s="1732">
        <f>SUM(C6:C14)</f>
        <v>0</v>
      </c>
      <c r="D15" s="1732">
        <f>SUM(D6:D14)</f>
        <v>0</v>
      </c>
      <c r="E15" s="1732">
        <f>SUM(E6:E14)</f>
        <v>0</v>
      </c>
      <c r="F15" s="1732">
        <f>SUM(F6:F14)</f>
        <v>0</v>
      </c>
      <c r="G15" s="473"/>
    </row>
    <row r="16" spans="1:7" s="197" customFormat="1" ht="15.75" customHeight="1" thickTop="1" x14ac:dyDescent="0.2">
      <c r="A16" s="2437" t="s">
        <v>1102</v>
      </c>
      <c r="B16" s="2427"/>
      <c r="C16" s="2421"/>
      <c r="D16" s="2422"/>
      <c r="E16" s="2422"/>
      <c r="F16" s="2423"/>
    </row>
    <row r="17" spans="1:11" ht="12.75" customHeight="1" thickBot="1" x14ac:dyDescent="0.25">
      <c r="A17" s="2419" t="s">
        <v>64</v>
      </c>
      <c r="B17" s="2420"/>
      <c r="C17" s="1733"/>
      <c r="D17" s="1664"/>
      <c r="E17" s="1733"/>
      <c r="F17" s="1732">
        <f>SUM(C17+D17)-E17</f>
        <v>0</v>
      </c>
    </row>
    <row r="18" spans="1:11" ht="12.75" customHeight="1" thickTop="1" thickBot="1" x14ac:dyDescent="0.25">
      <c r="A18" s="2419" t="s">
        <v>6</v>
      </c>
      <c r="B18" s="2420"/>
      <c r="C18" s="1733"/>
      <c r="D18" s="1664"/>
      <c r="E18" s="1733"/>
      <c r="F18" s="1732">
        <f>SUM(C18+D18)-E18</f>
        <v>0</v>
      </c>
    </row>
    <row r="19" spans="1:11" ht="12.75" customHeight="1" thickTop="1" thickBot="1" x14ac:dyDescent="0.25">
      <c r="A19" s="2419" t="s">
        <v>385</v>
      </c>
      <c r="B19" s="2420"/>
      <c r="C19" s="1733"/>
      <c r="D19" s="1664"/>
      <c r="E19" s="1733"/>
      <c r="F19" s="1732">
        <f>SUM(C19+D19)-E19</f>
        <v>0</v>
      </c>
    </row>
    <row r="20" spans="1:11" ht="12.75" customHeight="1" thickTop="1" thickBot="1" x14ac:dyDescent="0.25">
      <c r="A20" s="2419" t="s">
        <v>445</v>
      </c>
      <c r="B20" s="2420"/>
      <c r="C20" s="1733"/>
      <c r="D20" s="1664"/>
      <c r="E20" s="1733"/>
      <c r="F20" s="1732">
        <f>SUM(C20+D20)-E20</f>
        <v>0</v>
      </c>
    </row>
    <row r="21" spans="1:11" ht="14.25" thickTop="1" thickBot="1" x14ac:dyDescent="0.25">
      <c r="A21" s="2424" t="s">
        <v>628</v>
      </c>
      <c r="B21" s="2425"/>
      <c r="C21" s="1732">
        <f>SUM(C17:C20)</f>
        <v>0</v>
      </c>
      <c r="D21" s="1732">
        <f>SUM(D17:D20)</f>
        <v>0</v>
      </c>
      <c r="E21" s="1732">
        <f>SUM(E17:E20)</f>
        <v>0</v>
      </c>
      <c r="F21" s="1732">
        <f>SUM(F17:F20)</f>
        <v>0</v>
      </c>
      <c r="G21" s="473"/>
    </row>
    <row r="22" spans="1:11" ht="15.75" customHeight="1" thickTop="1" x14ac:dyDescent="0.2">
      <c r="A22" s="2426" t="s">
        <v>1103</v>
      </c>
      <c r="B22" s="2427"/>
      <c r="C22" s="2421"/>
      <c r="D22" s="2422"/>
      <c r="E22" s="2422"/>
      <c r="F22" s="2423"/>
    </row>
    <row r="23" spans="1:11" ht="13.5" thickBot="1" x14ac:dyDescent="0.25">
      <c r="A23" s="2428" t="s">
        <v>629</v>
      </c>
      <c r="B23" s="2429"/>
      <c r="C23" s="1656"/>
      <c r="D23" s="1656"/>
      <c r="E23" s="1656"/>
      <c r="F23" s="1732">
        <f>SUM(C23+D23)-E23</f>
        <v>0</v>
      </c>
      <c r="G23" s="473"/>
    </row>
    <row r="24" spans="1:11" ht="15.75" customHeight="1" thickTop="1" x14ac:dyDescent="0.2">
      <c r="A24" s="2426" t="s">
        <v>2004</v>
      </c>
      <c r="B24" s="2427"/>
      <c r="C24" s="2421"/>
      <c r="D24" s="2422"/>
      <c r="E24" s="2422"/>
      <c r="F24" s="2423"/>
    </row>
    <row r="25" spans="1:11" ht="13.5" thickBot="1" x14ac:dyDescent="0.25">
      <c r="A25" s="2428" t="s">
        <v>2005</v>
      </c>
      <c r="B25" s="2429"/>
      <c r="C25" s="1656"/>
      <c r="D25" s="1656"/>
      <c r="E25" s="1656"/>
      <c r="F25" s="1732">
        <f>SUM(C25+D25)-E25</f>
        <v>0</v>
      </c>
      <c r="G25" s="473"/>
    </row>
    <row r="26" spans="1:11" ht="15.75" customHeight="1" thickTop="1" x14ac:dyDescent="0.2">
      <c r="A26" s="2432" t="s">
        <v>652</v>
      </c>
      <c r="B26" s="2427"/>
      <c r="C26" s="589"/>
      <c r="D26" s="589"/>
      <c r="E26" s="589"/>
      <c r="F26" s="590"/>
    </row>
    <row r="27" spans="1:11" ht="13.5" thickBot="1" x14ac:dyDescent="0.25">
      <c r="A27" s="2424" t="s">
        <v>1061</v>
      </c>
      <c r="B27" s="2425"/>
      <c r="C27" s="1664"/>
      <c r="D27" s="1664"/>
      <c r="E27" s="1664"/>
      <c r="F27" s="1732">
        <f>SUM(C27+D27)-E27</f>
        <v>0</v>
      </c>
      <c r="G27" s="473"/>
    </row>
    <row r="28" spans="1:11" ht="7.5" customHeight="1" thickTop="1" x14ac:dyDescent="0.2">
      <c r="A28" s="489"/>
    </row>
    <row r="29" spans="1:11" ht="23.25" customHeight="1" x14ac:dyDescent="0.2">
      <c r="A29" s="2430" t="s">
        <v>578</v>
      </c>
      <c r="B29" s="243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1875</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2172</v>
      </c>
      <c r="B31" s="595">
        <v>42086</v>
      </c>
      <c r="C31" s="1734">
        <v>8472280</v>
      </c>
      <c r="D31" s="1735">
        <v>3</v>
      </c>
      <c r="E31" s="1734">
        <v>7082067</v>
      </c>
      <c r="F31" s="1734"/>
      <c r="G31" s="1734"/>
      <c r="H31" s="1734">
        <v>493374</v>
      </c>
      <c r="I31" s="1736">
        <f>((E31+F31)-H31)+G31</f>
        <v>6588693</v>
      </c>
      <c r="J31" s="1734">
        <f>6588693-57819</f>
        <v>6530874</v>
      </c>
      <c r="K31" s="596"/>
    </row>
    <row r="32" spans="1:11" ht="12" customHeight="1" x14ac:dyDescent="0.2">
      <c r="A32" s="594" t="s">
        <v>2173</v>
      </c>
      <c r="B32" s="595">
        <v>42690</v>
      </c>
      <c r="C32" s="1734">
        <v>5431125</v>
      </c>
      <c r="D32" s="1735">
        <v>3</v>
      </c>
      <c r="E32" s="1734">
        <v>5431125</v>
      </c>
      <c r="F32" s="1734"/>
      <c r="G32" s="1734"/>
      <c r="H32" s="1734">
        <v>543113</v>
      </c>
      <c r="I32" s="1736">
        <f>((E32+F32)-H32)+G32</f>
        <v>4888012</v>
      </c>
      <c r="J32" s="1734">
        <f>4888012-1428742</f>
        <v>3459270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13903405</v>
      </c>
      <c r="D49" s="1742"/>
      <c r="E49" s="1736">
        <f t="shared" ref="E49:J49" si="2">SUM(E31:E48)</f>
        <v>12513192</v>
      </c>
      <c r="F49" s="1736">
        <f t="shared" si="2"/>
        <v>0</v>
      </c>
      <c r="G49" s="1736">
        <f t="shared" si="2"/>
        <v>0</v>
      </c>
      <c r="H49" s="1736">
        <f t="shared" si="2"/>
        <v>1036487</v>
      </c>
      <c r="I49" s="1736">
        <f t="shared" si="2"/>
        <v>11476705</v>
      </c>
      <c r="J49" s="1736">
        <f t="shared" si="2"/>
        <v>9990144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413" t="s">
        <v>580</v>
      </c>
      <c r="C52" s="2414"/>
      <c r="D52" s="2414"/>
      <c r="E52" s="603" t="s">
        <v>840</v>
      </c>
      <c r="F52" s="2415"/>
      <c r="G52" s="2416"/>
      <c r="H52" s="596"/>
      <c r="I52" s="596"/>
      <c r="J52" s="600"/>
    </row>
    <row r="53" spans="1:11" ht="11.25" customHeight="1" x14ac:dyDescent="0.2">
      <c r="A53" s="604" t="s">
        <v>907</v>
      </c>
      <c r="B53" s="605" t="s">
        <v>945</v>
      </c>
      <c r="C53" s="600"/>
      <c r="D53" s="597"/>
      <c r="E53" s="603" t="s">
        <v>494</v>
      </c>
      <c r="F53" s="2417"/>
      <c r="G53" s="2418"/>
      <c r="H53" s="596"/>
      <c r="I53" s="596"/>
      <c r="J53" s="600"/>
    </row>
    <row r="54" spans="1:11" ht="11.25" customHeight="1" x14ac:dyDescent="0.2">
      <c r="A54" s="606" t="s">
        <v>908</v>
      </c>
      <c r="B54" s="601" t="s">
        <v>946</v>
      </c>
      <c r="C54" s="600"/>
      <c r="D54" s="597"/>
      <c r="E54" s="603" t="s">
        <v>495</v>
      </c>
      <c r="F54" s="2417"/>
      <c r="G54" s="24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442" t="s">
        <v>851</v>
      </c>
      <c r="B1" s="2443"/>
      <c r="C1" s="2443"/>
      <c r="D1" s="2443"/>
      <c r="E1" s="2443"/>
      <c r="F1" s="2443"/>
      <c r="G1" s="2444"/>
      <c r="H1" s="1298"/>
      <c r="I1" s="614"/>
      <c r="J1" s="400"/>
    </row>
    <row r="2" spans="1:11" ht="26.25" x14ac:dyDescent="0.2">
      <c r="A2" s="2461" t="s">
        <v>1658</v>
      </c>
      <c r="B2" s="2462"/>
      <c r="C2" s="2462"/>
      <c r="D2" s="2462"/>
      <c r="E2" s="2463"/>
      <c r="F2" s="615" t="s">
        <v>898</v>
      </c>
      <c r="G2" s="616" t="s">
        <v>1655</v>
      </c>
      <c r="H2" s="616" t="s">
        <v>407</v>
      </c>
      <c r="I2" s="616" t="s">
        <v>1148</v>
      </c>
      <c r="J2" s="616" t="s">
        <v>1787</v>
      </c>
      <c r="K2" s="616" t="s">
        <v>137</v>
      </c>
    </row>
    <row r="3" spans="1:11" x14ac:dyDescent="0.2">
      <c r="A3" s="2464" t="str">
        <f>"Cash Basis Fund Balance as of July 1, "&amp;'AFR20'!E2-1</f>
        <v>Cash Basis Fund Balance as of July 1, 2019</v>
      </c>
      <c r="B3" s="2465"/>
      <c r="C3" s="2465"/>
      <c r="D3" s="2465"/>
      <c r="E3" s="2466"/>
      <c r="F3" s="617"/>
      <c r="G3" s="1744"/>
      <c r="H3" s="1744"/>
      <c r="I3" s="1744"/>
      <c r="J3" s="1745"/>
      <c r="K3" s="1745"/>
    </row>
    <row r="4" spans="1:11" x14ac:dyDescent="0.2">
      <c r="A4" s="2467" t="s">
        <v>366</v>
      </c>
      <c r="B4" s="2468"/>
      <c r="C4" s="2468"/>
      <c r="D4" s="2468"/>
      <c r="E4" s="2414"/>
      <c r="F4" s="620"/>
      <c r="G4" s="1746"/>
      <c r="H4" s="1747"/>
      <c r="I4" s="1746"/>
      <c r="J4" s="1748"/>
      <c r="K4" s="1748"/>
    </row>
    <row r="5" spans="1:11" x14ac:dyDescent="0.2">
      <c r="A5" s="2445" t="s">
        <v>1060</v>
      </c>
      <c r="B5" s="2446"/>
      <c r="C5" s="2446"/>
      <c r="D5" s="2446"/>
      <c r="E5" s="2447"/>
      <c r="F5" s="622" t="s">
        <v>843</v>
      </c>
      <c r="G5" s="1749"/>
      <c r="H5" s="1744">
        <v>116998</v>
      </c>
      <c r="I5" s="1750"/>
      <c r="J5" s="1751"/>
      <c r="K5" s="1751"/>
    </row>
    <row r="6" spans="1:11" x14ac:dyDescent="0.2">
      <c r="A6" s="625" t="s">
        <v>715</v>
      </c>
      <c r="B6" s="626"/>
      <c r="C6" s="626"/>
      <c r="D6" s="626"/>
      <c r="E6" s="627"/>
      <c r="F6" s="628" t="s">
        <v>844</v>
      </c>
      <c r="G6" s="1744"/>
      <c r="H6" s="1744">
        <v>167</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445" t="s">
        <v>1788</v>
      </c>
      <c r="B10" s="2446"/>
      <c r="C10" s="2446"/>
      <c r="D10" s="2446"/>
      <c r="E10" s="2448"/>
      <c r="F10" s="633" t="s">
        <v>857</v>
      </c>
      <c r="G10" s="1753"/>
      <c r="H10" s="1754"/>
      <c r="I10" s="1744"/>
      <c r="J10" s="1745"/>
      <c r="K10" s="1745"/>
    </row>
    <row r="11" spans="1:11" x14ac:dyDescent="0.2">
      <c r="A11" s="2445" t="s">
        <v>159</v>
      </c>
      <c r="B11" s="2446"/>
      <c r="C11" s="2446"/>
      <c r="D11" s="2446"/>
      <c r="E11" s="2447"/>
      <c r="F11" s="622" t="s">
        <v>847</v>
      </c>
      <c r="G11" s="1749"/>
      <c r="H11" s="1744"/>
      <c r="I11" s="1744"/>
      <c r="J11" s="1745"/>
      <c r="K11" s="1751"/>
    </row>
    <row r="12" spans="1:11" ht="13.5" thickBot="1" x14ac:dyDescent="0.25">
      <c r="A12" s="2472" t="s">
        <v>899</v>
      </c>
      <c r="B12" s="2473"/>
      <c r="C12" s="2473"/>
      <c r="D12" s="2473"/>
      <c r="E12" s="2474"/>
      <c r="F12" s="1433"/>
      <c r="G12" s="1755">
        <f>SUM(G5:G11)</f>
        <v>0</v>
      </c>
      <c r="H12" s="1755">
        <f>SUM(H5:H11)</f>
        <v>117165</v>
      </c>
      <c r="I12" s="1755">
        <f>SUM(I5:I11)</f>
        <v>0</v>
      </c>
      <c r="J12" s="1755">
        <f>SUM(J5:J11)</f>
        <v>0</v>
      </c>
      <c r="K12" s="1755">
        <f>SUM(K5:K11)</f>
        <v>0</v>
      </c>
    </row>
    <row r="13" spans="1:11" ht="13.5" thickTop="1" x14ac:dyDescent="0.2">
      <c r="A13" s="2469" t="s">
        <v>367</v>
      </c>
      <c r="B13" s="2470"/>
      <c r="C13" s="2470"/>
      <c r="D13" s="2470"/>
      <c r="E13" s="2471"/>
      <c r="F13" s="634"/>
      <c r="G13" s="1756"/>
      <c r="H13" s="1757"/>
      <c r="I13" s="1758"/>
      <c r="J13" s="1758"/>
      <c r="K13" s="1758"/>
    </row>
    <row r="14" spans="1:11" x14ac:dyDescent="0.2">
      <c r="A14" s="2452" t="s">
        <v>453</v>
      </c>
      <c r="B14" s="2452"/>
      <c r="C14" s="2452"/>
      <c r="D14" s="2452"/>
      <c r="E14" s="2453"/>
      <c r="F14" s="635" t="s">
        <v>849</v>
      </c>
      <c r="G14" s="1753"/>
      <c r="H14" s="1744">
        <v>117165</v>
      </c>
      <c r="I14" s="1749"/>
      <c r="J14" s="1751"/>
      <c r="K14" s="1745"/>
    </row>
    <row r="15" spans="1:11" x14ac:dyDescent="0.2">
      <c r="A15" s="2446" t="s">
        <v>4</v>
      </c>
      <c r="B15" s="2446"/>
      <c r="C15" s="2446"/>
      <c r="D15" s="2446"/>
      <c r="E15" s="2447"/>
      <c r="F15" s="635" t="s">
        <v>850</v>
      </c>
      <c r="G15" s="1749"/>
      <c r="H15" s="1744"/>
      <c r="I15" s="1744"/>
      <c r="J15" s="1745"/>
      <c r="K15" s="1745"/>
    </row>
    <row r="16" spans="1:11" x14ac:dyDescent="0.2">
      <c r="A16" s="2446" t="s">
        <v>295</v>
      </c>
      <c r="B16" s="2446"/>
      <c r="C16" s="2446"/>
      <c r="D16" s="2446"/>
      <c r="E16" s="2447"/>
      <c r="F16" s="635" t="s">
        <v>917</v>
      </c>
      <c r="G16" s="1750"/>
      <c r="H16" s="1746"/>
      <c r="I16" s="1746"/>
      <c r="J16" s="1748"/>
      <c r="K16" s="1748"/>
    </row>
    <row r="17" spans="1:15" x14ac:dyDescent="0.2">
      <c r="A17" s="2479" t="s">
        <v>929</v>
      </c>
      <c r="B17" s="2479"/>
      <c r="C17" s="2479"/>
      <c r="D17" s="2479"/>
      <c r="E17" s="2480"/>
      <c r="F17" s="636"/>
      <c r="G17" s="1759"/>
      <c r="H17" s="1760"/>
      <c r="I17" s="1760"/>
      <c r="J17" s="1761"/>
      <c r="K17" s="1762"/>
    </row>
    <row r="18" spans="1:15" x14ac:dyDescent="0.2">
      <c r="A18" s="2456" t="s">
        <v>365</v>
      </c>
      <c r="B18" s="2457"/>
      <c r="C18" s="2457"/>
      <c r="D18" s="2457"/>
      <c r="E18" s="2458"/>
      <c r="F18" s="635" t="s">
        <v>926</v>
      </c>
      <c r="G18" s="1753"/>
      <c r="H18" s="1753"/>
      <c r="I18" s="1753"/>
      <c r="J18" s="1745"/>
      <c r="K18" s="1763"/>
    </row>
    <row r="19" spans="1:15" ht="21.75" customHeight="1" x14ac:dyDescent="0.2">
      <c r="A19" s="2454" t="s">
        <v>1784</v>
      </c>
      <c r="B19" s="2454"/>
      <c r="C19" s="2454"/>
      <c r="D19" s="2454"/>
      <c r="E19" s="2455"/>
      <c r="F19" s="635" t="s">
        <v>927</v>
      </c>
      <c r="G19" s="1753"/>
      <c r="H19" s="1753"/>
      <c r="I19" s="1753"/>
      <c r="J19" s="1745"/>
      <c r="K19" s="1763"/>
    </row>
    <row r="20" spans="1:15" x14ac:dyDescent="0.2">
      <c r="A20" s="2456" t="s">
        <v>1789</v>
      </c>
      <c r="B20" s="2457"/>
      <c r="C20" s="2457"/>
      <c r="D20" s="2457"/>
      <c r="E20" s="2458"/>
      <c r="F20" s="635" t="s">
        <v>928</v>
      </c>
      <c r="G20" s="1753"/>
      <c r="H20" s="1753"/>
      <c r="I20" s="1753"/>
      <c r="J20" s="1745"/>
      <c r="K20" s="1763"/>
    </row>
    <row r="21" spans="1:15" ht="13.5" thickBot="1" x14ac:dyDescent="0.25">
      <c r="A21" s="2475" t="s">
        <v>633</v>
      </c>
      <c r="B21" s="2475"/>
      <c r="C21" s="2475"/>
      <c r="D21" s="2475"/>
      <c r="E21" s="2475"/>
      <c r="F21" s="1434"/>
      <c r="G21" s="1760"/>
      <c r="H21" s="1764"/>
      <c r="I21" s="1764"/>
      <c r="J21" s="1765">
        <f>SUM(J18:J20)</f>
        <v>0</v>
      </c>
      <c r="K21" s="1761"/>
    </row>
    <row r="22" spans="1:15" ht="13.5" thickTop="1" x14ac:dyDescent="0.2">
      <c r="A22" s="2446" t="s">
        <v>1790</v>
      </c>
      <c r="B22" s="2446"/>
      <c r="C22" s="2446"/>
      <c r="D22" s="2446"/>
      <c r="E22" s="2447"/>
      <c r="F22" s="635" t="s">
        <v>857</v>
      </c>
      <c r="G22" s="1753"/>
      <c r="H22" s="1744"/>
      <c r="I22" s="1744"/>
      <c r="J22" s="1766"/>
      <c r="K22" s="1745"/>
    </row>
    <row r="23" spans="1:15" ht="13.5" thickBot="1" x14ac:dyDescent="0.25">
      <c r="A23" s="2476" t="s">
        <v>900</v>
      </c>
      <c r="B23" s="2475"/>
      <c r="C23" s="2475"/>
      <c r="D23" s="2475"/>
      <c r="E23" s="2475"/>
      <c r="F23" s="1436"/>
      <c r="G23" s="1755">
        <f>SUM(G14:G16,G21,G22)</f>
        <v>0</v>
      </c>
      <c r="H23" s="1755">
        <f>SUM(H14:H16,H21,H22)</f>
        <v>117165</v>
      </c>
      <c r="I23" s="1755">
        <f>SUM(I14:I16,I21,I22)</f>
        <v>0</v>
      </c>
      <c r="J23" s="1755">
        <f>SUM(J14:J16,J21,J22)</f>
        <v>0</v>
      </c>
      <c r="K23" s="1755">
        <f>SUM(K14:K16,K21,K22)</f>
        <v>0</v>
      </c>
      <c r="M23" s="1846"/>
      <c r="N23" s="1846"/>
      <c r="O23" s="1846"/>
    </row>
    <row r="24" spans="1:15" ht="14.25" thickTop="1" thickBot="1" x14ac:dyDescent="0.25">
      <c r="A24" s="2477" t="str">
        <f>"Ending Cash Basis Fund Balance as of June 30, "&amp;'AFR20'!E2</f>
        <v>Ending Cash Basis Fund Balance as of June 30, 2020</v>
      </c>
      <c r="B24" s="2478"/>
      <c r="C24" s="2478"/>
      <c r="D24" s="2478"/>
      <c r="E24" s="247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2049</v>
      </c>
      <c r="E30" s="648" t="s">
        <v>763</v>
      </c>
      <c r="F30" s="197"/>
      <c r="G30" s="645"/>
    </row>
    <row r="31" spans="1:15" x14ac:dyDescent="0.2">
      <c r="A31" s="649"/>
      <c r="D31" s="232"/>
      <c r="E31" s="650" t="s">
        <v>764</v>
      </c>
      <c r="F31" s="651" t="s">
        <v>536</v>
      </c>
      <c r="G31" s="618"/>
      <c r="H31" s="2449"/>
      <c r="I31" s="2450"/>
      <c r="J31" s="2450"/>
      <c r="K31" s="2450"/>
    </row>
    <row r="32" spans="1:15" x14ac:dyDescent="0.2">
      <c r="A32" s="649"/>
      <c r="B32" s="232"/>
      <c r="C32" s="232"/>
      <c r="D32" s="232"/>
      <c r="E32" s="645"/>
      <c r="F32" s="651" t="s">
        <v>537</v>
      </c>
      <c r="G32" s="618"/>
      <c r="H32" s="2451"/>
      <c r="I32" s="2450"/>
      <c r="J32" s="2450"/>
      <c r="K32" s="2450"/>
    </row>
    <row r="33" spans="1:11" ht="1.5" customHeight="1" x14ac:dyDescent="0.2">
      <c r="A33" s="652" t="s">
        <v>1159</v>
      </c>
      <c r="B33" s="341"/>
      <c r="C33" s="341"/>
      <c r="D33" s="341"/>
      <c r="E33" s="341"/>
      <c r="F33" s="341"/>
      <c r="G33" s="653"/>
      <c r="H33" s="2451"/>
      <c r="I33" s="2450"/>
      <c r="J33" s="2450"/>
      <c r="K33" s="2450"/>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46" t="s">
        <v>538</v>
      </c>
      <c r="B41" s="2459"/>
      <c r="C41" s="2459"/>
      <c r="D41" s="2459"/>
      <c r="E41" s="2459"/>
      <c r="F41" s="246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1785</v>
      </c>
      <c r="B46" s="382" t="s">
        <v>1656</v>
      </c>
    </row>
    <row r="47" spans="1:11" s="663" customFormat="1" ht="12.75" customHeight="1" x14ac:dyDescent="0.2">
      <c r="A47" s="661"/>
      <c r="B47" s="662" t="s">
        <v>1657</v>
      </c>
      <c r="E47" s="662"/>
      <c r="K47" s="664"/>
    </row>
    <row r="48" spans="1:11" ht="12.75" customHeight="1" x14ac:dyDescent="0.2">
      <c r="A48" s="1300"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483" t="s">
        <v>1873</v>
      </c>
      <c r="B1" s="2484"/>
      <c r="C1" s="2485"/>
      <c r="D1" s="666"/>
      <c r="E1" s="667"/>
      <c r="F1" s="667"/>
      <c r="G1" s="668"/>
      <c r="H1" s="669"/>
      <c r="I1" s="670"/>
      <c r="J1" s="2481"/>
      <c r="K1" s="2482"/>
      <c r="L1" s="248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416266</v>
      </c>
      <c r="D5" s="1770"/>
      <c r="E5" s="1770"/>
      <c r="F5" s="1765">
        <f>(C5+D5)-E5</f>
        <v>416266</v>
      </c>
      <c r="G5" s="676"/>
      <c r="H5" s="680"/>
      <c r="I5" s="680"/>
      <c r="J5" s="680"/>
      <c r="K5" s="637"/>
      <c r="L5" s="1442">
        <f>F5-K5</f>
        <v>416266</v>
      </c>
    </row>
    <row r="6" spans="1:14" ht="14.25" thickTop="1" thickBot="1" x14ac:dyDescent="0.25">
      <c r="A6" s="629" t="s">
        <v>1107</v>
      </c>
      <c r="B6" s="679">
        <v>222</v>
      </c>
      <c r="C6" s="1745">
        <v>529266</v>
      </c>
      <c r="D6" s="1745"/>
      <c r="E6" s="1745"/>
      <c r="F6" s="1765">
        <f>(C6+D6)-E6</f>
        <v>529266</v>
      </c>
      <c r="G6" s="676">
        <v>50</v>
      </c>
      <c r="H6" s="619">
        <v>21170</v>
      </c>
      <c r="I6" s="619">
        <v>10585</v>
      </c>
      <c r="J6" s="619"/>
      <c r="K6" s="1442">
        <f>(H6+I6)-J6</f>
        <v>31755</v>
      </c>
      <c r="L6" s="1442">
        <f>F6-K6</f>
        <v>497511</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33718970</v>
      </c>
      <c r="D8" s="1771">
        <v>11753</v>
      </c>
      <c r="E8" s="1771"/>
      <c r="F8" s="1765">
        <f>(C8+D8)-E8</f>
        <v>33730723</v>
      </c>
      <c r="G8" s="681">
        <v>50</v>
      </c>
      <c r="H8" s="619">
        <v>9899485</v>
      </c>
      <c r="I8" s="619">
        <v>674616</v>
      </c>
      <c r="J8" s="619"/>
      <c r="K8" s="1442">
        <f>(H8+I8)-J8</f>
        <v>10574101</v>
      </c>
      <c r="L8" s="1442">
        <f>F8-K8</f>
        <v>23156622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3719907</v>
      </c>
      <c r="D10" s="1772">
        <v>48451</v>
      </c>
      <c r="E10" s="1772"/>
      <c r="F10" s="1773">
        <f>(C10+D10)-E10</f>
        <v>3768358</v>
      </c>
      <c r="G10" s="681">
        <v>20</v>
      </c>
      <c r="H10" s="683">
        <v>771231</v>
      </c>
      <c r="I10" s="683">
        <v>172046</v>
      </c>
      <c r="J10" s="683"/>
      <c r="K10" s="1442">
        <f>(H10+I10)-J10</f>
        <v>943277</v>
      </c>
      <c r="L10" s="1442">
        <f>F10-K10</f>
        <v>2825081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2482636</v>
      </c>
      <c r="D12" s="1771">
        <v>130963</v>
      </c>
      <c r="E12" s="1771">
        <v>27516</v>
      </c>
      <c r="F12" s="1765">
        <f>(C12+D12)-E12</f>
        <v>2586083</v>
      </c>
      <c r="G12" s="681">
        <v>10</v>
      </c>
      <c r="H12" s="619">
        <v>911129</v>
      </c>
      <c r="I12" s="619">
        <v>261358</v>
      </c>
      <c r="J12" s="619">
        <v>27516</v>
      </c>
      <c r="K12" s="1442">
        <f>(H12+I12)-J12</f>
        <v>1144971</v>
      </c>
      <c r="L12" s="1442">
        <f>F12-K12</f>
        <v>1441112</v>
      </c>
    </row>
    <row r="13" spans="1:14" ht="14.25" thickTop="1" thickBot="1" x14ac:dyDescent="0.25">
      <c r="A13" s="684" t="s">
        <v>1112</v>
      </c>
      <c r="B13" s="679">
        <v>252</v>
      </c>
      <c r="C13" s="1771"/>
      <c r="D13" s="1771">
        <v>67120</v>
      </c>
      <c r="E13" s="1771"/>
      <c r="F13" s="1765">
        <f>(C13+D13)-E13</f>
        <v>67120</v>
      </c>
      <c r="G13" s="681">
        <v>5</v>
      </c>
      <c r="H13" s="619"/>
      <c r="I13" s="619">
        <v>13424</v>
      </c>
      <c r="J13" s="619"/>
      <c r="K13" s="1442">
        <f>(H13+I13)-J13</f>
        <v>13424</v>
      </c>
      <c r="L13" s="1442">
        <f>F13-K13</f>
        <v>53696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589552</v>
      </c>
      <c r="E15" s="1771"/>
      <c r="F15" s="1765">
        <f>(C15+D15)-E15</f>
        <v>589552</v>
      </c>
      <c r="G15" s="685" t="s">
        <v>857</v>
      </c>
      <c r="H15" s="632"/>
      <c r="I15" s="632"/>
      <c r="J15" s="632"/>
      <c r="K15" s="632"/>
      <c r="L15" s="1442">
        <f>F15-K15</f>
        <v>589552</v>
      </c>
    </row>
    <row r="16" spans="1:14" ht="15" customHeight="1" thickTop="1" thickBot="1" x14ac:dyDescent="0.25">
      <c r="A16" s="1438" t="s">
        <v>638</v>
      </c>
      <c r="B16" s="1439">
        <v>200</v>
      </c>
      <c r="C16" s="1765">
        <f>SUM(C3,C5:C6,C8:C10,C12:C15)</f>
        <v>40867045</v>
      </c>
      <c r="D16" s="1765">
        <f>SUM(D3,D5:D6,D8:D10,D12:D15)</f>
        <v>847839</v>
      </c>
      <c r="E16" s="1765">
        <f>SUM(E3,E5:E6,E8:E10,E12:E15)</f>
        <v>27516</v>
      </c>
      <c r="F16" s="1765">
        <f>SUM(F3,F5:F6,F8:F10,F12:F15)</f>
        <v>41687368</v>
      </c>
      <c r="G16" s="681"/>
      <c r="H16" s="1435">
        <f>SUM(H3,H6,H8:H10,H12:H14,)</f>
        <v>11603015</v>
      </c>
      <c r="I16" s="1435">
        <f>SUM(I3,I6,I8:I10,I12:I14,)</f>
        <v>1132029</v>
      </c>
      <c r="J16" s="1435">
        <f>SUM(J3,J6,J8:J10,J12:J14,)</f>
        <v>27516</v>
      </c>
      <c r="K16" s="1435">
        <f>(H16+I16)-J16</f>
        <v>12707528</v>
      </c>
      <c r="L16" s="1435">
        <f>F16-K16</f>
        <v>28979840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1132029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489" t="str">
        <f>"ESTIMATED OPERATING EXPENSE PER PUPIL (OEPP)/PER CAPITA TUITION CHARGE (PCTC) COMPUTATIONS ("&amp;'AFR20'!E2-1&amp;" - "&amp;'AFR20'!E2&amp;")"</f>
        <v>ESTIMATED OPERATING EXPENSE PER PUPIL (OEPP)/PER CAPITA TUITION CHARGE (PCTC) COMPUTATIONS (2019 - 2020)</v>
      </c>
      <c r="B1" s="2490"/>
      <c r="C1" s="2490"/>
      <c r="D1" s="2490"/>
      <c r="E1" s="2490"/>
      <c r="F1" s="2491"/>
      <c r="G1" s="691"/>
      <c r="I1" s="701"/>
    </row>
    <row r="2" spans="1:9" ht="15" customHeight="1" thickBot="1" x14ac:dyDescent="0.25">
      <c r="A2" s="2492" t="s">
        <v>474</v>
      </c>
      <c r="B2" s="2493"/>
      <c r="C2" s="2493"/>
      <c r="D2" s="2493"/>
      <c r="E2" s="2493"/>
      <c r="F2" s="2494"/>
      <c r="G2" s="693"/>
    </row>
    <row r="3" spans="1:9" ht="5.25" customHeight="1" thickTop="1" x14ac:dyDescent="0.2">
      <c r="A3" s="694"/>
      <c r="B3" s="695"/>
      <c r="C3" s="696"/>
      <c r="D3" s="695"/>
      <c r="E3" s="696"/>
      <c r="F3" s="695"/>
      <c r="G3" s="695"/>
    </row>
    <row r="4" spans="1:9" ht="12.4" customHeight="1" x14ac:dyDescent="0.2">
      <c r="A4" s="697" t="s">
        <v>1068</v>
      </c>
      <c r="B4" s="698" t="s">
        <v>115</v>
      </c>
      <c r="D4" s="700" t="s">
        <v>508</v>
      </c>
      <c r="F4" s="698" t="s">
        <v>860</v>
      </c>
    </row>
    <row r="5" spans="1:9" ht="7.5" customHeight="1" x14ac:dyDescent="0.2">
      <c r="A5" s="2495"/>
      <c r="B5" s="2496"/>
      <c r="C5" s="2496"/>
      <c r="D5" s="2496"/>
      <c r="E5" s="2496"/>
      <c r="F5" s="2496"/>
    </row>
    <row r="6" spans="1:9" ht="13.5" customHeight="1" thickBot="1" x14ac:dyDescent="0.25">
      <c r="A6" s="2486" t="s">
        <v>1095</v>
      </c>
      <c r="B6" s="2487"/>
      <c r="C6" s="2487"/>
      <c r="D6" s="2487"/>
      <c r="E6" s="2487"/>
      <c r="F6" s="248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14525204</v>
      </c>
      <c r="G8" s="701"/>
    </row>
    <row r="9" spans="1:9" x14ac:dyDescent="0.2">
      <c r="A9" s="705" t="s">
        <v>457</v>
      </c>
      <c r="B9" s="706" t="s">
        <v>1846</v>
      </c>
      <c r="C9" s="707"/>
      <c r="D9" s="705" t="s">
        <v>498</v>
      </c>
      <c r="E9" s="704"/>
      <c r="F9" s="1775">
        <f>'Expenditures 15-22'!K151</f>
        <v>1509163</v>
      </c>
      <c r="G9" s="708"/>
    </row>
    <row r="10" spans="1:9" x14ac:dyDescent="0.2">
      <c r="A10" s="705" t="s">
        <v>496</v>
      </c>
      <c r="B10" s="706" t="s">
        <v>1847</v>
      </c>
      <c r="C10" s="707"/>
      <c r="D10" s="705" t="s">
        <v>498</v>
      </c>
      <c r="E10" s="704"/>
      <c r="F10" s="1775">
        <f>'Expenditures 15-22'!K174</f>
        <v>1384363</v>
      </c>
      <c r="G10" s="708"/>
    </row>
    <row r="11" spans="1:9" x14ac:dyDescent="0.2">
      <c r="A11" s="705" t="s">
        <v>458</v>
      </c>
      <c r="B11" s="706" t="s">
        <v>1848</v>
      </c>
      <c r="C11" s="707"/>
      <c r="D11" s="705" t="s">
        <v>498</v>
      </c>
      <c r="E11" s="704"/>
      <c r="F11" s="1775">
        <f>'Expenditures 15-22'!K210</f>
        <v>1722085</v>
      </c>
      <c r="G11" s="708"/>
    </row>
    <row r="12" spans="1:9" x14ac:dyDescent="0.2">
      <c r="A12" s="705" t="s">
        <v>459</v>
      </c>
      <c r="B12" s="706" t="s">
        <v>1849</v>
      </c>
      <c r="C12" s="707"/>
      <c r="D12" s="705" t="s">
        <v>498</v>
      </c>
      <c r="E12" s="704"/>
      <c r="F12" s="1775">
        <f>'Expenditures 15-22'!K295</f>
        <v>683850</v>
      </c>
      <c r="G12" s="708"/>
    </row>
    <row r="13" spans="1:9" x14ac:dyDescent="0.2">
      <c r="A13" s="705" t="s">
        <v>106</v>
      </c>
      <c r="B13" s="706" t="s">
        <v>1850</v>
      </c>
      <c r="C13" s="707"/>
      <c r="D13" s="705" t="s">
        <v>498</v>
      </c>
      <c r="E13" s="704"/>
      <c r="F13" s="1775">
        <f>'Expenditures 15-22'!K342</f>
        <v>43727</v>
      </c>
      <c r="G13" s="709"/>
    </row>
    <row r="14" spans="1:9" ht="12" customHeight="1" thickBot="1" x14ac:dyDescent="0.25">
      <c r="A14" s="1443"/>
      <c r="B14" s="1444"/>
      <c r="C14" s="1445"/>
      <c r="D14" s="1446" t="s">
        <v>498</v>
      </c>
      <c r="E14" s="1447" t="s">
        <v>952</v>
      </c>
      <c r="F14" s="1776">
        <f>SUM(F8:F13)</f>
        <v>19868392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8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1907</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385083</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1346</v>
      </c>
      <c r="G52" s="701"/>
    </row>
    <row r="53" spans="1:7" x14ac:dyDescent="0.2">
      <c r="A53" s="705" t="s">
        <v>456</v>
      </c>
      <c r="B53" s="705" t="s">
        <v>1458</v>
      </c>
      <c r="C53" s="724">
        <f>'Expenditures 15-22'!B102</f>
        <v>4000</v>
      </c>
      <c r="D53" s="723" t="str">
        <f>'Expenditures 15-22'!A102</f>
        <v>Total Payments to Other Govt Units</v>
      </c>
      <c r="E53" s="704"/>
      <c r="F53" s="1782">
        <f>'Expenditures 15-22'!K102</f>
        <v>407214</v>
      </c>
      <c r="G53" s="701"/>
    </row>
    <row r="54" spans="1:7" x14ac:dyDescent="0.2">
      <c r="A54" s="705" t="s">
        <v>456</v>
      </c>
      <c r="B54" s="705" t="s">
        <v>1459</v>
      </c>
      <c r="C54" s="724" t="s">
        <v>975</v>
      </c>
      <c r="D54" s="720" t="s">
        <v>1086</v>
      </c>
      <c r="E54" s="704"/>
      <c r="F54" s="1782">
        <f>'Expenditures 15-22'!G114</f>
        <v>40659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82">
        <f>'Expenditures 15-22'!K139</f>
        <v>0</v>
      </c>
      <c r="G57" s="701"/>
    </row>
    <row r="58" spans="1:7" x14ac:dyDescent="0.2">
      <c r="A58" s="705" t="s">
        <v>457</v>
      </c>
      <c r="B58" s="705" t="s">
        <v>1852</v>
      </c>
      <c r="C58" s="721" t="s">
        <v>975</v>
      </c>
      <c r="D58" s="720" t="s">
        <v>1086</v>
      </c>
      <c r="E58" s="704"/>
      <c r="F58" s="1784">
        <f>'Expenditures 15-22'!G151</f>
        <v>45975</v>
      </c>
      <c r="G58" s="701"/>
    </row>
    <row r="59" spans="1:7" x14ac:dyDescent="0.2">
      <c r="A59" s="728" t="s">
        <v>457</v>
      </c>
      <c r="B59" s="692" t="s">
        <v>1853</v>
      </c>
      <c r="C59" s="729" t="s">
        <v>975</v>
      </c>
      <c r="D59" s="692" t="s">
        <v>288</v>
      </c>
      <c r="F59" s="1785">
        <f>'Expenditures 15-22'!I151</f>
        <v>0</v>
      </c>
      <c r="G59" s="701"/>
    </row>
    <row r="60" spans="1:7" x14ac:dyDescent="0.2">
      <c r="A60" s="728" t="s">
        <v>496</v>
      </c>
      <c r="B60" s="692" t="s">
        <v>1854</v>
      </c>
      <c r="C60" s="729">
        <v>4000</v>
      </c>
      <c r="D60" s="692" t="s">
        <v>309</v>
      </c>
      <c r="F60" s="1783">
        <f>'Expenditures 15-22'!K160</f>
        <v>0</v>
      </c>
      <c r="G60" s="701"/>
    </row>
    <row r="61" spans="1:7" x14ac:dyDescent="0.2">
      <c r="A61" s="730" t="s">
        <v>496</v>
      </c>
      <c r="B61" s="730" t="s">
        <v>1855</v>
      </c>
      <c r="C61" s="731" t="str">
        <f>'Expenditures 15-22'!B170</f>
        <v>5300</v>
      </c>
      <c r="D61" s="732" t="s">
        <v>308</v>
      </c>
      <c r="E61" s="715"/>
      <c r="F61" s="1782">
        <f>'Expenditures 15-22'!K170</f>
        <v>1036487</v>
      </c>
      <c r="G61" s="701"/>
    </row>
    <row r="62" spans="1:7" x14ac:dyDescent="0.2">
      <c r="A62" s="705" t="s">
        <v>458</v>
      </c>
      <c r="B62" s="705" t="s">
        <v>1856</v>
      </c>
      <c r="C62" s="721">
        <f>'Expenditures 15-22'!B185</f>
        <v>3000</v>
      </c>
      <c r="D62" s="712" t="s">
        <v>446</v>
      </c>
      <c r="E62" s="704"/>
      <c r="F62" s="1782">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1858</v>
      </c>
      <c r="C64" s="731" t="str">
        <f>'Expenditures 15-22'!B206</f>
        <v>5300</v>
      </c>
      <c r="D64" s="727" t="s">
        <v>308</v>
      </c>
      <c r="E64" s="704"/>
      <c r="F64" s="1782">
        <f>'Expenditures 15-22'!K206</f>
        <v>0</v>
      </c>
      <c r="G64" s="701"/>
    </row>
    <row r="65" spans="1:9" x14ac:dyDescent="0.2">
      <c r="A65" s="705" t="s">
        <v>458</v>
      </c>
      <c r="B65" s="705" t="s">
        <v>1859</v>
      </c>
      <c r="C65" s="721" t="s">
        <v>975</v>
      </c>
      <c r="D65" s="720" t="s">
        <v>1086</v>
      </c>
      <c r="E65" s="704"/>
      <c r="F65" s="1782">
        <f>'Expenditures 15-22'!G210</f>
        <v>116240</v>
      </c>
      <c r="G65" s="701"/>
    </row>
    <row r="66" spans="1:9" x14ac:dyDescent="0.2">
      <c r="A66" s="705" t="s">
        <v>458</v>
      </c>
      <c r="B66" s="705" t="s">
        <v>1860</v>
      </c>
      <c r="C66" s="721" t="s">
        <v>975</v>
      </c>
      <c r="D66" s="720" t="s">
        <v>288</v>
      </c>
      <c r="E66" s="704"/>
      <c r="F66" s="1782">
        <f>'Expenditures 15-22'!I210</f>
        <v>0</v>
      </c>
      <c r="G66" s="701"/>
    </row>
    <row r="67" spans="1:9" x14ac:dyDescent="0.2">
      <c r="A67" s="705" t="s">
        <v>459</v>
      </c>
      <c r="B67" s="705" t="s">
        <v>1861</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1863</v>
      </c>
      <c r="C70" s="721">
        <f>'Expenditures 15-22'!B221</f>
        <v>1300</v>
      </c>
      <c r="D70" s="722" t="str">
        <f>'Expenditures 15-22'!A221</f>
        <v>Adult/Continuing Education Programs</v>
      </c>
      <c r="E70" s="704"/>
      <c r="F70" s="1782">
        <f>'Expenditures 15-22'!K221</f>
        <v>0</v>
      </c>
      <c r="G70" s="701"/>
    </row>
    <row r="71" spans="1:9" x14ac:dyDescent="0.2">
      <c r="A71" s="705" t="s">
        <v>459</v>
      </c>
      <c r="B71" s="705" t="s">
        <v>1864</v>
      </c>
      <c r="C71" s="721">
        <f>'Expenditures 15-22'!B224</f>
        <v>1600</v>
      </c>
      <c r="D71" s="722" t="str">
        <f>'Expenditures 15-22'!A224</f>
        <v>Summer School Programs</v>
      </c>
      <c r="E71" s="704"/>
      <c r="F71" s="1782">
        <f>'Expenditures 15-22'!K224</f>
        <v>0</v>
      </c>
      <c r="G71" s="701"/>
    </row>
    <row r="72" spans="1:9" x14ac:dyDescent="0.2">
      <c r="A72" s="705" t="s">
        <v>459</v>
      </c>
      <c r="B72" s="705" t="s">
        <v>1865</v>
      </c>
      <c r="C72" s="721">
        <f>'Expenditures 15-22'!B280</f>
        <v>3000</v>
      </c>
      <c r="D72" s="712" t="s">
        <v>446</v>
      </c>
      <c r="E72" s="704"/>
      <c r="F72" s="1782">
        <f>'Expenditures 15-22'!K280</f>
        <v>15</v>
      </c>
      <c r="G72" s="701"/>
    </row>
    <row r="73" spans="1:9" x14ac:dyDescent="0.2">
      <c r="A73" s="705" t="s">
        <v>459</v>
      </c>
      <c r="B73" s="705" t="s">
        <v>1866</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1867</v>
      </c>
      <c r="C74" s="721" t="s">
        <v>855</v>
      </c>
      <c r="D74" s="722" t="s">
        <v>1470</v>
      </c>
      <c r="E74" s="704"/>
      <c r="F74" s="1786">
        <f>'Expenditures 15-22'!K334</f>
        <v>0</v>
      </c>
      <c r="G74" s="701"/>
    </row>
    <row r="75" spans="1:9" x14ac:dyDescent="0.2">
      <c r="A75" s="705" t="s">
        <v>2006</v>
      </c>
      <c r="B75" s="705" t="s">
        <v>2007</v>
      </c>
      <c r="C75" s="721" t="s">
        <v>975</v>
      </c>
      <c r="D75" s="722" t="s">
        <v>1086</v>
      </c>
      <c r="E75" s="704"/>
      <c r="F75" s="1786">
        <f>'Expenditures 15-22'!G342</f>
        <v>0</v>
      </c>
      <c r="G75" s="701"/>
    </row>
    <row r="76" spans="1:9" ht="10.5" customHeight="1" x14ac:dyDescent="0.2">
      <c r="A76" s="701" t="s">
        <v>433</v>
      </c>
      <c r="B76" s="705" t="s">
        <v>2008</v>
      </c>
      <c r="C76" s="711" t="s">
        <v>975</v>
      </c>
      <c r="D76" s="701" t="s">
        <v>288</v>
      </c>
      <c r="E76" s="704"/>
      <c r="F76" s="1786">
        <f>'Expenditures 15-22'!I342</f>
        <v>0</v>
      </c>
      <c r="G76" s="703"/>
    </row>
    <row r="77" spans="1:9" ht="12" thickBot="1" x14ac:dyDescent="0.25">
      <c r="A77" s="1443"/>
      <c r="B77" s="1448"/>
      <c r="C77" s="1445"/>
      <c r="D77" s="1449" t="s">
        <v>2009</v>
      </c>
      <c r="E77" s="1447" t="s">
        <v>952</v>
      </c>
      <c r="F77" s="1787">
        <f>SUM(F18:F76)</f>
        <v>2033019</v>
      </c>
      <c r="G77" s="701"/>
    </row>
    <row r="78" spans="1:9" s="728" customFormat="1" ht="12" customHeight="1" thickTop="1" thickBot="1" x14ac:dyDescent="0.25">
      <c r="A78" s="1450"/>
      <c r="B78" s="1448"/>
      <c r="C78" s="1445"/>
      <c r="D78" s="1449" t="s">
        <v>2010</v>
      </c>
      <c r="E78" s="1447"/>
      <c r="F78" s="1788">
        <f>(F14-F77)</f>
        <v>17835373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1561.9</v>
      </c>
      <c r="G79" s="733"/>
      <c r="H79" s="705"/>
      <c r="I79" s="705"/>
    </row>
    <row r="80" spans="1:9" s="728" customFormat="1" ht="12" customHeight="1" thickBot="1" x14ac:dyDescent="0.25">
      <c r="A80" s="1452"/>
      <c r="B80" s="1448"/>
      <c r="C80" s="1445"/>
      <c r="D80" s="1449" t="s">
        <v>2011</v>
      </c>
      <c r="E80" s="1447" t="s">
        <v>952</v>
      </c>
      <c r="F80" s="1790">
        <f>IF(F79&gt;0,F78/F79," Complete Line 79")</f>
        <v>11419.023625072026</v>
      </c>
      <c r="G80" s="705"/>
    </row>
    <row r="81" spans="1:7" s="728" customFormat="1" ht="8.25" customHeight="1" thickTop="1" x14ac:dyDescent="0.2">
      <c r="A81" s="734"/>
      <c r="B81" s="705"/>
      <c r="C81" s="707"/>
      <c r="D81" s="735"/>
      <c r="E81" s="704"/>
      <c r="F81" s="1791"/>
      <c r="G81" s="705"/>
    </row>
    <row r="82" spans="1:7" s="728" customFormat="1" ht="12" thickBot="1" x14ac:dyDescent="0.25">
      <c r="A82" s="2486" t="s">
        <v>1096</v>
      </c>
      <c r="B82" s="2487"/>
      <c r="C82" s="2487"/>
      <c r="D82" s="2487"/>
      <c r="E82" s="2487"/>
      <c r="F82" s="248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158822</v>
      </c>
      <c r="G95" s="745"/>
    </row>
    <row r="96" spans="1:7" x14ac:dyDescent="0.2">
      <c r="A96" s="741" t="s">
        <v>139</v>
      </c>
      <c r="B96" s="741" t="s">
        <v>174</v>
      </c>
      <c r="C96" s="743">
        <v>1700</v>
      </c>
      <c r="D96" s="751" t="str">
        <f>'Revenues 9-14'!A82</f>
        <v>Total District/School Activity Income</v>
      </c>
      <c r="E96" s="739"/>
      <c r="F96" s="1793">
        <f>SUM('Revenues 9-14'!C82,'Revenues 9-14'!D82)</f>
        <v>31602</v>
      </c>
      <c r="G96" s="745"/>
    </row>
    <row r="97" spans="1:7" x14ac:dyDescent="0.2">
      <c r="A97" s="741" t="s">
        <v>456</v>
      </c>
      <c r="B97" s="741" t="s">
        <v>175</v>
      </c>
      <c r="C97" s="743">
        <f>'Revenues 9-14'!B84</f>
        <v>1811</v>
      </c>
      <c r="D97" s="744" t="str">
        <f>'Revenues 9-14'!A84</f>
        <v>Rentals - Regular Textbooks</v>
      </c>
      <c r="E97" s="739"/>
      <c r="F97" s="1793">
        <f>'Revenues 9-14'!C84</f>
        <v>68715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480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1908</v>
      </c>
      <c r="C106" s="746">
        <v>3100</v>
      </c>
      <c r="D106" s="752" t="str">
        <f>'Revenues 9-14'!A132</f>
        <v>Total Special Education</v>
      </c>
      <c r="E106" s="739"/>
      <c r="F106" s="1793">
        <f>SUM('Revenues 9-14'!C132:D132,'Revenues 9-14'!F132)</f>
        <v>175949</v>
      </c>
      <c r="G106" s="745"/>
    </row>
    <row r="107" spans="1:7" x14ac:dyDescent="0.2">
      <c r="A107" s="741" t="s">
        <v>668</v>
      </c>
      <c r="B107" s="741" t="s">
        <v>1909</v>
      </c>
      <c r="C107" s="753">
        <v>3200</v>
      </c>
      <c r="D107" s="744" t="str">
        <f>'Revenues 9-14'!A141</f>
        <v>Total Career and Technical Education</v>
      </c>
      <c r="E107" s="739"/>
      <c r="F107" s="1793">
        <f>SUM('Revenues 9-14'!C141,'Revenues 9-14'!D141,'Revenues 9-14'!G141)</f>
        <v>1497</v>
      </c>
      <c r="G107" s="745"/>
    </row>
    <row r="108" spans="1:7" x14ac:dyDescent="0.2">
      <c r="A108" s="754" t="s">
        <v>659</v>
      </c>
      <c r="B108" s="741" t="s">
        <v>1910</v>
      </c>
      <c r="C108" s="753">
        <v>3300</v>
      </c>
      <c r="D108" s="744" t="str">
        <f>'Revenues 9-14'!A145</f>
        <v>Total Bilingual Ed</v>
      </c>
      <c r="E108" s="739"/>
      <c r="F108" s="1793">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93">
        <f>'Revenues 9-14'!C146</f>
        <v>5716</v>
      </c>
      <c r="G109" s="745"/>
    </row>
    <row r="110" spans="1:7" x14ac:dyDescent="0.2">
      <c r="A110" s="741" t="s">
        <v>668</v>
      </c>
      <c r="B110" s="741" t="s">
        <v>1912</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3">
        <f>SUM('Revenues 9-14'!C148,'Revenues 9-14'!D148)</f>
        <v>0</v>
      </c>
      <c r="G111" s="745"/>
    </row>
    <row r="112" spans="1:7" x14ac:dyDescent="0.2">
      <c r="A112" s="741" t="s">
        <v>663</v>
      </c>
      <c r="B112" s="741" t="s">
        <v>1914</v>
      </c>
      <c r="C112" s="755">
        <v>3500</v>
      </c>
      <c r="D112" s="744" t="str">
        <f>'Revenues 9-14'!A155</f>
        <v>Total Transportation</v>
      </c>
      <c r="E112" s="739"/>
      <c r="F112" s="1793">
        <f>SUM('Revenues 9-14'!C155,'Revenues 9-14'!D155,'Revenues 9-14'!F155,'Revenues 9-14'!G155)</f>
        <v>1000920</v>
      </c>
      <c r="G112" s="745"/>
    </row>
    <row r="113" spans="1:7" x14ac:dyDescent="0.2">
      <c r="A113" s="741" t="s">
        <v>456</v>
      </c>
      <c r="B113" s="741" t="s">
        <v>1915</v>
      </c>
      <c r="C113" s="753">
        <f>'Revenues 9-14'!B156</f>
        <v>3610</v>
      </c>
      <c r="D113" s="744" t="str">
        <f>'Revenues 9-14'!A156</f>
        <v>Learning Improvement - Change Grants</v>
      </c>
      <c r="E113" s="739"/>
      <c r="F113" s="1793">
        <f>'Revenues 9-14'!C156</f>
        <v>0</v>
      </c>
      <c r="G113" s="745"/>
    </row>
    <row r="114" spans="1:7" x14ac:dyDescent="0.2">
      <c r="A114" s="741" t="s">
        <v>663</v>
      </c>
      <c r="B114" s="741" t="s">
        <v>1916</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92">
        <f>SUM('Revenues 9-14'!C163:G163)</f>
        <v>0</v>
      </c>
      <c r="G119" s="745"/>
    </row>
    <row r="120" spans="1:7" x14ac:dyDescent="0.2">
      <c r="A120" s="756" t="s">
        <v>501</v>
      </c>
      <c r="B120" s="756" t="s">
        <v>1922</v>
      </c>
      <c r="C120" s="757">
        <f>'Revenues 9-14'!B164</f>
        <v>3815</v>
      </c>
      <c r="D120" s="758" t="str">
        <f>'Revenues 9-14'!A164</f>
        <v>State Charter Schools</v>
      </c>
      <c r="E120" s="739"/>
      <c r="F120" s="1792">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93">
        <f>'Revenues 9-14'!D167</f>
        <v>0</v>
      </c>
      <c r="G121" s="763"/>
    </row>
    <row r="122" spans="1:7" x14ac:dyDescent="0.2">
      <c r="A122" s="760" t="s">
        <v>497</v>
      </c>
      <c r="B122" s="760" t="s">
        <v>1924</v>
      </c>
      <c r="C122" s="761">
        <f>'Revenues 9-14'!B168</f>
        <v>3999</v>
      </c>
      <c r="D122" s="762" t="s">
        <v>540</v>
      </c>
      <c r="E122" s="764"/>
      <c r="F122" s="1793">
        <f>SUM('Revenues 9-14'!C168:G168,'Revenues 9-14'!J168)</f>
        <v>1157</v>
      </c>
      <c r="G122" s="763"/>
    </row>
    <row r="123" spans="1:7" x14ac:dyDescent="0.2">
      <c r="A123" s="760" t="s">
        <v>456</v>
      </c>
      <c r="B123" s="760" t="s">
        <v>1925</v>
      </c>
      <c r="C123" s="765">
        <f>'Revenues 9-14'!B177</f>
        <v>4045</v>
      </c>
      <c r="D123" s="762" t="str">
        <f>'Revenues 9-14'!A177 &amp; " (Subtract)"</f>
        <v>Head Start (Subtract)</v>
      </c>
      <c r="E123" s="739"/>
      <c r="F123" s="1793">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1927</v>
      </c>
      <c r="C125" s="765">
        <v>4100</v>
      </c>
      <c r="D125" s="766" t="str">
        <f>'Revenues 9-14'!A188</f>
        <v>Total Title V</v>
      </c>
      <c r="E125" s="739"/>
      <c r="F125" s="1793">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93">
        <f>SUM('Revenues 9-14'!C198,'Revenues 9-14'!G198)</f>
        <v>476645</v>
      </c>
      <c r="G126" s="763"/>
    </row>
    <row r="127" spans="1:7" x14ac:dyDescent="0.2">
      <c r="A127" s="760" t="s">
        <v>663</v>
      </c>
      <c r="B127" s="760" t="s">
        <v>1929</v>
      </c>
      <c r="C127" s="765">
        <v>4300</v>
      </c>
      <c r="D127" s="766" t="str">
        <f>'Revenues 9-14'!A204</f>
        <v>Total Title I</v>
      </c>
      <c r="E127" s="739"/>
      <c r="F127" s="1793">
        <f>SUM('Revenues 9-14'!C204,'Revenues 9-14'!D204,'Revenues 9-14'!F204,'Revenues 9-14'!G204)</f>
        <v>510346</v>
      </c>
      <c r="G127" s="763"/>
    </row>
    <row r="128" spans="1:7" x14ac:dyDescent="0.2">
      <c r="A128" s="760" t="s">
        <v>663</v>
      </c>
      <c r="B128" s="760" t="s">
        <v>1930</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1931</v>
      </c>
      <c r="C129" s="765">
        <f>'Revenues 9-14'!B213</f>
        <v>4620</v>
      </c>
      <c r="D129" s="766" t="str">
        <f>'Revenues 9-14'!A213</f>
        <v>Fed - Spec Education - IDEA - Flow Through</v>
      </c>
      <c r="E129" s="739"/>
      <c r="F129" s="1793">
        <f>SUM('Revenues 9-14'!C213:D213,'Revenues 9-14'!F213:G213)</f>
        <v>199098</v>
      </c>
      <c r="G129" s="763"/>
    </row>
    <row r="130" spans="1:7" x14ac:dyDescent="0.2">
      <c r="A130" s="760" t="s">
        <v>663</v>
      </c>
      <c r="B130" s="760" t="s">
        <v>1932</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1933</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1934</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3">
        <v>0</v>
      </c>
      <c r="G139" s="738"/>
    </row>
    <row r="140" spans="1:7" s="703" customFormat="1" hidden="1" x14ac:dyDescent="0.2">
      <c r="A140" s="767" t="s">
        <v>204</v>
      </c>
      <c r="B140" s="767" t="s">
        <v>1941</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1949</v>
      </c>
      <c r="C158" s="773" t="s">
        <v>836</v>
      </c>
      <c r="D158" s="774" t="s">
        <v>772</v>
      </c>
      <c r="E158" s="775"/>
      <c r="F158" s="1793">
        <f>SUM(F134:F157)</f>
        <v>0</v>
      </c>
      <c r="G158" s="738"/>
    </row>
    <row r="159" spans="1:7" s="703" customFormat="1" x14ac:dyDescent="0.2">
      <c r="A159" s="771" t="s">
        <v>456</v>
      </c>
      <c r="B159" s="772" t="s">
        <v>1950</v>
      </c>
      <c r="C159" s="773" t="s">
        <v>1410</v>
      </c>
      <c r="D159" s="774" t="s">
        <v>1411</v>
      </c>
      <c r="E159" s="775"/>
      <c r="F159" s="1793">
        <f>SUM('Revenues 9-14'!C253)</f>
        <v>0</v>
      </c>
      <c r="G159" s="738"/>
    </row>
    <row r="160" spans="1:7" s="703" customFormat="1" x14ac:dyDescent="0.2">
      <c r="A160" s="771" t="s">
        <v>497</v>
      </c>
      <c r="B160" s="772" t="s">
        <v>1951</v>
      </c>
      <c r="C160" s="773" t="s">
        <v>1449</v>
      </c>
      <c r="D160" s="774" t="s">
        <v>1450</v>
      </c>
      <c r="E160" s="775"/>
      <c r="F160" s="179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1954</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92">
        <f>SUM('Revenues 9-14'!C259,'Revenues 9-14'!D259,'Revenues 9-14'!F259,'Revenues 9-14'!G259)</f>
        <v>56613</v>
      </c>
      <c r="G165" s="763"/>
    </row>
    <row r="166" spans="1:7" x14ac:dyDescent="0.2">
      <c r="A166" s="760" t="s">
        <v>663</v>
      </c>
      <c r="B166" s="760" t="s">
        <v>1957</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93">
        <f>SUM('Revenues 9-14'!C263:D263,'Revenues 9-14'!F263:G263)</f>
        <v>32750</v>
      </c>
      <c r="G169" s="780">
        <v>6320</v>
      </c>
    </row>
    <row r="170" spans="1:7" x14ac:dyDescent="0.2">
      <c r="A170" s="760" t="s">
        <v>663</v>
      </c>
      <c r="B170" s="760" t="s">
        <v>1959</v>
      </c>
      <c r="C170" s="765">
        <f>'Revenues 9-14'!B264</f>
        <v>4992</v>
      </c>
      <c r="D170" s="766" t="str">
        <f>'Revenues 9-14'!A264</f>
        <v>Medicaid Matching Funds - Fee-for-Service Program</v>
      </c>
      <c r="E170" s="739"/>
      <c r="F170" s="1793">
        <f>SUM('Revenues 9-14'!C264:D264,'Revenues 9-14'!F264:G264)</f>
        <v>93207</v>
      </c>
      <c r="G170" s="780"/>
    </row>
    <row r="171" spans="1:7" x14ac:dyDescent="0.2">
      <c r="A171" s="781" t="s">
        <v>663</v>
      </c>
      <c r="B171" s="777" t="s">
        <v>1960</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1883</v>
      </c>
      <c r="C172" s="1531">
        <v>3100</v>
      </c>
      <c r="D172" s="1532" t="s">
        <v>1885</v>
      </c>
      <c r="E172" s="739"/>
      <c r="F172" s="1794">
        <v>607984.71</v>
      </c>
      <c r="G172" s="760"/>
    </row>
    <row r="173" spans="1:7" x14ac:dyDescent="0.2">
      <c r="A173" s="1529" t="s">
        <v>659</v>
      </c>
      <c r="B173" s="1530" t="s">
        <v>1883</v>
      </c>
      <c r="C173" s="1531">
        <v>3300</v>
      </c>
      <c r="D173" s="1532" t="s">
        <v>1886</v>
      </c>
      <c r="E173" s="739"/>
      <c r="F173" s="1794">
        <v>2040.41</v>
      </c>
      <c r="G173" s="760"/>
    </row>
    <row r="174" spans="1:7" ht="6" customHeight="1" x14ac:dyDescent="0.2">
      <c r="A174" s="760"/>
      <c r="B174" s="760"/>
      <c r="C174" s="782"/>
      <c r="D174" s="760"/>
      <c r="E174" s="739"/>
      <c r="F174" s="1795"/>
      <c r="G174" s="780"/>
    </row>
    <row r="175" spans="1:7" x14ac:dyDescent="0.2">
      <c r="A175" s="1443"/>
      <c r="B175" s="1453"/>
      <c r="C175" s="1454"/>
      <c r="D175" s="1455" t="s">
        <v>2014</v>
      </c>
      <c r="E175" s="1456" t="s">
        <v>952</v>
      </c>
      <c r="F175" s="1796">
        <f>SUM(F85:F133,F158:F173)</f>
        <v>3423542.12</v>
      </c>
    </row>
    <row r="176" spans="1:7" ht="12" customHeight="1" x14ac:dyDescent="0.2">
      <c r="A176" s="1443"/>
      <c r="B176" s="1453"/>
      <c r="C176" s="1454"/>
      <c r="D176" s="1455" t="s">
        <v>2012</v>
      </c>
      <c r="E176" s="1456"/>
      <c r="F176" s="1793">
        <f>'PCTC-OEPP 27-28'!F78-F175</f>
        <v>14411830.879999999</v>
      </c>
    </row>
    <row r="177" spans="1:9" ht="12" customHeight="1" x14ac:dyDescent="0.2">
      <c r="A177" s="1443"/>
      <c r="B177" s="1453"/>
      <c r="C177" s="1454"/>
      <c r="D177" s="1455" t="s">
        <v>1792</v>
      </c>
      <c r="E177" s="1456"/>
      <c r="F177" s="1793">
        <f>'Cap Outlay Deprec 26'!I18</f>
        <v>1132029</v>
      </c>
    </row>
    <row r="178" spans="1:9" ht="12" customHeight="1" x14ac:dyDescent="0.2">
      <c r="A178" s="1443"/>
      <c r="B178" s="1453"/>
      <c r="C178" s="1454"/>
      <c r="D178" s="1455" t="s">
        <v>2013</v>
      </c>
      <c r="E178" s="1456"/>
      <c r="F178" s="1793">
        <f>F176+F177</f>
        <v>15543859.879999999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1561.9</v>
      </c>
      <c r="G179" s="763"/>
      <c r="I179" s="701"/>
    </row>
    <row r="180" spans="1:9" ht="12" customHeight="1" thickBot="1" x14ac:dyDescent="0.25">
      <c r="A180" s="1443"/>
      <c r="B180" s="1457"/>
      <c r="C180" s="1454"/>
      <c r="D180" s="1455" t="s">
        <v>2015</v>
      </c>
      <c r="E180" s="1456" t="s">
        <v>1528</v>
      </c>
      <c r="F180" s="1798">
        <f>F178/F179</f>
        <v>9951.8918496702718</v>
      </c>
      <c r="G180" s="692">
        <v>6323</v>
      </c>
    </row>
    <row r="181" spans="1:9" ht="12" thickTop="1" x14ac:dyDescent="0.2">
      <c r="B181" s="763"/>
      <c r="C181" s="782"/>
      <c r="D181" s="763"/>
      <c r="E181" s="782"/>
      <c r="F181" s="763"/>
      <c r="G181" s="783">
        <v>6326</v>
      </c>
    </row>
    <row r="182" spans="1:9" ht="12.4" customHeight="1" x14ac:dyDescent="0.2">
      <c r="A182" s="763" t="s">
        <v>1884</v>
      </c>
      <c r="B182" s="763"/>
      <c r="C182" s="782"/>
      <c r="D182" s="763"/>
      <c r="E182" s="782"/>
      <c r="F182" s="763"/>
      <c r="G182" s="763"/>
    </row>
    <row r="183" spans="1:9" s="1533" customFormat="1" ht="12.4"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4"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4"/>
  <sheetViews>
    <sheetView showGridLines="0" topLeftCell="A7" zoomScaleNormal="100" zoomScaleSheetLayoutView="85" workbookViewId="0"/>
  </sheetViews>
  <sheetFormatPr defaultColWidth="9.28515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28515625" style="1862"/>
  </cols>
  <sheetData>
    <row r="1" spans="1:6" ht="15" customHeight="1" x14ac:dyDescent="0.25">
      <c r="A1" s="1859" t="s">
        <v>1805</v>
      </c>
      <c r="B1" s="1860"/>
      <c r="C1" s="1861"/>
      <c r="D1" s="1861"/>
      <c r="E1" s="1861"/>
      <c r="F1" s="1861"/>
    </row>
    <row r="2" spans="1:6" x14ac:dyDescent="0.25">
      <c r="A2" s="1863"/>
      <c r="B2" s="1864"/>
      <c r="C2" s="1913" t="s">
        <v>2001</v>
      </c>
      <c r="D2" s="1863"/>
      <c r="E2" s="1863"/>
      <c r="F2" s="1863"/>
    </row>
    <row r="3" spans="1:6" ht="5.25" customHeight="1" x14ac:dyDescent="0.25">
      <c r="A3" s="1865"/>
      <c r="B3" s="1866"/>
      <c r="C3" s="1865"/>
      <c r="D3" s="1865"/>
      <c r="E3" s="1865"/>
      <c r="F3" s="1865"/>
    </row>
    <row r="4" spans="1:6" ht="18.75" customHeight="1" x14ac:dyDescent="0.25">
      <c r="A4" s="2500" t="s">
        <v>1793</v>
      </c>
      <c r="B4" s="2501"/>
      <c r="C4" s="2501"/>
      <c r="D4" s="2501"/>
      <c r="E4" s="2501"/>
      <c r="F4" s="2502"/>
    </row>
    <row r="5" spans="1:6" x14ac:dyDescent="0.25">
      <c r="A5" s="2503"/>
      <c r="B5" s="2504"/>
      <c r="C5" s="2504"/>
      <c r="D5" s="2504"/>
      <c r="E5" s="2504"/>
      <c r="F5" s="2505"/>
    </row>
    <row r="6" spans="1:6" ht="18.75" x14ac:dyDescent="0.25">
      <c r="A6" s="1867" t="s">
        <v>1794</v>
      </c>
      <c r="B6" s="1868"/>
      <c r="C6" s="1869"/>
      <c r="D6" s="1869"/>
      <c r="E6" s="1869"/>
      <c r="F6" s="1870"/>
    </row>
    <row r="7" spans="1:6" ht="47.25" customHeight="1" x14ac:dyDescent="0.25">
      <c r="A7" s="2506" t="s">
        <v>1983</v>
      </c>
      <c r="B7" s="2507"/>
      <c r="C7" s="2507"/>
      <c r="D7" s="2507"/>
      <c r="E7" s="2507"/>
      <c r="F7" s="2508"/>
    </row>
    <row r="8" spans="1:6" ht="20.25" customHeight="1" x14ac:dyDescent="0.25">
      <c r="A8" s="1902" t="s">
        <v>1985</v>
      </c>
      <c r="B8" s="1903"/>
      <c r="C8" s="1903"/>
      <c r="D8" s="1903"/>
      <c r="E8" s="1871"/>
      <c r="F8" s="1872"/>
    </row>
    <row r="9" spans="1:6" ht="18" customHeight="1" x14ac:dyDescent="0.25">
      <c r="A9" s="1873" t="s">
        <v>1982</v>
      </c>
      <c r="B9" s="1875"/>
      <c r="C9" s="1875"/>
      <c r="D9" s="1875"/>
      <c r="E9" s="1871"/>
      <c r="F9" s="1872"/>
    </row>
    <row r="10" spans="1:6" ht="15.75" customHeight="1" x14ac:dyDescent="0.25">
      <c r="A10" s="2509" t="s">
        <v>1979</v>
      </c>
      <c r="B10" s="2510"/>
      <c r="C10" s="2510"/>
      <c r="D10" s="2510"/>
      <c r="E10" s="2510"/>
      <c r="F10" s="2511"/>
    </row>
    <row r="11" spans="1:6" ht="33" customHeight="1" x14ac:dyDescent="0.25">
      <c r="A11" s="2506" t="s">
        <v>1984</v>
      </c>
      <c r="B11" s="2507"/>
      <c r="C11" s="2507"/>
      <c r="D11" s="2507"/>
      <c r="E11" s="2507"/>
      <c r="F11" s="2508"/>
    </row>
    <row r="12" spans="1:6" ht="15" customHeight="1" x14ac:dyDescent="0.25">
      <c r="A12" s="1873" t="s">
        <v>1980</v>
      </c>
      <c r="B12" s="1874"/>
      <c r="C12" s="1875"/>
      <c r="D12" s="1875"/>
      <c r="E12" s="1875"/>
      <c r="F12" s="1876"/>
    </row>
    <row r="13" spans="1:6" ht="17.25" customHeight="1" x14ac:dyDescent="0.25">
      <c r="A13" s="2506" t="s">
        <v>1981</v>
      </c>
      <c r="B13" s="2507"/>
      <c r="C13" s="2507"/>
      <c r="D13" s="2507"/>
      <c r="E13" s="2507"/>
      <c r="F13" s="2508"/>
    </row>
    <row r="14" spans="1:6" ht="15" customHeight="1" x14ac:dyDescent="0.25">
      <c r="A14" s="1873" t="s">
        <v>1798</v>
      </c>
      <c r="B14" s="1874"/>
      <c r="C14" s="1875"/>
      <c r="D14" s="1875"/>
      <c r="E14" s="1875"/>
      <c r="F14" s="1876"/>
    </row>
    <row r="15" spans="1:6" ht="32.25" customHeight="1" x14ac:dyDescent="0.25">
      <c r="A15" s="24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8"/>
      <c r="C15" s="2498"/>
      <c r="D15" s="2498"/>
      <c r="E15" s="2498"/>
      <c r="F15" s="2499"/>
    </row>
    <row r="16" spans="1:6" ht="61.5" customHeight="1" x14ac:dyDescent="0.25">
      <c r="A16" s="1877" t="s">
        <v>1799</v>
      </c>
      <c r="B16" s="1878" t="s">
        <v>1800</v>
      </c>
      <c r="C16" s="1877" t="s">
        <v>1801</v>
      </c>
      <c r="D16" s="1879" t="s">
        <v>1802</v>
      </c>
      <c r="E16" s="1879" t="s">
        <v>1803</v>
      </c>
      <c r="F16" s="1879" t="s">
        <v>1804</v>
      </c>
    </row>
    <row r="17" spans="1:7" x14ac:dyDescent="0.25">
      <c r="A17" s="1880" t="s">
        <v>1806</v>
      </c>
      <c r="B17" s="1907" t="s">
        <v>1797</v>
      </c>
      <c r="C17" s="1881" t="s">
        <v>1795</v>
      </c>
      <c r="D17" s="1882">
        <v>500000</v>
      </c>
      <c r="E17" s="1882" t="str">
        <f>IF(D17&lt;25000,D17,"25,000")</f>
        <v>25,000</v>
      </c>
      <c r="F17" s="1883">
        <f>IF(D17&gt;=25000,(D17-E17),"0")</f>
        <v>475000</v>
      </c>
    </row>
    <row r="18" spans="1:7" x14ac:dyDescent="0.25">
      <c r="A18" s="2158" t="s">
        <v>2174</v>
      </c>
      <c r="B18" s="1908">
        <v>202540300</v>
      </c>
      <c r="C18" s="2159" t="s">
        <v>2175</v>
      </c>
      <c r="D18" s="1886">
        <v>563493</v>
      </c>
      <c r="E18" s="1906" t="str">
        <f t="shared" ref="E18:E83" si="0">IF(D18&lt;25000,D18,"25,000")</f>
        <v>25,000</v>
      </c>
      <c r="F18" s="1906">
        <f t="shared" ref="F18:F83" si="1">IF(D18&gt;=25000,(D18-E18),"0")</f>
        <v>538493</v>
      </c>
      <c r="G18" s="1887"/>
    </row>
    <row r="19" spans="1:7" x14ac:dyDescent="0.25">
      <c r="A19" s="2158" t="s">
        <v>2176</v>
      </c>
      <c r="B19" s="1908">
        <v>102100300</v>
      </c>
      <c r="C19" s="2159" t="s">
        <v>2177</v>
      </c>
      <c r="D19" s="1886">
        <v>168063</v>
      </c>
      <c r="E19" s="1906" t="str">
        <f t="shared" si="0"/>
        <v>25,000</v>
      </c>
      <c r="F19" s="1906">
        <f t="shared" si="1"/>
        <v>143063</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c r="F25" s="1906"/>
    </row>
    <row r="26" spans="1:7" x14ac:dyDescent="0.25">
      <c r="A26" s="1888"/>
      <c r="B26" s="1908"/>
      <c r="C26" s="1885"/>
      <c r="D26" s="1886"/>
      <c r="E26" s="1906"/>
      <c r="F26" s="1906"/>
    </row>
    <row r="27" spans="1:7" x14ac:dyDescent="0.25">
      <c r="A27" s="1888"/>
      <c r="B27" s="1908"/>
      <c r="C27" s="1885"/>
      <c r="D27" s="1886"/>
      <c r="E27" s="1906">
        <f t="shared" si="0"/>
        <v>0</v>
      </c>
      <c r="F27" s="1906" t="str">
        <f t="shared" si="1"/>
        <v>0</v>
      </c>
    </row>
    <row r="28" spans="1:7" hidden="1" x14ac:dyDescent="0.25">
      <c r="A28" s="1888"/>
      <c r="B28" s="1908"/>
      <c r="C28" s="1885"/>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8"/>
      <c r="C39" s="1889"/>
      <c r="D39" s="1886"/>
      <c r="E39" s="1906">
        <f t="shared" si="0"/>
        <v>0</v>
      </c>
      <c r="F39" s="1906" t="str">
        <f t="shared" si="1"/>
        <v>0</v>
      </c>
    </row>
    <row r="40" spans="1:6" hidden="1" x14ac:dyDescent="0.25">
      <c r="A40" s="1888"/>
      <c r="B40" s="1908"/>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8"/>
      <c r="B65" s="1909"/>
      <c r="C65" s="1889"/>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4"/>
      <c r="B67" s="1909"/>
      <c r="C67" s="1885"/>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si="0"/>
        <v>0</v>
      </c>
      <c r="F82" s="1906" t="str">
        <f t="shared" si="1"/>
        <v>0</v>
      </c>
    </row>
    <row r="83" spans="1:6" hidden="1" x14ac:dyDescent="0.25">
      <c r="A83" s="1888"/>
      <c r="B83" s="1909"/>
      <c r="C83" s="1889"/>
      <c r="D83" s="1886"/>
      <c r="E83" s="1906">
        <f t="shared" si="0"/>
        <v>0</v>
      </c>
      <c r="F83" s="1906" t="str">
        <f t="shared" si="1"/>
        <v>0</v>
      </c>
    </row>
    <row r="84" spans="1:6" hidden="1" x14ac:dyDescent="0.25">
      <c r="A84" s="1888"/>
      <c r="B84" s="1909"/>
      <c r="C84" s="1889"/>
      <c r="D84" s="1886"/>
      <c r="E84" s="1906">
        <f t="shared" ref="E84:E143" si="2">IF(D84&lt;25000,D84,"25,000")</f>
        <v>0</v>
      </c>
      <c r="F84" s="1906" t="str">
        <f t="shared" ref="F84:F143" si="3">IF(D84&gt;=25000,(D84-E84),"0")</f>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09"/>
      <c r="C141" s="1889"/>
      <c r="D141" s="1886"/>
      <c r="E141" s="1906">
        <f t="shared" si="2"/>
        <v>0</v>
      </c>
      <c r="F141" s="1906" t="str">
        <f t="shared" si="3"/>
        <v>0</v>
      </c>
    </row>
    <row r="142" spans="1:6" x14ac:dyDescent="0.25">
      <c r="A142" s="1888"/>
      <c r="B142" s="1909"/>
      <c r="C142" s="1889"/>
      <c r="D142" s="1886"/>
      <c r="E142" s="1906">
        <f t="shared" si="2"/>
        <v>0</v>
      </c>
      <c r="F142" s="1906" t="str">
        <f t="shared" si="3"/>
        <v>0</v>
      </c>
    </row>
    <row r="143" spans="1:6" x14ac:dyDescent="0.25">
      <c r="A143" s="1888"/>
      <c r="B143" s="1910"/>
      <c r="C143" s="1889"/>
      <c r="D143" s="1886"/>
      <c r="E143" s="1906">
        <f t="shared" si="2"/>
        <v>0</v>
      </c>
      <c r="F143" s="1906" t="str">
        <f t="shared" si="3"/>
        <v>0</v>
      </c>
    </row>
    <row r="144" spans="1:6" x14ac:dyDescent="0.25">
      <c r="A144" s="1890" t="s">
        <v>155</v>
      </c>
      <c r="B144" s="1911"/>
      <c r="C144" s="1891"/>
      <c r="D144" s="1892">
        <f>SUM(D18:D143)</f>
        <v>731556</v>
      </c>
      <c r="E144" s="1893">
        <f>SUM(E18:E143)</f>
        <v>0</v>
      </c>
      <c r="F144" s="1894">
        <f>SUM(F18:F143)</f>
        <v>681556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514350</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1485900</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12" t="s">
        <v>1660</v>
      </c>
      <c r="B5" s="2513"/>
      <c r="C5" s="2513"/>
      <c r="D5" s="2513"/>
      <c r="E5" s="2513"/>
      <c r="F5" s="2513"/>
      <c r="G5" s="251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1892</v>
      </c>
      <c r="B10" s="803"/>
      <c r="C10" s="807"/>
      <c r="D10" s="804"/>
      <c r="E10" s="1800">
        <v>263646</v>
      </c>
      <c r="F10" s="805"/>
      <c r="G10" s="806"/>
      <c r="H10" s="157"/>
      <c r="I10" s="157"/>
    </row>
    <row r="11" spans="1:13" s="542" customFormat="1" ht="22.5" customHeight="1" x14ac:dyDescent="0.2">
      <c r="A11" s="25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8"/>
      <c r="C11" s="2518"/>
      <c r="D11" s="2519"/>
      <c r="E11" s="1801">
        <v>60626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9536504</v>
      </c>
      <c r="F19" s="1802"/>
      <c r="G19" s="1804">
        <f>'Expenditures 15-22'!K33-SUM('Expenditures 15-22'!G33,'Expenditures 15-22'!I33)+'Expenditures 15-22'!D229</f>
        <v>9536504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885764</v>
      </c>
      <c r="F21" s="1805"/>
      <c r="G21" s="1808">
        <f>'Expenditures 15-22'!K42-SUM('Expenditures 15-22'!G42,'Expenditures 15-22'!I42)+'Expenditures 15-22'!K120-SUM('Expenditures 15-22'!G120,'Expenditures 15-22'!I120)+'Expenditures 15-22'!K180-SUM('Expenditures 15-22'!G180,'Expenditures 15-22'!I180)+'Expenditures 15-22'!D238</f>
        <v>885764</v>
      </c>
      <c r="H21" s="817"/>
      <c r="I21" s="157"/>
    </row>
    <row r="22" spans="1:9" s="542" customFormat="1" ht="12" customHeight="1" x14ac:dyDescent="0.2">
      <c r="A22" s="824" t="s">
        <v>560</v>
      </c>
      <c r="B22" s="825"/>
      <c r="C22" s="823">
        <v>2200</v>
      </c>
      <c r="D22" s="1805"/>
      <c r="E22" s="1807">
        <f>'Expenditures 15-22'!K47-SUM('Expenditures 15-22'!G47,'Expenditures 15-22'!I47)+'Expenditures 15-22'!D243</f>
        <v>533222</v>
      </c>
      <c r="F22" s="1805"/>
      <c r="G22" s="1808">
        <f>'Expenditures 15-22'!K47-SUM('Expenditures 15-22'!G47,'Expenditures 15-22'!I47)+'Expenditures 15-22'!D243</f>
        <v>533222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1013909</v>
      </c>
      <c r="F23" s="1805"/>
      <c r="G23" s="1807">
        <f>'Expenditures 15-22'!K53-SUM('Expenditures 15-22'!G53,'Expenditures 15-22'!I53)+'Expenditures 15-22'!D257+'Expenditures 15-22'!K330-SUM('Expenditures 15-22'!G330,'Expenditures 15-22'!I330)</f>
        <v>1013909</v>
      </c>
      <c r="H23" s="817"/>
      <c r="I23" s="157"/>
    </row>
    <row r="24" spans="1:9" s="542" customFormat="1" ht="12" customHeight="1" x14ac:dyDescent="0.2">
      <c r="A24" s="824" t="s">
        <v>562</v>
      </c>
      <c r="B24" s="825"/>
      <c r="C24" s="823">
        <v>2400</v>
      </c>
      <c r="D24" s="1805"/>
      <c r="E24" s="1807">
        <f>'Expenditures 15-22'!K57-SUM('Expenditures 15-22'!G57,'Expenditures 15-22'!I57)+'Expenditures 15-22'!D261</f>
        <v>1244482</v>
      </c>
      <c r="F24" s="1805"/>
      <c r="G24" s="1808">
        <f>'Expenditures 15-22'!K57-SUM('Expenditures 15-22'!G57,'Expenditures 15-22'!I57)+'Expenditures 15-22'!D261</f>
        <v>1244482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169919</v>
      </c>
      <c r="E26" s="1807">
        <f>'Expenditures 15-22'!K122-SUM('Expenditures 15-22'!G122,'Expenditures 15-22'!I122)+E7</f>
        <v>0</v>
      </c>
      <c r="F26" s="1807">
        <f>'Expenditures 15-22'!K59-SUM('Expenditures 15-22'!G59,'Expenditures 15-22'!I59)+'Expenditures 15-22'!D263-E7</f>
        <v>169919</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239972</v>
      </c>
      <c r="E27" s="1807">
        <f>E8</f>
        <v>0</v>
      </c>
      <c r="F27" s="1807">
        <f>'Expenditures 15-22'!K60-SUM('Expenditures 15-22'!G60,'Expenditures 15-22'!I60)+'Expenditures 15-22'!D264-E8</f>
        <v>239972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1511166</v>
      </c>
      <c r="F28" s="1809">
        <f>'Expenditures 15-22'!K61-SUM('Expenditures 15-22'!G61,'Expenditures 15-22'!I61)+'Expenditures 15-22'!K124-SUM('Expenditures 15-22'!G124,'Expenditures 15-22'!I124)+'Expenditures 15-22'!D266-E9</f>
        <v>1511166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1795764</v>
      </c>
      <c r="F29" s="1805"/>
      <c r="G29" s="1808">
        <f>'Expenditures 15-22'!K62-SUM('Expenditures 15-22'!G62,'Expenditures 15-22'!I62)+'Expenditures 15-22'!K125-SUM('Expenditures 15-22'!G125,'Expenditures 15-22'!I125)+'Expenditures 15-22'!K182-SUM('Expenditures 15-22'!G182,'Expenditures 15-22'!I182)+'Expenditures 15-22'!D267</f>
        <v>1795764</v>
      </c>
      <c r="H29" s="815"/>
    </row>
    <row r="30" spans="1:9" ht="12" customHeight="1" x14ac:dyDescent="0.2">
      <c r="A30" s="824" t="s">
        <v>100</v>
      </c>
      <c r="B30" s="827"/>
      <c r="C30" s="823">
        <v>2560</v>
      </c>
      <c r="D30" s="1805"/>
      <c r="E30" s="1807">
        <f>'Expenditures 15-22'!K63-SUM('Expenditures 15-22'!G63,'Expenditures 15-22'!I63)+'Expenditures 15-22'!D268-E10</f>
        <v>376182</v>
      </c>
      <c r="F30" s="1805"/>
      <c r="G30" s="1807">
        <f>'Expenditures 15-22'!K63-SUM('Expenditures 15-22'!G63,'Expenditures 15-22'!I63)+'Expenditures 15-22'!D268-E10</f>
        <v>376182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302050</v>
      </c>
      <c r="E37" s="1807">
        <f>E14</f>
        <v>0</v>
      </c>
      <c r="F37" s="1807">
        <f>'Expenditures 15-22'!K71-SUM('Expenditures 15-22'!G71,'Expenditures 15-22'!I71)+'Expenditures 15-22'!D276-E14</f>
        <v>302050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1361</v>
      </c>
      <c r="F39" s="1805"/>
      <c r="G39" s="1807">
        <f>'Expenditures 15-22'!K75-SUM('Expenditures 15-22'!G75,'Expenditures 15-22'!I75)+'Expenditures 15-22'!K130-SUM('Expenditures 15-22'!G130,'Expenditures 15-22'!I130)+'Expenditures 15-22'!K185-SUM('Expenditures 15-22'!G185,'Expenditures 15-22'!I185)+'Expenditures 15-22'!D280</f>
        <v>1361</v>
      </c>
    </row>
    <row r="40" spans="1:7" ht="12" customHeight="1" x14ac:dyDescent="0.2">
      <c r="A40" s="820" t="s">
        <v>1796</v>
      </c>
      <c r="B40" s="821"/>
      <c r="C40" s="823"/>
      <c r="D40" s="1805"/>
      <c r="E40" s="1809">
        <f>-'Contracts Paid in CY 29'!F144</f>
        <v>-681556</v>
      </c>
      <c r="F40" s="1805"/>
      <c r="G40" s="1809">
        <f>-'Contracts Paid in CY 29'!F144</f>
        <v>-681556</v>
      </c>
    </row>
    <row r="41" spans="1:7" ht="12" customHeight="1" x14ac:dyDescent="0.2">
      <c r="A41" s="828" t="s">
        <v>155</v>
      </c>
      <c r="B41" s="829"/>
      <c r="C41" s="830"/>
      <c r="D41" s="1809">
        <f>SUM(D19:D39)</f>
        <v>711941</v>
      </c>
      <c r="E41" s="1809">
        <f>SUM(E19:E40)</f>
        <v>16216798</v>
      </c>
      <c r="F41" s="1809">
        <f>SUM(F19:F39)</f>
        <v>2223107</v>
      </c>
      <c r="G41" s="1809">
        <f>SUM(G19:G40)</f>
        <v>14705632</v>
      </c>
    </row>
    <row r="42" spans="1:7" x14ac:dyDescent="0.2">
      <c r="A42" s="817"/>
      <c r="B42" s="157"/>
      <c r="C42" s="831"/>
      <c r="D42" s="2515" t="s">
        <v>519</v>
      </c>
      <c r="E42" s="2516"/>
      <c r="F42" s="832" t="s">
        <v>520</v>
      </c>
      <c r="G42" s="833"/>
    </row>
    <row r="43" spans="1:7" ht="12" customHeight="1" x14ac:dyDescent="0.2">
      <c r="A43" s="817"/>
      <c r="B43" s="157"/>
      <c r="C43" s="831"/>
      <c r="D43" s="1458" t="s">
        <v>470</v>
      </c>
      <c r="E43" s="1810">
        <f>D41</f>
        <v>711941</v>
      </c>
      <c r="F43" s="1458" t="s">
        <v>470</v>
      </c>
      <c r="G43" s="1810">
        <f>F41</f>
        <v>2223107</v>
      </c>
    </row>
    <row r="44" spans="1:7" ht="12" customHeight="1" x14ac:dyDescent="0.2">
      <c r="A44" s="817"/>
      <c r="B44" s="157"/>
      <c r="C44" s="831"/>
      <c r="D44" s="1458" t="s">
        <v>471</v>
      </c>
      <c r="E44" s="1810">
        <f>E41</f>
        <v>16216798</v>
      </c>
      <c r="F44" s="1458" t="s">
        <v>471</v>
      </c>
      <c r="G44" s="1810">
        <f>G41</f>
        <v>14705632</v>
      </c>
    </row>
    <row r="45" spans="1:7" ht="12" customHeight="1" x14ac:dyDescent="0.2">
      <c r="A45" s="817"/>
      <c r="B45" s="157"/>
      <c r="C45" s="157"/>
      <c r="D45" s="1459" t="s">
        <v>999</v>
      </c>
      <c r="E45" s="1811">
        <f>(E43/E44)</f>
        <v>4.3901453295527269E-2</v>
      </c>
      <c r="F45" s="1459" t="s">
        <v>999</v>
      </c>
      <c r="G45" s="1811">
        <f>(G43/G44)</f>
        <v>0.15117384958361532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8"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85" zoomScaleNormal="110" zoomScaleSheetLayoutView="85" workbookViewId="0">
      <selection sqref="A1:F1"/>
    </sheetView>
  </sheetViews>
  <sheetFormatPr defaultColWidth="9.28515625" defaultRowHeight="12.75" x14ac:dyDescent="0.2"/>
  <cols>
    <col min="1" max="1" width="54.5703125" style="1505" customWidth="1"/>
    <col min="2" max="2" width="4.28515625" style="1505" customWidth="1"/>
    <col min="3" max="4" width="9.7109375" style="1477" customWidth="1"/>
    <col min="5" max="5" width="12.5703125" style="1506" customWidth="1"/>
    <col min="6" max="6" width="67.5703125" style="1477" customWidth="1"/>
    <col min="7" max="7" width="9.28515625" style="1477" customWidth="1"/>
    <col min="8" max="8" width="7.5703125" style="1507" bestFit="1" customWidth="1"/>
    <col min="9" max="9" width="4" style="1507" bestFit="1" customWidth="1"/>
    <col min="10" max="10" width="2.7109375" style="1507" bestFit="1" customWidth="1"/>
    <col min="11" max="11" width="9" style="1507" customWidth="1"/>
    <col min="12" max="16384" width="9.28515625" style="1477"/>
  </cols>
  <sheetData>
    <row r="1" spans="1:15" x14ac:dyDescent="0.2">
      <c r="A1" s="2534" t="s">
        <v>1363</v>
      </c>
      <c r="B1" s="2534"/>
      <c r="C1" s="2534"/>
      <c r="D1" s="2534"/>
      <c r="E1" s="2534"/>
      <c r="F1" s="2534"/>
    </row>
    <row r="2" spans="1:15" x14ac:dyDescent="0.2">
      <c r="A2" s="1513" t="s">
        <v>1876</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35" t="s">
        <v>1529</v>
      </c>
      <c r="B5" s="2536"/>
      <c r="C5" s="2537"/>
      <c r="D5" s="2537"/>
      <c r="E5" s="2537"/>
      <c r="F5" s="2537"/>
      <c r="G5" s="1507"/>
      <c r="L5" s="1507"/>
      <c r="M5" s="1855"/>
      <c r="N5" s="1855"/>
      <c r="O5" s="1855"/>
    </row>
    <row r="6" spans="1:15" ht="12" customHeight="1" x14ac:dyDescent="0.25">
      <c r="A6" s="1480"/>
      <c r="B6" s="1481"/>
      <c r="C6" s="2538" t="str">
        <f>COVER!A17</f>
        <v>East Peoria SD 86</v>
      </c>
      <c r="D6" s="2538"/>
      <c r="E6" s="2538"/>
      <c r="F6" s="1482"/>
      <c r="G6" s="1507"/>
      <c r="L6" s="1507"/>
      <c r="M6" s="1855"/>
      <c r="N6" s="1855"/>
      <c r="O6" s="1855"/>
    </row>
    <row r="7" spans="1:15" ht="11.25" customHeight="1" thickBot="1" x14ac:dyDescent="0.3">
      <c r="A7" s="1480"/>
      <c r="B7" s="1481"/>
      <c r="C7" s="2539">
        <f>COVER!A13</f>
        <v>53090086002</v>
      </c>
      <c r="D7" s="2539"/>
      <c r="E7" s="2539"/>
      <c r="F7" s="1482"/>
      <c r="G7" s="1507"/>
      <c r="L7" s="1507"/>
      <c r="M7" s="1855"/>
      <c r="N7" s="1855"/>
      <c r="O7" s="1855"/>
    </row>
    <row r="8" spans="1:15" ht="25.5" customHeight="1" thickBot="1" x14ac:dyDescent="0.25">
      <c r="A8" s="1519" t="s">
        <v>1872</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t="s">
        <v>2171</v>
      </c>
      <c r="D12" s="1495" t="s">
        <v>2171</v>
      </c>
      <c r="E12" s="1498"/>
      <c r="F12" s="1497"/>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2171</v>
      </c>
      <c r="D21" s="1495" t="s">
        <v>2171</v>
      </c>
      <c r="E21" s="1498"/>
      <c r="F21" s="1497"/>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2171</v>
      </c>
      <c r="D26" s="1495" t="s">
        <v>2171</v>
      </c>
      <c r="E26" s="1498"/>
      <c r="F26" s="1497" t="s">
        <v>2179</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2171</v>
      </c>
      <c r="D33" s="1495" t="s">
        <v>2171</v>
      </c>
      <c r="E33" s="1498"/>
      <c r="F33" s="1497" t="s">
        <v>2178</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540"/>
      <c r="D35" s="2540"/>
      <c r="E35" s="2540"/>
      <c r="F35" s="2541"/>
    </row>
    <row r="36" spans="1:15" ht="12" customHeight="1" x14ac:dyDescent="0.2">
      <c r="A36" s="2523"/>
      <c r="B36" s="2524"/>
      <c r="C36" s="2524"/>
      <c r="D36" s="2524"/>
      <c r="E36" s="2524"/>
      <c r="F36" s="2525"/>
    </row>
    <row r="37" spans="1:15" ht="12" customHeight="1" x14ac:dyDescent="0.2">
      <c r="A37" s="2523"/>
      <c r="B37" s="2524"/>
      <c r="C37" s="2524"/>
      <c r="D37" s="2524"/>
      <c r="E37" s="2524"/>
      <c r="F37" s="2525"/>
    </row>
    <row r="38" spans="1:15" ht="12" customHeight="1" x14ac:dyDescent="0.2">
      <c r="A38" s="2526"/>
      <c r="B38" s="2527"/>
      <c r="C38" s="2527"/>
      <c r="D38" s="2527"/>
      <c r="E38" s="2527"/>
      <c r="F38" s="2528"/>
    </row>
    <row r="39" spans="1:15" ht="4.5" hidden="1" customHeight="1" x14ac:dyDescent="0.2">
      <c r="A39" s="1502"/>
      <c r="B39" s="1502"/>
      <c r="C39" s="1502"/>
      <c r="D39" s="1502"/>
      <c r="E39" s="1502"/>
      <c r="F39" s="1502"/>
    </row>
    <row r="40" spans="1:15" s="1499" customFormat="1" ht="12" customHeight="1" x14ac:dyDescent="0.25">
      <c r="A40" s="1503" t="s">
        <v>1375</v>
      </c>
      <c r="B40" s="1504"/>
      <c r="C40" s="2529"/>
      <c r="D40" s="2529"/>
      <c r="E40" s="2529"/>
      <c r="F40" s="2530"/>
      <c r="H40" s="1508"/>
      <c r="I40" s="1508"/>
      <c r="J40" s="1508"/>
      <c r="K40" s="1508"/>
    </row>
    <row r="41" spans="1:15" s="1499" customFormat="1" ht="12" customHeight="1" x14ac:dyDescent="0.25">
      <c r="A41" s="2531"/>
      <c r="B41" s="2532"/>
      <c r="C41" s="2532"/>
      <c r="D41" s="2532"/>
      <c r="E41" s="2532"/>
      <c r="F41" s="2533"/>
      <c r="H41" s="1508"/>
      <c r="I41" s="1508"/>
      <c r="J41" s="1508"/>
      <c r="K41" s="1508"/>
    </row>
    <row r="42" spans="1:15" s="1499" customFormat="1" ht="12" customHeight="1" x14ac:dyDescent="0.25">
      <c r="A42" s="2531"/>
      <c r="B42" s="2532"/>
      <c r="C42" s="2532"/>
      <c r="D42" s="2532"/>
      <c r="E42" s="2532"/>
      <c r="F42" s="2533"/>
      <c r="H42" s="1508"/>
      <c r="I42" s="1508"/>
      <c r="J42" s="1508"/>
      <c r="K42" s="1508"/>
    </row>
    <row r="43" spans="1:15" s="1499" customFormat="1" ht="15" x14ac:dyDescent="0.25">
      <c r="A43" s="2520"/>
      <c r="B43" s="2521"/>
      <c r="C43" s="2521"/>
      <c r="D43" s="2521"/>
      <c r="E43" s="2521"/>
      <c r="F43" s="2522"/>
      <c r="H43" s="1508"/>
      <c r="I43" s="1508"/>
      <c r="J43" s="1508"/>
      <c r="K43" s="1508"/>
    </row>
    <row r="44" spans="1:15" s="1499" customFormat="1" ht="12" hidden="1" customHeight="1" x14ac:dyDescent="0.25">
      <c r="A44" s="2520"/>
      <c r="B44" s="2521"/>
      <c r="C44" s="2521"/>
      <c r="D44" s="2521"/>
      <c r="E44" s="2521"/>
      <c r="F44" s="252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28515625" defaultRowHeight="12.75" x14ac:dyDescent="0.2"/>
  <cols>
    <col min="1" max="1" width="2.7109375" style="1921" customWidth="1"/>
    <col min="2" max="2" width="3" style="1921" customWidth="1"/>
    <col min="3" max="3" width="48.5703125" style="1921" customWidth="1"/>
    <col min="4" max="4" width="7.42578125" style="1921" customWidth="1"/>
    <col min="5" max="5" width="11.28515625" style="1921" customWidth="1"/>
    <col min="6" max="6" width="10.7109375" style="1921" customWidth="1"/>
    <col min="7" max="8" width="9.28515625" style="1921"/>
    <col min="9" max="9" width="11.28515625" style="1921" customWidth="1"/>
    <col min="10" max="10" width="10.7109375" style="1921" customWidth="1"/>
    <col min="11" max="11" width="9.28515625" style="1921"/>
    <col min="12" max="12" width="14.28515625" style="1921" customWidth="1"/>
    <col min="13" max="13" width="9.28515625" style="1921"/>
    <col min="14" max="14" width="18.7109375" style="1921" customWidth="1"/>
    <col min="15" max="16384" width="9.28515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2000</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560" t="str">
        <f>COVER!A17</f>
        <v>East Peoria SD 86</v>
      </c>
      <c r="K6" s="2560"/>
      <c r="L6" s="2574"/>
      <c r="M6" s="838"/>
      <c r="N6" s="1998"/>
    </row>
    <row r="7" spans="1:14" x14ac:dyDescent="0.2">
      <c r="A7" s="2575" t="s">
        <v>864</v>
      </c>
      <c r="B7" s="2576"/>
      <c r="C7" s="2576"/>
      <c r="D7" s="2576"/>
      <c r="E7" s="2577"/>
      <c r="F7" s="839"/>
      <c r="G7" s="838"/>
      <c r="H7" s="838"/>
      <c r="I7" s="1924" t="s">
        <v>369</v>
      </c>
      <c r="J7" s="2562">
        <f>COVER!A13</f>
        <v>53090086002</v>
      </c>
      <c r="K7" s="2562"/>
      <c r="L7" s="2562"/>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2016</v>
      </c>
      <c r="F9" s="1857"/>
      <c r="G9" s="1857"/>
      <c r="H9" s="1857"/>
      <c r="I9" s="1929" t="s">
        <v>2017</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578" t="s">
        <v>478</v>
      </c>
      <c r="B11" s="2579"/>
      <c r="C11" s="2580"/>
      <c r="D11" s="1937" t="s">
        <v>866</v>
      </c>
      <c r="E11" s="1937" t="s">
        <v>64</v>
      </c>
      <c r="F11" s="1937" t="s">
        <v>6</v>
      </c>
      <c r="G11" s="1938" t="s">
        <v>2018</v>
      </c>
      <c r="H11" s="1939" t="s">
        <v>155</v>
      </c>
      <c r="I11" s="1937" t="s">
        <v>64</v>
      </c>
      <c r="J11" s="1937" t="s">
        <v>6</v>
      </c>
      <c r="K11" s="1938" t="s">
        <v>1999</v>
      </c>
      <c r="L11" s="1939" t="s">
        <v>155</v>
      </c>
      <c r="M11" s="838"/>
      <c r="N11" s="1998"/>
    </row>
    <row r="12" spans="1:14" x14ac:dyDescent="0.2">
      <c r="A12" s="2003">
        <v>1</v>
      </c>
      <c r="B12" s="1940" t="s">
        <v>813</v>
      </c>
      <c r="C12" s="842"/>
      <c r="D12" s="1941">
        <v>2320</v>
      </c>
      <c r="E12" s="1944">
        <f>'Expenditures 15-22'!K50</f>
        <v>475976</v>
      </c>
      <c r="F12" s="1942"/>
      <c r="G12" s="1968">
        <f>G68</f>
        <v>0</v>
      </c>
      <c r="H12" s="1944">
        <f t="shared" ref="H12:H18" si="0">SUM(E12:G12)</f>
        <v>475976</v>
      </c>
      <c r="I12" s="1943">
        <v>497523</v>
      </c>
      <c r="J12" s="1942"/>
      <c r="K12" s="1943"/>
      <c r="L12" s="1944">
        <f t="shared" ref="L12:L18" si="1">SUM(I12:K12)</f>
        <v>497523</v>
      </c>
      <c r="M12" s="838"/>
      <c r="N12" s="1998"/>
    </row>
    <row r="13" spans="1:14" x14ac:dyDescent="0.2">
      <c r="A13" s="2003">
        <v>2</v>
      </c>
      <c r="B13" s="1940" t="s">
        <v>42</v>
      </c>
      <c r="C13" s="842"/>
      <c r="D13" s="1941">
        <v>2330</v>
      </c>
      <c r="E13" s="1944">
        <f>'Expenditures 15-22'!K51</f>
        <v>295921</v>
      </c>
      <c r="F13" s="1942"/>
      <c r="G13" s="1968">
        <f>H68</f>
        <v>0</v>
      </c>
      <c r="H13" s="1944">
        <f t="shared" si="0"/>
        <v>295921</v>
      </c>
      <c r="I13" s="1943">
        <v>298940</v>
      </c>
      <c r="J13" s="1942"/>
      <c r="K13" s="1943"/>
      <c r="L13" s="1944">
        <f t="shared" si="1"/>
        <v>298940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168226</v>
      </c>
      <c r="F15" s="1944">
        <f>'Expenditures 15-22'!K122</f>
        <v>0</v>
      </c>
      <c r="G15" s="1968">
        <f>J68</f>
        <v>0</v>
      </c>
      <c r="H15" s="1944">
        <f t="shared" si="0"/>
        <v>168226</v>
      </c>
      <c r="I15" s="1943">
        <v>174271</v>
      </c>
      <c r="J15" s="1943"/>
      <c r="K15" s="1943"/>
      <c r="L15" s="1944">
        <f t="shared" si="1"/>
        <v>174271</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81" t="s">
        <v>7</v>
      </c>
      <c r="C18" s="2582"/>
      <c r="D18" s="2583"/>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940123</v>
      </c>
      <c r="F19" s="1950">
        <f t="shared" si="2"/>
        <v>0</v>
      </c>
      <c r="G19" s="1950">
        <f t="shared" ref="G19" si="3">SUM(G12:G17)-G18</f>
        <v>0</v>
      </c>
      <c r="H19" s="1950">
        <f t="shared" si="2"/>
        <v>940123</v>
      </c>
      <c r="I19" s="1950">
        <f t="shared" si="2"/>
        <v>970734</v>
      </c>
      <c r="J19" s="1950">
        <f t="shared" si="2"/>
        <v>0</v>
      </c>
      <c r="K19" s="1950">
        <f t="shared" si="2"/>
        <v>0</v>
      </c>
      <c r="L19" s="1950">
        <f t="shared" si="2"/>
        <v>970734</v>
      </c>
      <c r="M19" s="838"/>
      <c r="N19" s="1998"/>
    </row>
    <row r="20" spans="1:14" ht="13.5" thickTop="1" x14ac:dyDescent="0.2">
      <c r="A20" s="2003">
        <v>9</v>
      </c>
      <c r="B20" s="2584" t="s">
        <v>2019</v>
      </c>
      <c r="C20" s="2584"/>
      <c r="D20" s="2585"/>
      <c r="E20" s="1951"/>
      <c r="F20" s="1951"/>
      <c r="G20" s="1951"/>
      <c r="H20" s="1951"/>
      <c r="I20" s="1951"/>
      <c r="J20" s="1951"/>
      <c r="K20" s="1951"/>
      <c r="L20" s="1952">
        <f>IF(AND(H19&gt;0,L19&gt;0),(((L19-H19)/H19)),"Enter Budget Data")</f>
        <v>3.2560633023551173E-2</v>
      </c>
      <c r="M20" s="838"/>
      <c r="N20" s="1998"/>
    </row>
    <row r="21" spans="1:14" x14ac:dyDescent="0.2">
      <c r="A21" s="2005" t="s">
        <v>194</v>
      </c>
      <c r="B21" s="2006" t="s">
        <v>2044</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2020</v>
      </c>
      <c r="B24" s="2010"/>
      <c r="C24" s="2011"/>
      <c r="D24" s="2011"/>
      <c r="E24" s="2011"/>
      <c r="F24" s="2011"/>
      <c r="G24" s="2011"/>
      <c r="H24" s="2011"/>
      <c r="I24" s="2011"/>
      <c r="J24" s="2011"/>
      <c r="K24" s="2011"/>
      <c r="L24" s="838"/>
      <c r="M24" s="838"/>
      <c r="N24" s="1998"/>
    </row>
    <row r="25" spans="1:14" x14ac:dyDescent="0.2">
      <c r="A25" s="2009" t="s">
        <v>2021</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86"/>
      <c r="D27" s="2586"/>
      <c r="E27" s="843"/>
      <c r="F27" s="2587"/>
      <c r="G27" s="2587"/>
      <c r="H27" s="2587"/>
      <c r="I27" s="838"/>
      <c r="J27" s="838"/>
      <c r="K27" s="838"/>
      <c r="L27" s="838"/>
      <c r="M27" s="838"/>
      <c r="N27" s="1998"/>
    </row>
    <row r="28" spans="1:14" x14ac:dyDescent="0.2">
      <c r="A28" s="1997"/>
      <c r="B28" s="2007"/>
      <c r="C28" s="1957" t="s">
        <v>1026</v>
      </c>
      <c r="D28" s="844"/>
      <c r="E28" s="1958"/>
      <c r="F28" s="2588" t="s">
        <v>1492</v>
      </c>
      <c r="G28" s="2588"/>
      <c r="H28" s="2588"/>
      <c r="I28" s="838"/>
      <c r="J28" s="838"/>
      <c r="K28" s="838"/>
      <c r="L28" s="838"/>
      <c r="M28" s="838"/>
      <c r="N28" s="1998"/>
    </row>
    <row r="29" spans="1:14" x14ac:dyDescent="0.2">
      <c r="A29" s="1997"/>
      <c r="B29" s="2007"/>
      <c r="C29" s="2589"/>
      <c r="D29" s="2589"/>
      <c r="E29" s="845"/>
      <c r="F29" s="2589"/>
      <c r="G29" s="2589"/>
      <c r="H29" s="2589"/>
      <c r="I29" s="838"/>
      <c r="J29" s="838"/>
      <c r="K29" s="838"/>
      <c r="L29" s="838"/>
      <c r="M29" s="838"/>
      <c r="N29" s="1998"/>
    </row>
    <row r="30" spans="1:14" x14ac:dyDescent="0.2">
      <c r="A30" s="1997"/>
      <c r="B30" s="2007"/>
      <c r="C30" s="1960" t="s">
        <v>1544</v>
      </c>
      <c r="D30" s="838"/>
      <c r="E30" s="1959"/>
      <c r="F30" s="2573" t="s">
        <v>1493</v>
      </c>
      <c r="G30" s="2573"/>
      <c r="H30" s="2573"/>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50" t="s">
        <v>2022</v>
      </c>
      <c r="D34" s="2551"/>
      <c r="E34" s="2551"/>
      <c r="F34" s="2551"/>
      <c r="G34" s="2551"/>
      <c r="H34" s="2551"/>
      <c r="I34" s="2551"/>
      <c r="J34" s="2551"/>
      <c r="K34" s="2016"/>
      <c r="L34" s="838"/>
      <c r="M34" s="838"/>
      <c r="N34" s="1998"/>
    </row>
    <row r="35" spans="1:14" x14ac:dyDescent="0.2">
      <c r="A35" s="1997"/>
      <c r="B35" s="838"/>
      <c r="C35" s="2551"/>
      <c r="D35" s="2551"/>
      <c r="E35" s="2551"/>
      <c r="F35" s="2551"/>
      <c r="G35" s="2551"/>
      <c r="H35" s="2551"/>
      <c r="I35" s="2551"/>
      <c r="J35" s="255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50" t="s">
        <v>2023</v>
      </c>
      <c r="D37" s="2551"/>
      <c r="E37" s="2551"/>
      <c r="F37" s="2551"/>
      <c r="G37" s="2551"/>
      <c r="H37" s="2551"/>
      <c r="I37" s="2551"/>
      <c r="J37" s="2551"/>
      <c r="K37" s="2016"/>
      <c r="L37" s="2018"/>
      <c r="M37" s="838"/>
      <c r="N37" s="1998"/>
    </row>
    <row r="38" spans="1:14" x14ac:dyDescent="0.2">
      <c r="A38" s="1997"/>
      <c r="B38" s="838"/>
      <c r="C38" s="2551"/>
      <c r="D38" s="2551"/>
      <c r="E38" s="2551"/>
      <c r="F38" s="2551"/>
      <c r="G38" s="2551"/>
      <c r="H38" s="2551"/>
      <c r="I38" s="2551"/>
      <c r="J38" s="255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52" t="s">
        <v>2024</v>
      </c>
      <c r="D40" s="2553"/>
      <c r="E40" s="2553"/>
      <c r="F40" s="2553"/>
      <c r="G40" s="2553"/>
      <c r="H40" s="2553"/>
      <c r="I40" s="2553"/>
      <c r="J40" s="255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54" t="s">
        <v>2025</v>
      </c>
      <c r="B43" s="2555"/>
      <c r="C43" s="2555"/>
      <c r="D43" s="2555"/>
      <c r="E43" s="2555"/>
      <c r="F43" s="2555"/>
      <c r="G43" s="2555"/>
      <c r="H43" s="2555"/>
      <c r="I43" s="2555"/>
      <c r="J43" s="2555"/>
      <c r="K43" s="2555"/>
      <c r="L43" s="2555"/>
      <c r="M43" s="2555"/>
      <c r="N43" s="255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2026</v>
      </c>
      <c r="B45" s="1983"/>
      <c r="C45" s="1983"/>
      <c r="D45" s="1983"/>
      <c r="E45" s="1983"/>
      <c r="F45" s="1983"/>
      <c r="G45" s="1983"/>
      <c r="H45" s="1983"/>
      <c r="I45" s="1983"/>
      <c r="J45" s="1983"/>
      <c r="K45" s="1983"/>
      <c r="L45" s="1983"/>
      <c r="M45" s="1983"/>
      <c r="N45" s="1984"/>
    </row>
    <row r="46" spans="1:14" x14ac:dyDescent="0.2">
      <c r="A46" s="2557" t="s">
        <v>2027</v>
      </c>
      <c r="B46" s="2558"/>
      <c r="C46" s="2558"/>
      <c r="D46" s="2558"/>
      <c r="E46" s="2558"/>
      <c r="F46" s="2558"/>
      <c r="G46" s="2558"/>
      <c r="H46" s="2558"/>
      <c r="I46" s="2558"/>
      <c r="J46" s="2558"/>
      <c r="K46" s="2558"/>
      <c r="L46" s="2558"/>
      <c r="M46" s="2558"/>
      <c r="N46" s="2559"/>
    </row>
    <row r="47" spans="1:14" x14ac:dyDescent="0.2">
      <c r="A47" s="2557"/>
      <c r="B47" s="2558"/>
      <c r="C47" s="2558"/>
      <c r="D47" s="2558"/>
      <c r="E47" s="2558"/>
      <c r="F47" s="2558"/>
      <c r="G47" s="2558"/>
      <c r="H47" s="2558"/>
      <c r="I47" s="2558"/>
      <c r="J47" s="2558"/>
      <c r="K47" s="2558"/>
      <c r="L47" s="2558"/>
      <c r="M47" s="2558"/>
      <c r="N47" s="255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2043</v>
      </c>
      <c r="B49" s="2024"/>
      <c r="C49" s="2024"/>
      <c r="D49" s="2025"/>
      <c r="E49" s="2025"/>
      <c r="F49" s="2025"/>
      <c r="G49" s="2025"/>
      <c r="H49" s="2025"/>
      <c r="I49" s="2025"/>
      <c r="J49" s="2025"/>
      <c r="K49" s="2025"/>
      <c r="L49" s="2025"/>
      <c r="M49" s="2025"/>
      <c r="N49" s="2026"/>
    </row>
    <row r="50" spans="1:14" ht="15" x14ac:dyDescent="0.25">
      <c r="A50" s="2028" t="s">
        <v>2042</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560" t="str">
        <f>J6</f>
        <v>East Peoria SD 86</v>
      </c>
      <c r="M52" s="2560"/>
      <c r="N52" s="2561"/>
    </row>
    <row r="53" spans="1:14" x14ac:dyDescent="0.2">
      <c r="A53" s="1982"/>
      <c r="B53" s="1983"/>
      <c r="C53" s="1983"/>
      <c r="D53" s="1983"/>
      <c r="E53" s="1983"/>
      <c r="F53" s="1983"/>
      <c r="G53" s="1983"/>
      <c r="H53" s="1983"/>
      <c r="I53" s="1983"/>
      <c r="J53" s="1983"/>
      <c r="K53" s="1924" t="s">
        <v>369</v>
      </c>
      <c r="L53" s="2562">
        <f>J7</f>
        <v>53090086002</v>
      </c>
      <c r="M53" s="2562"/>
      <c r="N53" s="256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64"/>
      <c r="B55" s="2565"/>
      <c r="C55" s="2565"/>
      <c r="D55" s="1970"/>
      <c r="E55" s="1970"/>
      <c r="F55" s="1970"/>
      <c r="G55" s="2566" t="s">
        <v>2028</v>
      </c>
      <c r="H55" s="2566"/>
      <c r="I55" s="2566"/>
      <c r="J55" s="2566"/>
      <c r="K55" s="2566"/>
      <c r="L55" s="2566"/>
      <c r="M55" s="2566"/>
      <c r="N55" s="2567"/>
    </row>
    <row r="56" spans="1:14" ht="63.75" x14ac:dyDescent="0.2">
      <c r="A56" s="2568" t="s">
        <v>2029</v>
      </c>
      <c r="B56" s="2569"/>
      <c r="C56" s="2570"/>
      <c r="D56" s="1964" t="s">
        <v>2030</v>
      </c>
      <c r="E56" s="1964" t="s">
        <v>2031</v>
      </c>
      <c r="F56" s="1971"/>
      <c r="G56" s="1964" t="s">
        <v>2032</v>
      </c>
      <c r="H56" s="1964" t="s">
        <v>2033</v>
      </c>
      <c r="I56" s="1964" t="s">
        <v>2034</v>
      </c>
      <c r="J56" s="1964" t="s">
        <v>2035</v>
      </c>
      <c r="K56" s="1964" t="s">
        <v>2036</v>
      </c>
      <c r="L56" s="1964" t="s">
        <v>2037</v>
      </c>
      <c r="M56" s="1964" t="s">
        <v>2038</v>
      </c>
      <c r="N56" s="1965" t="s">
        <v>2045</v>
      </c>
    </row>
    <row r="57" spans="1:14" ht="24.75" customHeight="1" x14ac:dyDescent="0.2">
      <c r="A57" s="2571" t="s">
        <v>296</v>
      </c>
      <c r="B57" s="2572"/>
      <c r="C57" s="257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48" t="s">
        <v>2039</v>
      </c>
      <c r="B58" s="2549"/>
      <c r="C58" s="2549"/>
      <c r="D58" s="1967">
        <v>2362</v>
      </c>
      <c r="E58" s="1977">
        <f>'Expenditures 15-22'!K320</f>
        <v>43727</v>
      </c>
      <c r="F58" s="1972"/>
      <c r="G58" s="2031"/>
      <c r="H58" s="2032"/>
      <c r="I58" s="2032"/>
      <c r="J58" s="2032"/>
      <c r="K58" s="2032"/>
      <c r="L58" s="2032"/>
      <c r="M58" s="2032">
        <v>43727</v>
      </c>
      <c r="N58" s="1975">
        <f>IF((SUM(G58:M58))=E58,SUM(G58:M58),"Column N does not agree with Column E")</f>
        <v>43727</v>
      </c>
    </row>
    <row r="59" spans="1:14" ht="24.75" customHeight="1" x14ac:dyDescent="0.2">
      <c r="A59" s="2542" t="s">
        <v>297</v>
      </c>
      <c r="B59" s="2543"/>
      <c r="C59" s="254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42" t="s">
        <v>236</v>
      </c>
      <c r="B60" s="2543"/>
      <c r="C60" s="2543"/>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542" t="s">
        <v>697</v>
      </c>
      <c r="B61" s="2543"/>
      <c r="C61" s="2543"/>
      <c r="D61" s="1967">
        <v>2365</v>
      </c>
      <c r="E61" s="1977">
        <f>'Expenditures 15-22'!K323</f>
        <v>0</v>
      </c>
      <c r="F61" s="1972"/>
      <c r="G61" s="2031"/>
      <c r="H61" s="2032"/>
      <c r="I61" s="2032"/>
      <c r="J61" s="2032"/>
      <c r="K61" s="2032"/>
      <c r="L61" s="2032"/>
      <c r="M61" s="2032"/>
      <c r="N61" s="1975">
        <f t="shared" si="4"/>
        <v>0</v>
      </c>
    </row>
    <row r="62" spans="1:14" ht="24" customHeight="1" x14ac:dyDescent="0.2">
      <c r="A62" s="2542" t="s">
        <v>237</v>
      </c>
      <c r="B62" s="2543"/>
      <c r="C62" s="2543"/>
      <c r="D62" s="1967">
        <v>2366</v>
      </c>
      <c r="E62" s="1977">
        <f>'Expenditures 15-22'!K324</f>
        <v>0</v>
      </c>
      <c r="F62" s="1972"/>
      <c r="G62" s="2031"/>
      <c r="H62" s="2032"/>
      <c r="I62" s="2032"/>
      <c r="J62" s="2032"/>
      <c r="K62" s="2032"/>
      <c r="L62" s="2032"/>
      <c r="M62" s="2032"/>
      <c r="N62" s="1975">
        <f t="shared" si="4"/>
        <v>0</v>
      </c>
    </row>
    <row r="63" spans="1:14" ht="24" customHeight="1" x14ac:dyDescent="0.2">
      <c r="A63" s="2548" t="s">
        <v>1022</v>
      </c>
      <c r="B63" s="2549"/>
      <c r="C63" s="2549"/>
      <c r="D63" s="1967">
        <v>2367</v>
      </c>
      <c r="E63" s="1977">
        <f>'Expenditures 15-22'!K325</f>
        <v>0</v>
      </c>
      <c r="F63" s="1972"/>
      <c r="G63" s="2031"/>
      <c r="H63" s="2032"/>
      <c r="I63" s="2032"/>
      <c r="J63" s="2032"/>
      <c r="K63" s="2032"/>
      <c r="L63" s="2032"/>
      <c r="M63" s="2032"/>
      <c r="N63" s="1975">
        <f t="shared" si="4"/>
        <v>0</v>
      </c>
    </row>
    <row r="64" spans="1:14" ht="24" customHeight="1" x14ac:dyDescent="0.2">
      <c r="A64" s="2542" t="s">
        <v>1023</v>
      </c>
      <c r="B64" s="2543"/>
      <c r="C64" s="2543"/>
      <c r="D64" s="1967">
        <v>2368</v>
      </c>
      <c r="E64" s="1977">
        <f>'Expenditures 15-22'!K326</f>
        <v>0</v>
      </c>
      <c r="F64" s="1972"/>
      <c r="G64" s="2031"/>
      <c r="H64" s="2032"/>
      <c r="I64" s="2032"/>
      <c r="J64" s="2032"/>
      <c r="K64" s="2032"/>
      <c r="L64" s="2032"/>
      <c r="M64" s="2032"/>
      <c r="N64" s="1975">
        <f t="shared" si="4"/>
        <v>0</v>
      </c>
    </row>
    <row r="65" spans="1:14" ht="24" customHeight="1" x14ac:dyDescent="0.2">
      <c r="A65" s="2542" t="s">
        <v>965</v>
      </c>
      <c r="B65" s="2543"/>
      <c r="C65" s="2543"/>
      <c r="D65" s="1967">
        <v>2369</v>
      </c>
      <c r="E65" s="1977">
        <f>'Expenditures 15-22'!K327</f>
        <v>0</v>
      </c>
      <c r="F65" s="1972"/>
      <c r="G65" s="2031"/>
      <c r="H65" s="2032"/>
      <c r="I65" s="2032"/>
      <c r="J65" s="2032"/>
      <c r="K65" s="2032"/>
      <c r="L65" s="2032"/>
      <c r="M65" s="2032"/>
      <c r="N65" s="1975">
        <f t="shared" si="4"/>
        <v>0</v>
      </c>
    </row>
    <row r="66" spans="1:14" ht="24" customHeight="1" x14ac:dyDescent="0.2">
      <c r="A66" s="2542" t="s">
        <v>469</v>
      </c>
      <c r="B66" s="2543"/>
      <c r="C66" s="2543"/>
      <c r="D66" s="1967">
        <v>2371</v>
      </c>
      <c r="E66" s="1977">
        <f>'Expenditures 15-22'!K328</f>
        <v>0</v>
      </c>
      <c r="F66" s="1972"/>
      <c r="G66" s="2031"/>
      <c r="H66" s="2032"/>
      <c r="I66" s="2032"/>
      <c r="J66" s="2032"/>
      <c r="K66" s="2032"/>
      <c r="L66" s="2032"/>
      <c r="M66" s="2032"/>
      <c r="N66" s="1975">
        <f t="shared" si="4"/>
        <v>0</v>
      </c>
    </row>
    <row r="67" spans="1:14" ht="24.75" customHeight="1" x14ac:dyDescent="0.2">
      <c r="A67" s="2544" t="s">
        <v>2040</v>
      </c>
      <c r="B67" s="2545"/>
      <c r="C67" s="2545"/>
      <c r="D67" s="1969">
        <v>2372</v>
      </c>
      <c r="E67" s="1978">
        <f>'Expenditures 15-22'!K329</f>
        <v>0</v>
      </c>
      <c r="F67" s="1972"/>
      <c r="G67" s="2033"/>
      <c r="H67" s="2034"/>
      <c r="I67" s="2034"/>
      <c r="J67" s="2034"/>
      <c r="K67" s="2034"/>
      <c r="L67" s="2034"/>
      <c r="M67" s="2034"/>
      <c r="N67" s="1975">
        <f t="shared" si="4"/>
        <v>0</v>
      </c>
    </row>
    <row r="68" spans="1:14" x14ac:dyDescent="0.2">
      <c r="A68" s="2546" t="s">
        <v>1151</v>
      </c>
      <c r="B68" s="2547"/>
      <c r="C68" s="2547"/>
      <c r="D68" s="1970"/>
      <c r="E68" s="1974">
        <f>SUM(E57:E67)</f>
        <v>43727</v>
      </c>
      <c r="F68" s="1973"/>
      <c r="G68" s="1974">
        <f t="shared" ref="G68:N68" si="5">SUM(G57:G67)</f>
        <v>0</v>
      </c>
      <c r="H68" s="1974">
        <f t="shared" si="5"/>
        <v>0</v>
      </c>
      <c r="I68" s="1974">
        <f t="shared" si="5"/>
        <v>0</v>
      </c>
      <c r="J68" s="1974">
        <f t="shared" si="5"/>
        <v>0</v>
      </c>
      <c r="K68" s="1974">
        <f t="shared" si="5"/>
        <v>0</v>
      </c>
      <c r="L68" s="1974">
        <f t="shared" si="5"/>
        <v>0</v>
      </c>
      <c r="M68" s="1974">
        <f t="shared" si="5"/>
        <v>43727</v>
      </c>
      <c r="N68" s="1988">
        <f t="shared" si="5"/>
        <v>43727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2041</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2" x14ac:dyDescent="0.2">
      <c r="A2" s="366" t="s">
        <v>256</v>
      </c>
    </row>
    <row r="3" spans="1:2" x14ac:dyDescent="0.2">
      <c r="A3" s="307" t="s">
        <v>257</v>
      </c>
    </row>
    <row r="5" spans="1:2" x14ac:dyDescent="0.2">
      <c r="A5" s="847">
        <v>1</v>
      </c>
      <c r="B5" s="307" t="s">
        <v>2184</v>
      </c>
    </row>
    <row r="6" spans="1:2" x14ac:dyDescent="0.2">
      <c r="A6" s="847">
        <v>2</v>
      </c>
      <c r="B6" s="307" t="s">
        <v>2180</v>
      </c>
    </row>
    <row r="7" spans="1:2" x14ac:dyDescent="0.2">
      <c r="A7" s="847">
        <v>3</v>
      </c>
      <c r="B7" s="307" t="s">
        <v>2181</v>
      </c>
    </row>
    <row r="8" spans="1:2" x14ac:dyDescent="0.2">
      <c r="A8" s="847">
        <v>4</v>
      </c>
      <c r="B8" s="307" t="s">
        <v>2182</v>
      </c>
    </row>
    <row r="9" spans="1:2" x14ac:dyDescent="0.2">
      <c r="A9" s="847">
        <v>5</v>
      </c>
      <c r="B9" s="307" t="s">
        <v>2183</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East Peoria SD 86</v>
      </c>
    </row>
    <row r="66" spans="1:2" x14ac:dyDescent="0.2">
      <c r="B66" s="849">
        <f>COVER!A13</f>
        <v>53090086002</v>
      </c>
    </row>
  </sheetData>
  <phoneticPr fontId="15" type="noConversion"/>
  <pageMargins left="0.2" right="0.2" top="1.17" bottom="0.75" header="0.19" footer="0.16"/>
  <pageSetup scale="79"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2" sqref="F12"/>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590" t="s">
        <v>1665</v>
      </c>
      <c r="B18" s="259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295275</xdr:colOff>
                <xdr:row>5</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4</xdr:col>
                <xdr:colOff>0</xdr:colOff>
                <xdr:row>1</xdr:row>
                <xdr:rowOff>0</xdr:rowOff>
              </from>
              <to>
                <xdr:col>5</xdr:col>
                <xdr:colOff>295275</xdr:colOff>
                <xdr:row>5</xdr:row>
                <xdr:rowOff>38100</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591" t="s">
        <v>1669</v>
      </c>
      <c r="B1" s="2592"/>
      <c r="C1" s="2592"/>
      <c r="D1" s="2592"/>
      <c r="E1" s="2592"/>
      <c r="F1" s="2593"/>
    </row>
    <row r="2" spans="1:8" ht="45" customHeight="1" x14ac:dyDescent="0.2">
      <c r="A2" s="26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02"/>
      <c r="C2" s="2602"/>
      <c r="D2" s="2602"/>
      <c r="E2" s="2602"/>
      <c r="F2" s="2603"/>
      <c r="G2" s="853"/>
      <c r="H2" s="853"/>
    </row>
    <row r="3" spans="1:8" ht="57" customHeight="1" x14ac:dyDescent="0.2">
      <c r="A3" s="2604" t="s">
        <v>1970</v>
      </c>
      <c r="B3" s="2605"/>
      <c r="C3" s="2605"/>
      <c r="D3" s="2605"/>
      <c r="E3" s="2605"/>
      <c r="F3" s="2606"/>
      <c r="G3" s="853"/>
      <c r="H3" s="853"/>
    </row>
    <row r="4" spans="1:8" ht="14.25" customHeight="1" x14ac:dyDescent="0.2">
      <c r="A4" s="26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11"/>
      <c r="C4" s="2611"/>
      <c r="D4" s="2611"/>
      <c r="E4" s="2611"/>
      <c r="F4" s="2612"/>
      <c r="G4" s="853"/>
      <c r="H4" s="853"/>
    </row>
    <row r="5" spans="1:8" ht="14.25" customHeight="1" x14ac:dyDescent="0.2">
      <c r="A5" s="26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14"/>
      <c r="C5" s="2614"/>
      <c r="D5" s="2614"/>
      <c r="E5" s="2614"/>
      <c r="F5" s="2615"/>
      <c r="G5" s="853"/>
      <c r="H5" s="853"/>
    </row>
    <row r="6" spans="1:8" s="854" customFormat="1" ht="41.25" customHeight="1" x14ac:dyDescent="0.2">
      <c r="A6" s="2607" t="s">
        <v>1670</v>
      </c>
      <c r="B6" s="2608"/>
      <c r="C6" s="2608"/>
      <c r="D6" s="2608"/>
      <c r="E6" s="2608"/>
      <c r="F6" s="260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14979108</v>
      </c>
      <c r="C8" s="1813">
        <f>'Acct Summary 7-8'!D8</f>
        <v>1681536</v>
      </c>
      <c r="D8" s="1813">
        <f>'Acct Summary 7-8'!F8</f>
        <v>1972832</v>
      </c>
      <c r="E8" s="1813">
        <f>'Acct Summary 7-8'!I8</f>
        <v>144076</v>
      </c>
      <c r="F8" s="1813">
        <f>SUM(B8:E8)</f>
        <v>18777552</v>
      </c>
    </row>
    <row r="9" spans="1:8" s="858" customFormat="1" ht="14.25" customHeight="1" thickBot="1" x14ac:dyDescent="0.25">
      <c r="A9" s="857" t="s">
        <v>1353</v>
      </c>
      <c r="B9" s="1814">
        <f>'Acct Summary 7-8'!C17</f>
        <v>14525204</v>
      </c>
      <c r="C9" s="1814">
        <f>'Acct Summary 7-8'!D17</f>
        <v>1509163</v>
      </c>
      <c r="D9" s="1814">
        <f>'Acct Summary 7-8'!F17</f>
        <v>1722085</v>
      </c>
      <c r="E9" s="1813"/>
      <c r="F9" s="1813">
        <f>SUM(B9:E9)</f>
        <v>17756452</v>
      </c>
    </row>
    <row r="10" spans="1:8" s="858" customFormat="1" ht="14.25" thickTop="1" thickBot="1" x14ac:dyDescent="0.25">
      <c r="A10" s="859" t="s">
        <v>1354</v>
      </c>
      <c r="B10" s="1815">
        <f>(B8-B9)</f>
        <v>453904</v>
      </c>
      <c r="C10" s="1815">
        <f>(C8-C9)</f>
        <v>172373</v>
      </c>
      <c r="D10" s="1815">
        <f>(D8-D9)</f>
        <v>250747</v>
      </c>
      <c r="E10" s="1814">
        <f>(E8-E9)</f>
        <v>144076</v>
      </c>
      <c r="F10" s="1816">
        <f>SUM(F8-F9)</f>
        <v>1021100</v>
      </c>
    </row>
    <row r="11" spans="1:8" s="858" customFormat="1" ht="14.25" thickTop="1" thickBot="1" x14ac:dyDescent="0.25">
      <c r="A11" s="860" t="s">
        <v>1901</v>
      </c>
      <c r="B11" s="1817">
        <f>'Acct Summary 7-8'!C81</f>
        <v>7181826</v>
      </c>
      <c r="C11" s="1817">
        <f>'Acct Summary 7-8'!D81</f>
        <v>1359182</v>
      </c>
      <c r="D11" s="1817">
        <f>'Acct Summary 7-8'!F81</f>
        <v>2510503</v>
      </c>
      <c r="E11" s="1817">
        <f>'Acct Summary 7-8'!I81</f>
        <v>4928464</v>
      </c>
      <c r="F11" s="1818">
        <f>SUM(B11:E11)</f>
        <v>15979975</v>
      </c>
    </row>
    <row r="12" spans="1:8" ht="16.5" customHeight="1" thickTop="1" x14ac:dyDescent="0.2">
      <c r="A12" s="861"/>
      <c r="B12" s="862"/>
      <c r="C12" s="2595" t="str">
        <f>IF(AND(F10&lt;0,F11&gt;=0,ABS(F10*3)&gt;ABS(F11)),A16,IF(AND(F10&lt;0,F11&gt;0,ABS(F10*3)&lt;=ABS(F11)),A17,IF(AND(F10&lt;0,F11&lt;0),A16,IF(F11=0,A19,A18))))</f>
        <v>Balanced - no deficit reduction plan is required.</v>
      </c>
      <c r="D12" s="2596"/>
      <c r="E12" s="2596"/>
      <c r="F12" s="2597"/>
    </row>
    <row r="13" spans="1:8" ht="19.5" customHeight="1" x14ac:dyDescent="0.2">
      <c r="A13" s="863"/>
      <c r="B13" s="864"/>
      <c r="C13" s="2595"/>
      <c r="D13" s="2596"/>
      <c r="E13" s="2596"/>
      <c r="F13" s="2597"/>
      <c r="H13" s="853"/>
    </row>
    <row r="14" spans="1:8" ht="19.5" customHeight="1" x14ac:dyDescent="0.2">
      <c r="A14" s="863"/>
      <c r="B14" s="864"/>
      <c r="C14" s="2595"/>
      <c r="D14" s="2596"/>
      <c r="E14" s="2596"/>
      <c r="F14" s="2597"/>
      <c r="H14" s="853"/>
    </row>
    <row r="15" spans="1:8" ht="17.25" customHeight="1" x14ac:dyDescent="0.2">
      <c r="A15" s="863"/>
      <c r="B15" s="864"/>
      <c r="C15" s="2598"/>
      <c r="D15" s="2599"/>
      <c r="E15" s="2599"/>
      <c r="F15" s="2600"/>
      <c r="H15" s="853"/>
    </row>
    <row r="16" spans="1:8" s="288" customFormat="1" ht="51.75" hidden="1" customHeight="1" x14ac:dyDescent="0.2">
      <c r="A16" s="2594" t="s">
        <v>1666</v>
      </c>
      <c r="B16" s="2594"/>
      <c r="C16" s="2594"/>
      <c r="D16" s="2594"/>
      <c r="E16" s="259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1" colorId="8" zoomScale="110" zoomScaleNormal="110" workbookViewId="0"/>
  </sheetViews>
  <sheetFormatPr defaultColWidth="9.28515625" defaultRowHeight="12" x14ac:dyDescent="0.2"/>
  <cols>
    <col min="1" max="1" width="2.7109375" style="912" customWidth="1"/>
    <col min="2" max="2" width="3.28515625" style="912" customWidth="1"/>
    <col min="3" max="3" width="96.28515625" style="852" customWidth="1"/>
    <col min="4" max="4" width="42.28515625" style="237" customWidth="1"/>
    <col min="5" max="5" width="2.7109375" style="871" customWidth="1"/>
    <col min="6" max="6" width="1" style="871" customWidth="1"/>
    <col min="7" max="16384" width="9.28515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616" t="s">
        <v>660</v>
      </c>
      <c r="B3" s="2617"/>
      <c r="C3" s="2617"/>
      <c r="D3" s="2618"/>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27" t="s">
        <v>1487</v>
      </c>
      <c r="D7" s="2628"/>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19" t="s">
        <v>1001</v>
      </c>
      <c r="B15" s="2620"/>
      <c r="C15" s="2620"/>
      <c r="D15" s="2621"/>
    </row>
    <row r="16" spans="1:4" s="542" customFormat="1" ht="24" customHeight="1" x14ac:dyDescent="0.2">
      <c r="A16" s="2622" t="s">
        <v>658</v>
      </c>
      <c r="B16" s="2623"/>
      <c r="C16" s="2623"/>
      <c r="D16" s="2624"/>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31" t="s">
        <v>311</v>
      </c>
      <c r="D21" s="2632"/>
    </row>
    <row r="22" spans="1:10" ht="12.75" x14ac:dyDescent="0.2">
      <c r="A22" s="918"/>
      <c r="B22" s="919">
        <v>2</v>
      </c>
      <c r="C22" s="2629" t="s">
        <v>1507</v>
      </c>
      <c r="D22" s="2630"/>
    </row>
    <row r="23" spans="1:10" ht="12.4" customHeight="1" x14ac:dyDescent="0.2">
      <c r="A23" s="918"/>
      <c r="B23" s="919"/>
      <c r="C23" s="920" t="s">
        <v>948</v>
      </c>
      <c r="D23" s="921" t="str">
        <f>IF(COVER!O11="X","CASH",IF(COVER!O12="X","ACCRUAL ","PLEASE CHECK AN ACCOUNTING BASIS."))</f>
        <v>CASH</v>
      </c>
    </row>
    <row r="24" spans="1:10" ht="12.4"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33" t="s">
        <v>533</v>
      </c>
      <c r="D43" s="263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25" t="s">
        <v>779</v>
      </c>
      <c r="D56" s="262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625" t="s">
        <v>1674</v>
      </c>
      <c r="D70" s="262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901" t="str">
        <f>IF('Contracts Paid in CY 29'!$D$144&gt;0,"OK","PLEASE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43" t="s">
        <v>1965</v>
      </c>
      <c r="F1" s="1543" t="s">
        <v>1966</v>
      </c>
      <c r="G1" s="1900" t="s">
        <v>1976</v>
      </c>
    </row>
    <row r="2" spans="1:7" ht="15.75" x14ac:dyDescent="0.25">
      <c r="A2" t="s">
        <v>260</v>
      </c>
      <c r="B2" s="135">
        <f>COVER!A13</f>
        <v>53090086002</v>
      </c>
      <c r="E2" s="1542">
        <v>2020</v>
      </c>
      <c r="F2" s="1542">
        <v>1</v>
      </c>
      <c r="G2" s="1899">
        <v>101000300</v>
      </c>
    </row>
    <row r="3" spans="1:7" ht="15" x14ac:dyDescent="0.25">
      <c r="A3" t="s">
        <v>950</v>
      </c>
      <c r="B3" s="135" t="str">
        <f>COVER!A15</f>
        <v>Tazewell</v>
      </c>
      <c r="E3" s="1830" t="s">
        <v>1969</v>
      </c>
      <c r="F3" s="1830" t="s">
        <v>1968</v>
      </c>
      <c r="G3" s="1899">
        <v>101000400</v>
      </c>
    </row>
    <row r="4" spans="1:7" ht="15" x14ac:dyDescent="0.25">
      <c r="A4" t="s">
        <v>1000</v>
      </c>
      <c r="B4" s="135" t="str">
        <f>COVER!A17</f>
        <v>East Peoria SD 86</v>
      </c>
      <c r="E4" s="1828">
        <v>44119</v>
      </c>
      <c r="F4" s="1829">
        <v>44151</v>
      </c>
      <c r="G4" s="1899">
        <v>101000600</v>
      </c>
    </row>
    <row r="5" spans="1:7" ht="15" x14ac:dyDescent="0.25">
      <c r="A5" t="s">
        <v>699</v>
      </c>
      <c r="B5" s="135" t="str">
        <f>COVER!A38</f>
        <v>Tony Ingold</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 CPA</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35855</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7181826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7107281</v>
      </c>
      <c r="D92" s="2" t="str">
        <f t="shared" si="0"/>
        <v>Error?</v>
      </c>
      <c r="G92" s="1899">
        <v>102640600</v>
      </c>
    </row>
    <row r="93" spans="1:7" ht="15" x14ac:dyDescent="0.25">
      <c r="A93" s="5">
        <v>32</v>
      </c>
      <c r="B93" s="1832">
        <f>'Assets-Liab 5-6'!C41</f>
        <v>7181826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1359182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1359182</v>
      </c>
      <c r="D123" s="2" t="str">
        <f t="shared" si="0"/>
        <v>Error?</v>
      </c>
      <c r="G123" s="1899">
        <v>203000400</v>
      </c>
    </row>
    <row r="124" spans="1:7" ht="15" x14ac:dyDescent="0.25">
      <c r="A124" s="5">
        <v>63</v>
      </c>
      <c r="B124" s="1832">
        <f>'Assets-Liab 5-6'!D41</f>
        <v>1359182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1486561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1486561</v>
      </c>
      <c r="D140" s="2" t="str">
        <f t="shared" si="1"/>
        <v>Error?</v>
      </c>
    </row>
    <row r="141" spans="1:7" x14ac:dyDescent="0.2">
      <c r="A141" s="5">
        <v>80</v>
      </c>
      <c r="B141" s="1832">
        <f>'Assets-Liab 5-6'!E41</f>
        <v>1486561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2510503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2510503</v>
      </c>
      <c r="D170" s="2" t="str">
        <f t="shared" si="1"/>
        <v>Error?</v>
      </c>
    </row>
    <row r="171" spans="1:4" x14ac:dyDescent="0.2">
      <c r="A171" s="5">
        <v>110</v>
      </c>
      <c r="B171" s="1832">
        <f>'Assets-Liab 5-6'!F41</f>
        <v>2510503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621562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215289</v>
      </c>
      <c r="D189" s="2" t="str">
        <f t="shared" si="1"/>
        <v>Error?</v>
      </c>
    </row>
    <row r="190" spans="1:4" x14ac:dyDescent="0.2">
      <c r="A190" s="5">
        <v>129</v>
      </c>
      <c r="B190" s="1832">
        <f>'Assets-Liab 5-6'!G41</f>
        <v>621562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6736205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6686205</v>
      </c>
      <c r="D212" s="2" t="str">
        <f t="shared" si="2"/>
        <v>Error?</v>
      </c>
    </row>
    <row r="213" spans="1:4" x14ac:dyDescent="0.2">
      <c r="A213" s="12">
        <v>152</v>
      </c>
      <c r="B213" s="1832">
        <f>'Assets-Liab 5-6'!H41</f>
        <v>6736205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945532</v>
      </c>
      <c r="D273" s="2" t="str">
        <f t="shared" si="3"/>
        <v>Error?</v>
      </c>
    </row>
    <row r="274" spans="1:4" x14ac:dyDescent="0.2">
      <c r="A274" s="5">
        <v>213</v>
      </c>
      <c r="B274" s="1832">
        <f>'Assets-Liab 5-6'!M17</f>
        <v>33730723</v>
      </c>
      <c r="D274" s="2" t="str">
        <f t="shared" si="3"/>
        <v>Error?</v>
      </c>
    </row>
    <row r="275" spans="1:4" x14ac:dyDescent="0.2">
      <c r="A275" s="5">
        <v>214</v>
      </c>
      <c r="B275" s="1832">
        <f>'Assets-Liab 5-6'!M18</f>
        <v>3768358</v>
      </c>
      <c r="D275" s="2" t="str">
        <f t="shared" si="3"/>
        <v>Error?</v>
      </c>
    </row>
    <row r="276" spans="1:4" x14ac:dyDescent="0.2">
      <c r="A276" s="5">
        <v>215</v>
      </c>
      <c r="B276" s="1832">
        <f>'Assets-Liab 5-6'!M19</f>
        <v>2653203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41687368</v>
      </c>
      <c r="C279" s="2" t="s">
        <v>569</v>
      </c>
      <c r="D279" s="2" t="str">
        <f t="shared" si="3"/>
        <v>Error?</v>
      </c>
    </row>
    <row r="280" spans="1:4" x14ac:dyDescent="0.2">
      <c r="A280" s="5">
        <v>219</v>
      </c>
      <c r="B280" s="1832">
        <f>'Assets-Liab 5-6'!M40</f>
        <v>41687368</v>
      </c>
      <c r="D280" s="2" t="str">
        <f t="shared" si="3"/>
        <v>Error?</v>
      </c>
    </row>
    <row r="281" spans="1:4" x14ac:dyDescent="0.2">
      <c r="A281" s="5">
        <v>220</v>
      </c>
      <c r="B281" s="1832">
        <f>'Assets-Liab 5-6'!M41</f>
        <v>41687368</v>
      </c>
      <c r="C281" s="2" t="s">
        <v>569</v>
      </c>
      <c r="D281" s="2" t="str">
        <f t="shared" si="3"/>
        <v>Error?</v>
      </c>
    </row>
    <row r="282" spans="1:4" x14ac:dyDescent="0.2">
      <c r="A282" s="5">
        <v>221</v>
      </c>
      <c r="B282" s="1832">
        <f>'Assets-Liab 5-6'!N21</f>
        <v>1486561</v>
      </c>
      <c r="D282" s="2" t="str">
        <f t="shared" si="3"/>
        <v>Error?</v>
      </c>
    </row>
    <row r="283" spans="1:4" x14ac:dyDescent="0.2">
      <c r="A283" s="5">
        <v>222</v>
      </c>
      <c r="B283" s="1832">
        <f>'Assets-Liab 5-6'!N22</f>
        <v>9990144</v>
      </c>
      <c r="D283" s="2" t="str">
        <f t="shared" si="3"/>
        <v>Error?</v>
      </c>
    </row>
    <row r="284" spans="1:4" x14ac:dyDescent="0.2">
      <c r="A284" s="5">
        <v>223</v>
      </c>
      <c r="B284" s="1832">
        <f>'Assets-Liab 5-6'!N23</f>
        <v>11476705</v>
      </c>
      <c r="C284" s="2" t="s">
        <v>569</v>
      </c>
      <c r="D284" s="2" t="str">
        <f t="shared" si="3"/>
        <v>Error?</v>
      </c>
    </row>
    <row r="285" spans="1:4" x14ac:dyDescent="0.2">
      <c r="A285" s="5">
        <v>224</v>
      </c>
      <c r="B285" s="1832">
        <f>'Assets-Liab 5-6'!N36</f>
        <v>11476705</v>
      </c>
      <c r="D285" s="2" t="str">
        <f t="shared" si="3"/>
        <v>Error?</v>
      </c>
    </row>
    <row r="286" spans="1:4" x14ac:dyDescent="0.2">
      <c r="A286" s="10">
        <v>225</v>
      </c>
      <c r="B286" s="1832"/>
      <c r="D286" s="2" t="str">
        <f t="shared" si="3"/>
        <v>OK</v>
      </c>
    </row>
    <row r="287" spans="1:4" x14ac:dyDescent="0.2">
      <c r="A287" s="5">
        <v>226</v>
      </c>
      <c r="B287" s="1832">
        <f>'Assets-Liab 5-6'!N37</f>
        <v>11476705</v>
      </c>
      <c r="C287" s="2" t="s">
        <v>569</v>
      </c>
      <c r="D287" s="2" t="str">
        <f t="shared" si="3"/>
        <v>Error?</v>
      </c>
    </row>
    <row r="288" spans="1:4" x14ac:dyDescent="0.2">
      <c r="A288" s="5">
        <v>227</v>
      </c>
      <c r="B288" s="1832">
        <f>'Assets-Liab 5-6'!N41</f>
        <v>11476705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4045335</v>
      </c>
      <c r="D705" s="2" t="str">
        <f t="shared" si="10"/>
        <v>Error?</v>
      </c>
    </row>
    <row r="706" spans="1:4" x14ac:dyDescent="0.2">
      <c r="A706" s="5">
        <v>645</v>
      </c>
      <c r="B706" s="1832">
        <f>'Expenditures 15-22'!C16</f>
        <v>42102</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18924</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165899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6316729</v>
      </c>
      <c r="C720" s="2" t="s">
        <v>569</v>
      </c>
      <c r="D720" s="2" t="str">
        <f t="shared" si="10"/>
        <v>Error?</v>
      </c>
    </row>
    <row r="721" spans="1:4" x14ac:dyDescent="0.2">
      <c r="A721" s="5">
        <v>660</v>
      </c>
      <c r="B721" s="1832">
        <f>'Expenditures 15-22'!C36</f>
        <v>172117</v>
      </c>
      <c r="D721" s="2" t="str">
        <f t="shared" si="10"/>
        <v>Error?</v>
      </c>
    </row>
    <row r="722" spans="1:4" x14ac:dyDescent="0.2">
      <c r="A722" s="5">
        <v>661</v>
      </c>
      <c r="B722" s="1832">
        <f>'Expenditures 15-22'!C37</f>
        <v>80599</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45806</v>
      </c>
      <c r="D724" s="2" t="str">
        <f t="shared" si="10"/>
        <v>Error?</v>
      </c>
    </row>
    <row r="725" spans="1:4" x14ac:dyDescent="0.2">
      <c r="A725" s="5">
        <v>664</v>
      </c>
      <c r="B725" s="1832">
        <f>'Expenditures 15-22'!C40</f>
        <v>202299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500821</v>
      </c>
      <c r="C727" s="2" t="s">
        <v>569</v>
      </c>
      <c r="D727" s="2" t="str">
        <f t="shared" si="10"/>
        <v>Error?</v>
      </c>
    </row>
    <row r="728" spans="1:4" x14ac:dyDescent="0.2">
      <c r="A728" s="5">
        <v>667</v>
      </c>
      <c r="B728" s="1832">
        <f>'Expenditures 15-22'!C44</f>
        <v>3230</v>
      </c>
      <c r="D728" s="2" t="str">
        <f t="shared" si="10"/>
        <v>Error?</v>
      </c>
    </row>
    <row r="729" spans="1:4" x14ac:dyDescent="0.2">
      <c r="A729" s="5">
        <v>668</v>
      </c>
      <c r="B729" s="1832">
        <f>'Expenditures 15-22'!C45</f>
        <v>289239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292469</v>
      </c>
      <c r="C731" s="2" t="s">
        <v>569</v>
      </c>
      <c r="D731" s="2" t="str">
        <f t="shared" si="10"/>
        <v>Error?</v>
      </c>
    </row>
    <row r="732" spans="1:4" x14ac:dyDescent="0.2">
      <c r="A732" s="5">
        <v>671</v>
      </c>
      <c r="B732" s="1832">
        <f>'Expenditures 15-22'!C49</f>
        <v>5500</v>
      </c>
      <c r="D732" s="2" t="str">
        <f t="shared" si="10"/>
        <v>Error?</v>
      </c>
    </row>
    <row r="733" spans="1:4" x14ac:dyDescent="0.2">
      <c r="A733" s="5">
        <v>672</v>
      </c>
      <c r="B733" s="1832">
        <f>'Expenditures 15-22'!C50</f>
        <v>323332</v>
      </c>
      <c r="D733" s="2" t="str">
        <f t="shared" si="10"/>
        <v>Error?</v>
      </c>
    </row>
    <row r="734" spans="1:4" x14ac:dyDescent="0.2">
      <c r="A734" s="5">
        <v>673</v>
      </c>
      <c r="B734" s="1832">
        <f>'Expenditures 15-22'!C53</f>
        <v>523459</v>
      </c>
      <c r="C734" s="2" t="s">
        <v>569</v>
      </c>
      <c r="D734" s="2" t="str">
        <f t="shared" si="10"/>
        <v>Error?</v>
      </c>
    </row>
    <row r="735" spans="1:4" x14ac:dyDescent="0.2">
      <c r="A735" s="5">
        <v>674</v>
      </c>
      <c r="B735" s="1832">
        <f>'Expenditures 15-22'!C55</f>
        <v>796992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796992</v>
      </c>
      <c r="C737" s="2" t="s">
        <v>569</v>
      </c>
      <c r="D737" s="2" t="str">
        <f t="shared" si="10"/>
        <v>Error?</v>
      </c>
    </row>
    <row r="738" spans="1:4" x14ac:dyDescent="0.2">
      <c r="A738" s="5">
        <v>677</v>
      </c>
      <c r="B738" s="1832">
        <f>'Expenditures 15-22'!C59</f>
        <v>116742</v>
      </c>
      <c r="D738" s="2" t="str">
        <f t="shared" si="10"/>
        <v>Error?</v>
      </c>
    </row>
    <row r="739" spans="1:4" x14ac:dyDescent="0.2">
      <c r="A739" s="5">
        <v>678</v>
      </c>
      <c r="B739" s="1832">
        <f>'Expenditures 15-22'!C60</f>
        <v>140997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271105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528844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104223</v>
      </c>
      <c r="D751" s="2" t="str">
        <f t="shared" si="10"/>
        <v>Error?</v>
      </c>
    </row>
    <row r="752" spans="1:4" x14ac:dyDescent="0.2">
      <c r="A752" s="10">
        <v>691</v>
      </c>
      <c r="B752" s="1832"/>
      <c r="D752" s="2" t="str">
        <f t="shared" si="10"/>
        <v>OK</v>
      </c>
    </row>
    <row r="753" spans="1:4" x14ac:dyDescent="0.2">
      <c r="A753" s="5">
        <v>692</v>
      </c>
      <c r="B753" s="1832">
        <f>'Expenditures 15-22'!C72</f>
        <v>104223</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2746808</v>
      </c>
      <c r="C755" s="2" t="s">
        <v>569</v>
      </c>
      <c r="D755" s="2" t="str">
        <f t="shared" si="10"/>
        <v>Error?</v>
      </c>
    </row>
    <row r="756" spans="1:4" x14ac:dyDescent="0.2">
      <c r="A756" s="5">
        <v>695</v>
      </c>
      <c r="B756" s="1832">
        <f>'Expenditures 15-22'!C75</f>
        <v>1052</v>
      </c>
      <c r="D756" s="2" t="str">
        <f t="shared" si="10"/>
        <v>Error?</v>
      </c>
    </row>
    <row r="757" spans="1:4" x14ac:dyDescent="0.2">
      <c r="A757" s="5">
        <v>696</v>
      </c>
      <c r="B757" s="1832">
        <f>'Expenditures 15-22'!C114</f>
        <v>9064589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1326117</v>
      </c>
      <c r="D763" s="2" t="str">
        <f t="shared" si="10"/>
        <v>Error?</v>
      </c>
    </row>
    <row r="764" spans="1:4" x14ac:dyDescent="0.2">
      <c r="A764" s="5">
        <v>703</v>
      </c>
      <c r="B764" s="1832">
        <f>'Expenditures 15-22'!D16</f>
        <v>18812</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45400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2104525</v>
      </c>
      <c r="C778" s="2" t="s">
        <v>569</v>
      </c>
      <c r="D778" s="2" t="str">
        <f t="shared" si="11"/>
        <v>Error?</v>
      </c>
    </row>
    <row r="779" spans="1:4" x14ac:dyDescent="0.2">
      <c r="A779" s="5">
        <v>718</v>
      </c>
      <c r="B779" s="1832">
        <f>'Expenditures 15-22'!D36</f>
        <v>61675</v>
      </c>
      <c r="D779" s="2" t="str">
        <f t="shared" si="11"/>
        <v>Error?</v>
      </c>
    </row>
    <row r="780" spans="1:4" x14ac:dyDescent="0.2">
      <c r="A780" s="5">
        <v>719</v>
      </c>
      <c r="B780" s="1832">
        <f>'Expenditures 15-22'!D37</f>
        <v>34781</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15364</v>
      </c>
      <c r="D782" s="2" t="str">
        <f t="shared" si="11"/>
        <v>Error?</v>
      </c>
    </row>
    <row r="783" spans="1:4" x14ac:dyDescent="0.2">
      <c r="A783" s="5">
        <v>722</v>
      </c>
      <c r="B783" s="1832">
        <f>'Expenditures 15-22'!D40</f>
        <v>44071</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155891</v>
      </c>
      <c r="C785" s="2" t="s">
        <v>569</v>
      </c>
      <c r="D785" s="2" t="str">
        <f t="shared" si="11"/>
        <v>Error?</v>
      </c>
    </row>
    <row r="786" spans="1:4" x14ac:dyDescent="0.2">
      <c r="A786" s="5">
        <v>725</v>
      </c>
      <c r="B786" s="1832">
        <f>'Expenditures 15-22'!D44</f>
        <v>408</v>
      </c>
      <c r="D786" s="2" t="str">
        <f t="shared" si="11"/>
        <v>Error?</v>
      </c>
    </row>
    <row r="787" spans="1:4" x14ac:dyDescent="0.2">
      <c r="A787" s="5">
        <v>726</v>
      </c>
      <c r="B787" s="1832">
        <f>'Expenditures 15-22'!D45</f>
        <v>110874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111282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113253</v>
      </c>
      <c r="D791" s="2" t="str">
        <f t="shared" si="11"/>
        <v>Error?</v>
      </c>
    </row>
    <row r="792" spans="1:4" x14ac:dyDescent="0.2">
      <c r="A792" s="5">
        <v>731</v>
      </c>
      <c r="B792" s="1832">
        <f>'Expenditures 15-22'!D53</f>
        <v>209224</v>
      </c>
      <c r="C792" s="2" t="s">
        <v>569</v>
      </c>
      <c r="D792" s="2" t="str">
        <f t="shared" si="11"/>
        <v>Error?</v>
      </c>
    </row>
    <row r="793" spans="1:4" x14ac:dyDescent="0.2">
      <c r="A793" s="5">
        <v>732</v>
      </c>
      <c r="B793" s="1832">
        <f>'Expenditures 15-22'!D55</f>
        <v>371405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371405</v>
      </c>
      <c r="C795" s="2" t="s">
        <v>569</v>
      </c>
      <c r="D795" s="2" t="str">
        <f t="shared" si="11"/>
        <v>Error?</v>
      </c>
    </row>
    <row r="796" spans="1:4" x14ac:dyDescent="0.2">
      <c r="A796" s="5">
        <v>735</v>
      </c>
      <c r="B796" s="1832">
        <f>'Expenditures 15-22'!D59</f>
        <v>48484</v>
      </c>
      <c r="D796" s="2" t="str">
        <f t="shared" si="11"/>
        <v>Error?</v>
      </c>
    </row>
    <row r="797" spans="1:4" x14ac:dyDescent="0.2">
      <c r="A797" s="5">
        <v>736</v>
      </c>
      <c r="B797" s="1832">
        <f>'Expenditures 15-22'!D60</f>
        <v>55902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18150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122536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11355</v>
      </c>
      <c r="D809" s="2" t="str">
        <f t="shared" si="11"/>
        <v>Error?</v>
      </c>
    </row>
    <row r="810" spans="1:4" x14ac:dyDescent="0.2">
      <c r="A810" s="10">
        <v>749</v>
      </c>
      <c r="B810" s="1832"/>
      <c r="D810" s="2" t="str">
        <f t="shared" si="11"/>
        <v>OK</v>
      </c>
    </row>
    <row r="811" spans="1:4" x14ac:dyDescent="0.2">
      <c r="A811" s="5">
        <v>750</v>
      </c>
      <c r="B811" s="1832">
        <f>'Expenditures 15-22'!D72</f>
        <v>11355</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981693</v>
      </c>
      <c r="C813" s="2" t="s">
        <v>569</v>
      </c>
      <c r="D813" s="2" t="str">
        <f t="shared" si="11"/>
        <v>Error?</v>
      </c>
    </row>
    <row r="814" spans="1:4" x14ac:dyDescent="0.2">
      <c r="A814" s="5">
        <v>753</v>
      </c>
      <c r="B814" s="1832">
        <f>'Expenditures 15-22'!D75</f>
        <v>294</v>
      </c>
      <c r="D814" s="2" t="str">
        <f t="shared" si="11"/>
        <v>Error?</v>
      </c>
    </row>
    <row r="815" spans="1:4" x14ac:dyDescent="0.2">
      <c r="A815" s="5">
        <v>754</v>
      </c>
      <c r="B815" s="1832">
        <f>'Expenditures 15-22'!D114</f>
        <v>3086512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36120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164</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10004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102102</v>
      </c>
      <c r="C836" s="2" t="s">
        <v>569</v>
      </c>
      <c r="D836" s="2" t="str">
        <f t="shared" si="12"/>
        <v>Error?</v>
      </c>
    </row>
    <row r="837" spans="1:4" x14ac:dyDescent="0.2">
      <c r="A837" s="5">
        <v>776</v>
      </c>
      <c r="B837" s="1832">
        <f>'Expenditures 15-22'!E36</f>
        <v>441</v>
      </c>
      <c r="D837" s="2" t="str">
        <f t="shared" si="12"/>
        <v>Error?</v>
      </c>
    </row>
    <row r="838" spans="1:4" x14ac:dyDescent="0.2">
      <c r="A838" s="5">
        <v>777</v>
      </c>
      <c r="B838" s="1832">
        <f>'Expenditures 15-22'!E37</f>
        <v>43788</v>
      </c>
      <c r="D838" s="2" t="str">
        <f t="shared" si="12"/>
        <v>Error?</v>
      </c>
    </row>
    <row r="839" spans="1:4" x14ac:dyDescent="0.2">
      <c r="A839" s="5">
        <v>778</v>
      </c>
      <c r="B839" s="1832">
        <f>'Expenditures 15-22'!E38</f>
        <v>168083</v>
      </c>
      <c r="D839" s="2" t="str">
        <f t="shared" si="12"/>
        <v>Error?</v>
      </c>
    </row>
    <row r="840" spans="1:4" x14ac:dyDescent="0.2">
      <c r="A840" s="5">
        <v>779</v>
      </c>
      <c r="B840" s="1832">
        <f>'Expenditures 15-22'!E39</f>
        <v>778</v>
      </c>
      <c r="D840" s="2" t="str">
        <f t="shared" si="12"/>
        <v>Error?</v>
      </c>
    </row>
    <row r="841" spans="1:4" x14ac:dyDescent="0.2">
      <c r="A841" s="5">
        <v>780</v>
      </c>
      <c r="B841" s="1832">
        <f>'Expenditures 15-22'!E40</f>
        <v>158</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213248</v>
      </c>
      <c r="C843" s="2" t="s">
        <v>569</v>
      </c>
      <c r="D843" s="2" t="str">
        <f t="shared" si="12"/>
        <v>Error?</v>
      </c>
    </row>
    <row r="844" spans="1:4" x14ac:dyDescent="0.2">
      <c r="A844" s="5">
        <v>783</v>
      </c>
      <c r="B844" s="1832">
        <f>'Expenditures 15-22'!E44</f>
        <v>35259</v>
      </c>
      <c r="D844" s="2" t="str">
        <f t="shared" si="12"/>
        <v>Error?</v>
      </c>
    </row>
    <row r="845" spans="1:4" x14ac:dyDescent="0.2">
      <c r="A845" s="5">
        <v>784</v>
      </c>
      <c r="B845" s="1832">
        <f>'Expenditures 15-22'!E45</f>
        <v>7246</v>
      </c>
      <c r="D845" s="2" t="str">
        <f t="shared" si="12"/>
        <v>Error?</v>
      </c>
    </row>
    <row r="846" spans="1:4" x14ac:dyDescent="0.2">
      <c r="A846" s="5">
        <v>785</v>
      </c>
      <c r="B846" s="1832">
        <f>'Expenditures 15-22'!E46</f>
        <v>19063</v>
      </c>
      <c r="D846" s="2" t="str">
        <f t="shared" si="12"/>
        <v>Error?</v>
      </c>
    </row>
    <row r="847" spans="1:4" x14ac:dyDescent="0.2">
      <c r="A847" s="5">
        <v>786</v>
      </c>
      <c r="B847" s="1832">
        <f>'Expenditures 15-22'!E47</f>
        <v>61568</v>
      </c>
      <c r="C847" s="2" t="s">
        <v>569</v>
      </c>
      <c r="D847" s="2" t="str">
        <f t="shared" si="12"/>
        <v>Error?</v>
      </c>
    </row>
    <row r="848" spans="1:4" x14ac:dyDescent="0.2">
      <c r="A848" s="5">
        <v>787</v>
      </c>
      <c r="B848" s="1832">
        <f>'Expenditures 15-22'!E49</f>
        <v>152524</v>
      </c>
      <c r="D848" s="2" t="str">
        <f t="shared" si="12"/>
        <v>Error?</v>
      </c>
    </row>
    <row r="849" spans="1:4" x14ac:dyDescent="0.2">
      <c r="A849" s="5">
        <v>788</v>
      </c>
      <c r="B849" s="1832">
        <f>'Expenditures 15-22'!E50</f>
        <v>9082</v>
      </c>
      <c r="D849" s="2" t="str">
        <f t="shared" si="12"/>
        <v>Error?</v>
      </c>
    </row>
    <row r="850" spans="1:4" x14ac:dyDescent="0.2">
      <c r="A850" s="5">
        <v>789</v>
      </c>
      <c r="B850" s="1832">
        <f>'Expenditures 15-22'!E53</f>
        <v>165101</v>
      </c>
      <c r="C850" s="2" t="s">
        <v>569</v>
      </c>
      <c r="D850" s="2" t="str">
        <f t="shared" si="12"/>
        <v>Error?</v>
      </c>
    </row>
    <row r="851" spans="1:4" x14ac:dyDescent="0.2">
      <c r="A851" s="5">
        <v>790</v>
      </c>
      <c r="B851" s="1832">
        <f>'Expenditures 15-22'!E55</f>
        <v>3245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3245</v>
      </c>
      <c r="C853" s="2" t="s">
        <v>569</v>
      </c>
      <c r="D853" s="2" t="str">
        <f t="shared" si="12"/>
        <v>Error?</v>
      </c>
    </row>
    <row r="854" spans="1:4" x14ac:dyDescent="0.2">
      <c r="A854" s="5">
        <v>793</v>
      </c>
      <c r="B854" s="1832">
        <f>'Expenditures 15-22'!E59</f>
        <v>2596</v>
      </c>
      <c r="D854" s="2" t="str">
        <f t="shared" si="12"/>
        <v>Error?</v>
      </c>
    </row>
    <row r="855" spans="1:4" x14ac:dyDescent="0.2">
      <c r="A855" s="5">
        <v>794</v>
      </c>
      <c r="B855" s="1832">
        <f>'Expenditures 15-22'!E60</f>
        <v>3267</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8669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14532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37642</v>
      </c>
      <c r="D867" s="2" t="str">
        <f t="shared" si="12"/>
        <v>Error?</v>
      </c>
    </row>
    <row r="868" spans="1:4" x14ac:dyDescent="0.2">
      <c r="A868" s="10">
        <v>807</v>
      </c>
      <c r="B868" s="1832"/>
      <c r="D868" s="2" t="str">
        <f t="shared" si="12"/>
        <v>OK</v>
      </c>
    </row>
    <row r="869" spans="1:4" x14ac:dyDescent="0.2">
      <c r="A869" s="5">
        <v>808</v>
      </c>
      <c r="B869" s="1832">
        <f>'Expenditures 15-22'!E72</f>
        <v>37642</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495336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710209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201904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1497</v>
      </c>
      <c r="D891" s="2" t="str">
        <f t="shared" si="12"/>
        <v>Error?</v>
      </c>
    </row>
    <row r="892" spans="1:4" x14ac:dyDescent="0.2">
      <c r="A892" s="5">
        <v>831</v>
      </c>
      <c r="B892" s="1832">
        <f>'Expenditures 15-22'!F14</f>
        <v>8179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343191</v>
      </c>
      <c r="C894" s="2" t="s">
        <v>569</v>
      </c>
      <c r="D894" s="2" t="str">
        <f t="shared" si="12"/>
        <v>Error?</v>
      </c>
    </row>
    <row r="895" spans="1:4" x14ac:dyDescent="0.2">
      <c r="A895" s="5">
        <v>834</v>
      </c>
      <c r="B895" s="1832">
        <f>'Expenditures 15-22'!F36</f>
        <v>623</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6557</v>
      </c>
      <c r="D897" s="2" t="str">
        <f t="shared" si="13"/>
        <v>Error?</v>
      </c>
    </row>
    <row r="898" spans="1:4" x14ac:dyDescent="0.2">
      <c r="A898" s="5">
        <v>837</v>
      </c>
      <c r="B898" s="1832">
        <f>'Expenditures 15-22'!F39</f>
        <v>608</v>
      </c>
      <c r="D898" s="2" t="str">
        <f t="shared" si="13"/>
        <v>Error?</v>
      </c>
    </row>
    <row r="899" spans="1:4" x14ac:dyDescent="0.2">
      <c r="A899" s="5">
        <v>838</v>
      </c>
      <c r="B899" s="1832">
        <f>'Expenditures 15-22'!F40</f>
        <v>1000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8788</v>
      </c>
      <c r="C901" s="2" t="s">
        <v>569</v>
      </c>
      <c r="D901" s="2" t="str">
        <f t="shared" si="13"/>
        <v>Error?</v>
      </c>
    </row>
    <row r="902" spans="1:4" x14ac:dyDescent="0.2">
      <c r="A902" s="5">
        <v>841</v>
      </c>
      <c r="B902" s="1832">
        <f>'Expenditures 15-22'!F44</f>
        <v>1437</v>
      </c>
      <c r="D902" s="2" t="str">
        <f t="shared" si="13"/>
        <v>Error?</v>
      </c>
    </row>
    <row r="903" spans="1:4" x14ac:dyDescent="0.2">
      <c r="A903" s="5">
        <v>842</v>
      </c>
      <c r="B903" s="1832">
        <f>'Expenditures 15-22'!F45</f>
        <v>27677</v>
      </c>
      <c r="D903" s="2" t="str">
        <f t="shared" si="13"/>
        <v>Error?</v>
      </c>
    </row>
    <row r="904" spans="1:4" x14ac:dyDescent="0.2">
      <c r="A904" s="5">
        <v>843</v>
      </c>
      <c r="B904" s="1832">
        <f>'Expenditures 15-22'!F46</f>
        <v>806</v>
      </c>
      <c r="D904" s="2" t="str">
        <f t="shared" si="13"/>
        <v>Error?</v>
      </c>
    </row>
    <row r="905" spans="1:4" x14ac:dyDescent="0.2">
      <c r="A905" s="5">
        <v>844</v>
      </c>
      <c r="B905" s="1832">
        <f>'Expenditures 15-22'!F47</f>
        <v>29920</v>
      </c>
      <c r="C905" s="2" t="s">
        <v>569</v>
      </c>
      <c r="D905" s="2" t="str">
        <f t="shared" si="13"/>
        <v>Error?</v>
      </c>
    </row>
    <row r="906" spans="1:4" x14ac:dyDescent="0.2">
      <c r="A906" s="5">
        <v>845</v>
      </c>
      <c r="B906" s="1832">
        <f>'Expenditures 15-22'!F49</f>
        <v>8377</v>
      </c>
      <c r="D906" s="2" t="str">
        <f t="shared" si="13"/>
        <v>Error?</v>
      </c>
    </row>
    <row r="907" spans="1:4" x14ac:dyDescent="0.2">
      <c r="A907" s="5">
        <v>846</v>
      </c>
      <c r="B907" s="1832">
        <f>'Expenditures 15-22'!F50</f>
        <v>4467</v>
      </c>
      <c r="D907" s="2" t="str">
        <f t="shared" si="13"/>
        <v>Error?</v>
      </c>
    </row>
    <row r="908" spans="1:4" x14ac:dyDescent="0.2">
      <c r="A908" s="5">
        <v>847</v>
      </c>
      <c r="B908" s="1832">
        <f>'Expenditures 15-22'!F53</f>
        <v>14031</v>
      </c>
      <c r="C908" s="2" t="s">
        <v>569</v>
      </c>
      <c r="D908" s="2" t="str">
        <f t="shared" si="13"/>
        <v>Error?</v>
      </c>
    </row>
    <row r="909" spans="1:4" x14ac:dyDescent="0.2">
      <c r="A909" s="5">
        <v>848</v>
      </c>
      <c r="B909" s="1832">
        <f>'Expenditures 15-22'!F55</f>
        <v>10800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10800</v>
      </c>
      <c r="C911" s="2" t="s">
        <v>569</v>
      </c>
      <c r="D911" s="2" t="str">
        <f t="shared" si="13"/>
        <v>Error?</v>
      </c>
    </row>
    <row r="912" spans="1:4" x14ac:dyDescent="0.2">
      <c r="A912" s="5">
        <v>851</v>
      </c>
      <c r="B912" s="1832">
        <f>'Expenditures 15-22'!F59</f>
        <v>29</v>
      </c>
      <c r="D912" s="2" t="str">
        <f t="shared" si="13"/>
        <v>Error?</v>
      </c>
    </row>
    <row r="913" spans="1:4" x14ac:dyDescent="0.2">
      <c r="A913" s="5">
        <v>852</v>
      </c>
      <c r="B913" s="1832">
        <f>'Expenditures 15-22'!F60</f>
        <v>5015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287917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292961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126136</v>
      </c>
      <c r="D925" s="2" t="str">
        <f t="shared" si="13"/>
        <v>Error?</v>
      </c>
    </row>
    <row r="926" spans="1:4" x14ac:dyDescent="0.2">
      <c r="A926" s="10">
        <v>865</v>
      </c>
      <c r="B926" s="1832"/>
      <c r="D926" s="2" t="str">
        <f t="shared" si="13"/>
        <v>OK</v>
      </c>
    </row>
    <row r="927" spans="1:4" x14ac:dyDescent="0.2">
      <c r="A927" s="5">
        <v>866</v>
      </c>
      <c r="B927" s="1832">
        <f>'Expenditures 15-22'!F72</f>
        <v>126136</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482636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825827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3401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6700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4050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4050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29909</v>
      </c>
      <c r="D983" s="2" t="str">
        <f t="shared" si="14"/>
        <v>Error?</v>
      </c>
    </row>
    <row r="984" spans="1:4" x14ac:dyDescent="0.2">
      <c r="A984" s="10">
        <v>923</v>
      </c>
      <c r="B984" s="1832"/>
      <c r="D984" s="2" t="str">
        <f t="shared" si="14"/>
        <v>OK</v>
      </c>
    </row>
    <row r="985" spans="1:4" x14ac:dyDescent="0.2">
      <c r="A985" s="5">
        <v>924</v>
      </c>
      <c r="B985" s="1832">
        <f>'Expenditures 15-22'!G72</f>
        <v>29909</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33959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40659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61265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6250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453078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5671</v>
      </c>
      <c r="D1022" s="2" t="str">
        <f t="shared" si="14"/>
        <v>Error?</v>
      </c>
    </row>
    <row r="1023" spans="1:4" x14ac:dyDescent="0.2">
      <c r="A1023" s="5">
        <v>962</v>
      </c>
      <c r="B1023" s="1832">
        <f>'Expenditures 15-22'!H50</f>
        <v>25842</v>
      </c>
      <c r="D1023" s="2" t="str">
        <f t="shared" ref="D1023:D1086" si="15">IF(ISBLANK(B1023),"OK",IF(A1023-B1023=0,"OK","Error?"))</f>
        <v>Error?</v>
      </c>
    </row>
    <row r="1024" spans="1:4" x14ac:dyDescent="0.2">
      <c r="A1024" s="5">
        <v>963</v>
      </c>
      <c r="B1024" s="1832">
        <f>'Expenditures 15-22'!H53</f>
        <v>32154</v>
      </c>
      <c r="C1024" s="2" t="s">
        <v>569</v>
      </c>
      <c r="D1024" s="2" t="str">
        <f t="shared" si="15"/>
        <v>Error?</v>
      </c>
    </row>
    <row r="1025" spans="1:4" x14ac:dyDescent="0.2">
      <c r="A1025" s="5">
        <v>964</v>
      </c>
      <c r="B1025" s="1832">
        <f>'Expenditures 15-22'!H55</f>
        <v>9326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9326</v>
      </c>
      <c r="C1027" s="2" t="s">
        <v>569</v>
      </c>
      <c r="D1027" s="2" t="str">
        <f t="shared" si="15"/>
        <v>Error?</v>
      </c>
    </row>
    <row r="1028" spans="1:4" x14ac:dyDescent="0.2">
      <c r="A1028" s="5">
        <v>967</v>
      </c>
      <c r="B1028" s="1832">
        <f>'Expenditures 15-22'!H59</f>
        <v>375</v>
      </c>
      <c r="D1028" s="2" t="str">
        <f t="shared" si="15"/>
        <v>Error?</v>
      </c>
    </row>
    <row r="1029" spans="1:4" x14ac:dyDescent="0.2">
      <c r="A1029" s="5">
        <v>968</v>
      </c>
      <c r="B1029" s="1832">
        <f>'Expenditures 15-22'!H60</f>
        <v>4796</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474</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5645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47125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294443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794646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1995</v>
      </c>
      <c r="E1056" s="4" t="s">
        <v>1994</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5673503</v>
      </c>
      <c r="C1093" s="2" t="s">
        <v>569</v>
      </c>
      <c r="D1093" s="2" t="str">
        <f t="shared" si="16"/>
        <v>Error?</v>
      </c>
    </row>
    <row r="1094" spans="1:4" x14ac:dyDescent="0.2">
      <c r="A1094" s="5">
        <v>1033</v>
      </c>
      <c r="B1094" s="1832">
        <f>'Expenditures 15-22'!K16</f>
        <v>60914</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19088</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1497</v>
      </c>
      <c r="C1105" s="2" t="s">
        <v>569</v>
      </c>
      <c r="D1105" s="2" t="str">
        <f t="shared" si="16"/>
        <v>Error?</v>
      </c>
    </row>
    <row r="1106" spans="1:4" x14ac:dyDescent="0.2">
      <c r="A1106" s="5">
        <v>1045</v>
      </c>
      <c r="B1106" s="1832">
        <f>'Expenditures 15-22'!K14</f>
        <v>239133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9329087</v>
      </c>
      <c r="C1108" s="2" t="s">
        <v>569</v>
      </c>
      <c r="D1108" s="2" t="str">
        <f t="shared" si="16"/>
        <v>Error?</v>
      </c>
    </row>
    <row r="1109" spans="1:4" x14ac:dyDescent="0.2">
      <c r="A1109" s="5">
        <v>1048</v>
      </c>
      <c r="B1109" s="1832">
        <f>'Expenditures 15-22'!K36</f>
        <v>234856</v>
      </c>
      <c r="C1109" s="2" t="s">
        <v>569</v>
      </c>
      <c r="D1109" s="2" t="str">
        <f t="shared" si="16"/>
        <v>Error?</v>
      </c>
    </row>
    <row r="1110" spans="1:4" x14ac:dyDescent="0.2">
      <c r="A1110" s="5">
        <v>1049</v>
      </c>
      <c r="B1110" s="1832">
        <f>'Expenditures 15-22'!K37</f>
        <v>159168</v>
      </c>
      <c r="C1110" s="2" t="s">
        <v>569</v>
      </c>
      <c r="D1110" s="2" t="str">
        <f t="shared" si="16"/>
        <v>Error?</v>
      </c>
    </row>
    <row r="1111" spans="1:4" x14ac:dyDescent="0.2">
      <c r="A1111" s="5">
        <v>1050</v>
      </c>
      <c r="B1111" s="1832">
        <f>'Expenditures 15-22'!K38</f>
        <v>174640</v>
      </c>
      <c r="C1111" s="2" t="s">
        <v>569</v>
      </c>
      <c r="D1111" s="2" t="str">
        <f t="shared" si="16"/>
        <v>Error?</v>
      </c>
    </row>
    <row r="1112" spans="1:4" x14ac:dyDescent="0.2">
      <c r="A1112" s="5">
        <v>1051</v>
      </c>
      <c r="B1112" s="1832">
        <f>'Expenditures 15-22'!K39</f>
        <v>62556</v>
      </c>
      <c r="C1112" s="2" t="s">
        <v>569</v>
      </c>
      <c r="D1112" s="2" t="str">
        <f t="shared" si="16"/>
        <v>Error?</v>
      </c>
    </row>
    <row r="1113" spans="1:4" x14ac:dyDescent="0.2">
      <c r="A1113" s="5">
        <v>1052</v>
      </c>
      <c r="B1113" s="1832">
        <f>'Expenditures 15-22'!K40</f>
        <v>247528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878748</v>
      </c>
      <c r="C1115" s="2" t="s">
        <v>569</v>
      </c>
      <c r="D1115" s="2" t="str">
        <f t="shared" si="16"/>
        <v>Error?</v>
      </c>
    </row>
    <row r="1116" spans="1:4" x14ac:dyDescent="0.2">
      <c r="A1116" s="5">
        <v>1055</v>
      </c>
      <c r="B1116" s="1832">
        <f>'Expenditures 15-22'!K44</f>
        <v>40334</v>
      </c>
      <c r="C1116" s="2" t="s">
        <v>569</v>
      </c>
      <c r="D1116" s="2" t="str">
        <f t="shared" si="16"/>
        <v>Error?</v>
      </c>
    </row>
    <row r="1117" spans="1:4" x14ac:dyDescent="0.2">
      <c r="A1117" s="5">
        <v>1056</v>
      </c>
      <c r="B1117" s="1832">
        <f>'Expenditures 15-22'!K45</f>
        <v>439086</v>
      </c>
      <c r="C1117" s="2" t="s">
        <v>569</v>
      </c>
      <c r="D1117" s="2" t="str">
        <f t="shared" si="16"/>
        <v>Error?</v>
      </c>
    </row>
    <row r="1118" spans="1:4" x14ac:dyDescent="0.2">
      <c r="A1118" s="5">
        <v>1057</v>
      </c>
      <c r="B1118" s="1832">
        <f>'Expenditures 15-22'!K46</f>
        <v>19869</v>
      </c>
      <c r="C1118" s="2" t="s">
        <v>569</v>
      </c>
      <c r="D1118" s="2" t="str">
        <f t="shared" si="16"/>
        <v>Error?</v>
      </c>
    </row>
    <row r="1119" spans="1:4" x14ac:dyDescent="0.2">
      <c r="A1119" s="5">
        <v>1058</v>
      </c>
      <c r="B1119" s="1832">
        <f>'Expenditures 15-22'!K47</f>
        <v>499289</v>
      </c>
      <c r="C1119" s="2" t="s">
        <v>569</v>
      </c>
      <c r="D1119" s="2" t="str">
        <f t="shared" si="16"/>
        <v>Error?</v>
      </c>
    </row>
    <row r="1120" spans="1:4" x14ac:dyDescent="0.2">
      <c r="A1120" s="5">
        <v>1059</v>
      </c>
      <c r="B1120" s="1832">
        <f>'Expenditures 15-22'!K49</f>
        <v>172072</v>
      </c>
      <c r="C1120" s="2" t="s">
        <v>569</v>
      </c>
      <c r="D1120" s="2" t="str">
        <f t="shared" si="16"/>
        <v>Error?</v>
      </c>
    </row>
    <row r="1121" spans="1:4" x14ac:dyDescent="0.2">
      <c r="A1121" s="5">
        <v>1060</v>
      </c>
      <c r="B1121" s="1832">
        <f>'Expenditures 15-22'!K50</f>
        <v>475976</v>
      </c>
      <c r="C1121" s="2" t="s">
        <v>569</v>
      </c>
      <c r="D1121" s="2" t="str">
        <f t="shared" si="16"/>
        <v>Error?</v>
      </c>
    </row>
    <row r="1122" spans="1:4" x14ac:dyDescent="0.2">
      <c r="A1122" s="5">
        <v>1061</v>
      </c>
      <c r="B1122" s="1832">
        <f>'Expenditures 15-22'!K53</f>
        <v>943969</v>
      </c>
      <c r="C1122" s="2" t="s">
        <v>569</v>
      </c>
      <c r="D1122" s="2" t="str">
        <f t="shared" si="16"/>
        <v>Error?</v>
      </c>
    </row>
    <row r="1123" spans="1:4" x14ac:dyDescent="0.2">
      <c r="A1123" s="5">
        <v>1062</v>
      </c>
      <c r="B1123" s="1832">
        <f>'Expenditures 15-22'!K55</f>
        <v>1191768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1191768</v>
      </c>
      <c r="C1125" s="2" t="s">
        <v>569</v>
      </c>
      <c r="D1125" s="2" t="str">
        <f t="shared" si="16"/>
        <v>Error?</v>
      </c>
    </row>
    <row r="1126" spans="1:4" x14ac:dyDescent="0.2">
      <c r="A1126" s="5">
        <v>1065</v>
      </c>
      <c r="B1126" s="1832">
        <f>'Expenditures 15-22'!K59</f>
        <v>168226</v>
      </c>
      <c r="C1126" s="2" t="s">
        <v>569</v>
      </c>
      <c r="D1126" s="2" t="str">
        <f t="shared" si="16"/>
        <v>Error?</v>
      </c>
    </row>
    <row r="1127" spans="1:4" x14ac:dyDescent="0.2">
      <c r="A1127" s="5">
        <v>1066</v>
      </c>
      <c r="B1127" s="1832">
        <f>'Expenditures 15-22'!K60</f>
        <v>209977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586315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964518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309265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309265</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4787557</v>
      </c>
      <c r="C1143" s="2" t="s">
        <v>569</v>
      </c>
      <c r="D1143" s="2" t="str">
        <f t="shared" si="16"/>
        <v>Error?</v>
      </c>
    </row>
    <row r="1144" spans="1:4" x14ac:dyDescent="0.2">
      <c r="A1144" s="5">
        <v>1083</v>
      </c>
      <c r="B1144" s="1832">
        <f>'Expenditures 15-22'!K75</f>
        <v>1346</v>
      </c>
      <c r="C1144" s="2" t="s">
        <v>569</v>
      </c>
      <c r="D1144" s="2" t="str">
        <f t="shared" si="16"/>
        <v>Error?</v>
      </c>
    </row>
    <row r="1145" spans="1:4" x14ac:dyDescent="0.2">
      <c r="A1145" s="5">
        <v>1084</v>
      </c>
      <c r="B1145" s="1832">
        <f>'Expenditures 15-22'!K102</f>
        <v>407214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14525204</v>
      </c>
      <c r="C1152" s="2" t="s">
        <v>569</v>
      </c>
      <c r="D1152" s="2" t="str">
        <f t="shared" si="17"/>
        <v>Error?</v>
      </c>
    </row>
    <row r="1153" spans="1:4" x14ac:dyDescent="0.2">
      <c r="A1153" s="5">
        <v>1092</v>
      </c>
      <c r="B1153" s="1832">
        <f>'Expenditures 15-22'!K115</f>
        <v>453904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227153</v>
      </c>
      <c r="D1221" s="2" t="str">
        <f t="shared" si="18"/>
        <v>Error?</v>
      </c>
    </row>
    <row r="1222" spans="1:4" x14ac:dyDescent="0.2">
      <c r="A1222" s="10">
        <v>1161</v>
      </c>
      <c r="B1222" s="1832"/>
      <c r="D1222" s="2" t="str">
        <f t="shared" si="18"/>
        <v>OK</v>
      </c>
    </row>
    <row r="1223" spans="1:4" x14ac:dyDescent="0.2">
      <c r="A1223" s="5">
        <v>1162</v>
      </c>
      <c r="B1223" s="1832">
        <f>'Expenditures 15-22'!C127</f>
        <v>227153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227153</v>
      </c>
      <c r="C1225" s="2" t="s">
        <v>569</v>
      </c>
      <c r="D1225" s="2" t="str">
        <f t="shared" si="18"/>
        <v>Error?</v>
      </c>
    </row>
    <row r="1226" spans="1:4" x14ac:dyDescent="0.2">
      <c r="A1226" s="5">
        <v>1165</v>
      </c>
      <c r="B1226" s="1832">
        <f>'Expenditures 15-22'!C151</f>
        <v>227153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73508</v>
      </c>
      <c r="D1229" s="2" t="str">
        <f t="shared" si="18"/>
        <v>Error?</v>
      </c>
    </row>
    <row r="1230" spans="1:4" x14ac:dyDescent="0.2">
      <c r="A1230" s="10">
        <v>1169</v>
      </c>
      <c r="B1230" s="1832"/>
      <c r="D1230" s="2" t="str">
        <f t="shared" si="18"/>
        <v>OK</v>
      </c>
    </row>
    <row r="1231" spans="1:4" x14ac:dyDescent="0.2">
      <c r="A1231" s="5">
        <v>1170</v>
      </c>
      <c r="B1231" s="1832">
        <f>'Expenditures 15-22'!D127</f>
        <v>73508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73508</v>
      </c>
      <c r="C1233" s="2" t="s">
        <v>569</v>
      </c>
      <c r="D1233" s="2" t="str">
        <f t="shared" si="18"/>
        <v>Error?</v>
      </c>
    </row>
    <row r="1234" spans="1:4" x14ac:dyDescent="0.2">
      <c r="A1234" s="5">
        <v>1173</v>
      </c>
      <c r="B1234" s="1832">
        <f>'Expenditures 15-22'!D151</f>
        <v>73508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785640</v>
      </c>
      <c r="D1237" s="2" t="str">
        <f t="shared" si="18"/>
        <v>Error?</v>
      </c>
    </row>
    <row r="1238" spans="1:4" x14ac:dyDescent="0.2">
      <c r="A1238" s="10">
        <v>1177</v>
      </c>
      <c r="B1238" s="1832"/>
      <c r="D1238" s="2" t="str">
        <f t="shared" si="18"/>
        <v>OK</v>
      </c>
    </row>
    <row r="1239" spans="1:4" x14ac:dyDescent="0.2">
      <c r="A1239" s="5">
        <v>1178</v>
      </c>
      <c r="B1239" s="1832">
        <f>'Expenditures 15-22'!E127</f>
        <v>785640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785640</v>
      </c>
      <c r="C1241" s="2" t="s">
        <v>569</v>
      </c>
      <c r="D1241" s="2" t="str">
        <f t="shared" si="18"/>
        <v>Error?</v>
      </c>
    </row>
    <row r="1242" spans="1:4" x14ac:dyDescent="0.2">
      <c r="A1242" s="5">
        <v>1181</v>
      </c>
      <c r="B1242" s="1832">
        <f>'Expenditures 15-22'!E151</f>
        <v>785640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349911</v>
      </c>
      <c r="D1245" s="2" t="str">
        <f t="shared" si="18"/>
        <v>Error?</v>
      </c>
    </row>
    <row r="1246" spans="1:4" x14ac:dyDescent="0.2">
      <c r="A1246" s="10">
        <v>1185</v>
      </c>
      <c r="B1246" s="1832"/>
      <c r="D1246" s="2" t="str">
        <f t="shared" si="18"/>
        <v>OK</v>
      </c>
    </row>
    <row r="1247" spans="1:4" x14ac:dyDescent="0.2">
      <c r="A1247" s="5">
        <v>1186</v>
      </c>
      <c r="B1247" s="1832">
        <f>'Expenditures 15-22'!F127</f>
        <v>349911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349911</v>
      </c>
      <c r="C1249" s="2" t="s">
        <v>569</v>
      </c>
      <c r="D1249" s="2" t="str">
        <f t="shared" si="18"/>
        <v>Error?</v>
      </c>
    </row>
    <row r="1250" spans="1:4" x14ac:dyDescent="0.2">
      <c r="A1250" s="5">
        <v>1189</v>
      </c>
      <c r="B1250" s="1832">
        <f>'Expenditures 15-22'!F151</f>
        <v>349911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45975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45975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45975</v>
      </c>
      <c r="C1258" s="2" t="s">
        <v>569</v>
      </c>
      <c r="D1258" s="2" t="str">
        <f t="shared" si="18"/>
        <v>Error?</v>
      </c>
    </row>
    <row r="1259" spans="1:4" x14ac:dyDescent="0.2">
      <c r="A1259" s="5">
        <v>1198</v>
      </c>
      <c r="B1259" s="1832">
        <f>'Expenditures 15-22'!G151</f>
        <v>45975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26976</v>
      </c>
      <c r="D1262" s="2" t="str">
        <f t="shared" si="18"/>
        <v>Error?</v>
      </c>
    </row>
    <row r="1263" spans="1:4" x14ac:dyDescent="0.2">
      <c r="A1263" s="10">
        <v>1202</v>
      </c>
      <c r="B1263" s="1832"/>
      <c r="D1263" s="2" t="str">
        <f t="shared" si="18"/>
        <v>OK</v>
      </c>
    </row>
    <row r="1264" spans="1:4" x14ac:dyDescent="0.2">
      <c r="A1264" s="5">
        <v>1203</v>
      </c>
      <c r="B1264" s="1832">
        <f>'Expenditures 15-22'!H127</f>
        <v>26976</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26976</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26976</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1509163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1509163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1509163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1509163</v>
      </c>
      <c r="C1288" s="2" t="s">
        <v>569</v>
      </c>
      <c r="D1288" s="2" t="str">
        <f t="shared" si="19"/>
        <v>Error?</v>
      </c>
    </row>
    <row r="1289" spans="1:4" x14ac:dyDescent="0.2">
      <c r="A1289" s="5">
        <v>1228</v>
      </c>
      <c r="B1289" s="1832">
        <f>'Expenditures 15-22'!K152</f>
        <v>172373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347876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1036487</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1384363</v>
      </c>
      <c r="C1317" s="2" t="s">
        <v>569</v>
      </c>
      <c r="D1317" s="2" t="str">
        <f t="shared" si="19"/>
        <v>Error?</v>
      </c>
    </row>
    <row r="1318" spans="1:4" x14ac:dyDescent="0.2">
      <c r="A1318" s="5">
        <v>1257</v>
      </c>
      <c r="B1318" s="1832">
        <f>'Expenditures 15-22'!H174</f>
        <v>1384363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347876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1036487</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1384363</v>
      </c>
      <c r="C1331" s="2" t="s">
        <v>569</v>
      </c>
      <c r="D1331" s="2" t="str">
        <f t="shared" si="19"/>
        <v>Error?</v>
      </c>
    </row>
    <row r="1332" spans="1:4" x14ac:dyDescent="0.2">
      <c r="A1332" s="5">
        <v>1271</v>
      </c>
      <c r="B1332" s="1832">
        <f>'Expenditures 15-22'!K174</f>
        <v>1384363</v>
      </c>
      <c r="C1332" s="2" t="s">
        <v>569</v>
      </c>
      <c r="D1332" s="2" t="str">
        <f t="shared" si="19"/>
        <v>Error?</v>
      </c>
    </row>
    <row r="1333" spans="1:4" x14ac:dyDescent="0.2">
      <c r="A1333" s="5">
        <v>1272</v>
      </c>
      <c r="B1333" s="1832">
        <f>'Expenditures 15-22'!K175</f>
        <v>-118757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878746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878746</v>
      </c>
      <c r="C1339" s="2" t="s">
        <v>569</v>
      </c>
      <c r="D1339" s="2" t="str">
        <f t="shared" si="19"/>
        <v>Error?</v>
      </c>
    </row>
    <row r="1340" spans="1:4" x14ac:dyDescent="0.2">
      <c r="A1340" s="5">
        <v>1279</v>
      </c>
      <c r="B1340" s="1832">
        <f>'Expenditures 15-22'!C210</f>
        <v>878746</v>
      </c>
      <c r="C1340" s="2" t="s">
        <v>569</v>
      </c>
      <c r="D1340" s="2" t="str">
        <f t="shared" si="19"/>
        <v>Error?</v>
      </c>
    </row>
    <row r="1341" spans="1:4" x14ac:dyDescent="0.2">
      <c r="A1341" s="5">
        <v>1280</v>
      </c>
      <c r="B1341" s="1832">
        <f>'Expenditures 15-22'!D182</f>
        <v>20371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20371</v>
      </c>
      <c r="C1345" s="2" t="s">
        <v>569</v>
      </c>
      <c r="D1345" s="2" t="str">
        <f t="shared" si="20"/>
        <v>Error?</v>
      </c>
    </row>
    <row r="1346" spans="1:4" x14ac:dyDescent="0.2">
      <c r="A1346" s="5">
        <v>1285</v>
      </c>
      <c r="B1346" s="1832">
        <f>'Expenditures 15-22'!D210</f>
        <v>20371</v>
      </c>
      <c r="C1346" s="2" t="s">
        <v>569</v>
      </c>
      <c r="D1346" s="2" t="str">
        <f t="shared" si="20"/>
        <v>Error?</v>
      </c>
    </row>
    <row r="1347" spans="1:4" x14ac:dyDescent="0.2">
      <c r="A1347" s="5">
        <v>1286</v>
      </c>
      <c r="B1347" s="1832">
        <f>'Expenditures 15-22'!E182</f>
        <v>546384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546384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546384</v>
      </c>
      <c r="C1353" s="2" t="s">
        <v>569</v>
      </c>
      <c r="D1353" s="2" t="str">
        <f t="shared" si="20"/>
        <v>Error?</v>
      </c>
    </row>
    <row r="1354" spans="1:4" x14ac:dyDescent="0.2">
      <c r="A1354" s="5">
        <v>1293</v>
      </c>
      <c r="B1354" s="1832">
        <f>'Expenditures 15-22'!F182</f>
        <v>154018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154018</v>
      </c>
      <c r="C1358" s="2" t="s">
        <v>569</v>
      </c>
      <c r="D1358" s="2" t="str">
        <f t="shared" si="20"/>
        <v>Error?</v>
      </c>
    </row>
    <row r="1359" spans="1:4" x14ac:dyDescent="0.2">
      <c r="A1359" s="5">
        <v>1298</v>
      </c>
      <c r="B1359" s="1832">
        <f>'Expenditures 15-22'!F210</f>
        <v>154018</v>
      </c>
      <c r="C1359" s="2" t="s">
        <v>569</v>
      </c>
      <c r="D1359" s="2" t="str">
        <f t="shared" si="20"/>
        <v>Error?</v>
      </c>
    </row>
    <row r="1360" spans="1:4" x14ac:dyDescent="0.2">
      <c r="A1360" s="5">
        <v>1299</v>
      </c>
      <c r="B1360" s="1832">
        <f>'Expenditures 15-22'!G182</f>
        <v>116240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116240</v>
      </c>
      <c r="C1364" s="2" t="s">
        <v>569</v>
      </c>
      <c r="D1364" s="2" t="str">
        <f t="shared" si="20"/>
        <v>Error?</v>
      </c>
    </row>
    <row r="1365" spans="1:4" x14ac:dyDescent="0.2">
      <c r="A1365" s="5">
        <v>1304</v>
      </c>
      <c r="B1365" s="1832">
        <f>'Expenditures 15-22'!G210</f>
        <v>116240</v>
      </c>
      <c r="C1365" s="2" t="s">
        <v>569</v>
      </c>
      <c r="D1365" s="2" t="str">
        <f t="shared" si="20"/>
        <v>Error?</v>
      </c>
    </row>
    <row r="1366" spans="1:4" x14ac:dyDescent="0.2">
      <c r="A1366" s="5">
        <v>1305</v>
      </c>
      <c r="B1366" s="1832">
        <f>'Expenditures 15-22'!H182</f>
        <v>6326</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6326</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6326</v>
      </c>
      <c r="C1376" s="2" t="s">
        <v>569</v>
      </c>
      <c r="D1376" s="2" t="str">
        <f t="shared" si="20"/>
        <v>Error?</v>
      </c>
    </row>
    <row r="1377" spans="1:4" x14ac:dyDescent="0.2">
      <c r="A1377" s="5">
        <v>1316</v>
      </c>
      <c r="B1377" s="1832">
        <f>'Expenditures 15-22'!K182</f>
        <v>1722085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1722085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1722085</v>
      </c>
      <c r="C1388" s="2" t="s">
        <v>569</v>
      </c>
      <c r="D1388" s="2" t="str">
        <f t="shared" si="20"/>
        <v>Error?</v>
      </c>
    </row>
    <row r="1389" spans="1:4" x14ac:dyDescent="0.2">
      <c r="A1389" s="5">
        <v>1328</v>
      </c>
      <c r="B1389" s="1832">
        <f>'Expenditures 15-22'!K211</f>
        <v>250747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536</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274</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4720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214117</v>
      </c>
      <c r="C1410" s="2" t="s">
        <v>569</v>
      </c>
      <c r="D1410" s="2" t="str">
        <f t="shared" si="21"/>
        <v>Error?</v>
      </c>
    </row>
    <row r="1411" spans="1:4" x14ac:dyDescent="0.2">
      <c r="A1411" s="5">
        <v>1350</v>
      </c>
      <c r="B1411" s="1832">
        <f>'Expenditures 15-22'!D232</f>
        <v>2389</v>
      </c>
      <c r="D1411" s="2" t="str">
        <f t="shared" si="21"/>
        <v>Error?</v>
      </c>
    </row>
    <row r="1412" spans="1:4" x14ac:dyDescent="0.2">
      <c r="A1412" s="5">
        <v>1351</v>
      </c>
      <c r="B1412" s="1832">
        <f>'Expenditures 15-22'!D233</f>
        <v>1091</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642</v>
      </c>
      <c r="D1414" s="2" t="str">
        <f t="shared" si="21"/>
        <v>Error?</v>
      </c>
    </row>
    <row r="1415" spans="1:4" x14ac:dyDescent="0.2">
      <c r="A1415" s="5">
        <v>1354</v>
      </c>
      <c r="B1415" s="1832">
        <f>'Expenditures 15-22'!D236</f>
        <v>2894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7016</v>
      </c>
      <c r="C1417" s="2" t="s">
        <v>569</v>
      </c>
      <c r="D1417" s="2" t="str">
        <f t="shared" si="21"/>
        <v>Error?</v>
      </c>
    </row>
    <row r="1418" spans="1:4" x14ac:dyDescent="0.2">
      <c r="A1418" s="5">
        <v>1357</v>
      </c>
      <c r="B1418" s="1832">
        <f>'Expenditures 15-22'!D240</f>
        <v>43</v>
      </c>
      <c r="D1418" s="2" t="str">
        <f t="shared" si="21"/>
        <v>Error?</v>
      </c>
    </row>
    <row r="1419" spans="1:4" x14ac:dyDescent="0.2">
      <c r="A1419" s="5">
        <v>1358</v>
      </c>
      <c r="B1419" s="1832">
        <f>'Expenditures 15-22'!D241</f>
        <v>37940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37983</v>
      </c>
      <c r="C1421" s="2" t="s">
        <v>569</v>
      </c>
      <c r="D1421" s="2" t="str">
        <f t="shared" si="21"/>
        <v>Error?</v>
      </c>
    </row>
    <row r="1422" spans="1:4" x14ac:dyDescent="0.2">
      <c r="A1422" s="5">
        <v>1361</v>
      </c>
      <c r="B1422" s="1832">
        <f>'Expenditures 15-22'!D245</f>
        <v>788</v>
      </c>
      <c r="D1422" s="2" t="str">
        <f t="shared" si="21"/>
        <v>Error?</v>
      </c>
    </row>
    <row r="1423" spans="1:4" x14ac:dyDescent="0.2">
      <c r="A1423" s="5">
        <v>1362</v>
      </c>
      <c r="B1423" s="1832">
        <f>'Expenditures 15-22'!D246</f>
        <v>14362</v>
      </c>
      <c r="D1423" s="2" t="str">
        <f t="shared" si="21"/>
        <v>Error?</v>
      </c>
    </row>
    <row r="1424" spans="1:4" x14ac:dyDescent="0.2">
      <c r="A1424" s="5">
        <v>1363</v>
      </c>
      <c r="B1424" s="1832">
        <f>'Expenditures 15-22'!D257</f>
        <v>26213</v>
      </c>
      <c r="C1424" s="2" t="s">
        <v>569</v>
      </c>
      <c r="D1424" s="2" t="str">
        <f t="shared" si="21"/>
        <v>Error?</v>
      </c>
    </row>
    <row r="1425" spans="1:4" x14ac:dyDescent="0.2">
      <c r="A1425" s="5">
        <v>1364</v>
      </c>
      <c r="B1425" s="1832">
        <f>'Expenditures 15-22'!D259</f>
        <v>52714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52714</v>
      </c>
      <c r="C1427" s="2" t="s">
        <v>569</v>
      </c>
      <c r="D1427" s="2" t="str">
        <f t="shared" si="21"/>
        <v>Error?</v>
      </c>
    </row>
    <row r="1428" spans="1:4" x14ac:dyDescent="0.2">
      <c r="A1428" s="5">
        <v>1367</v>
      </c>
      <c r="B1428" s="1832">
        <f>'Expenditures 15-22'!D263</f>
        <v>1693</v>
      </c>
      <c r="D1428" s="2" t="str">
        <f t="shared" si="21"/>
        <v>Error?</v>
      </c>
    </row>
    <row r="1429" spans="1:4" x14ac:dyDescent="0.2">
      <c r="A1429" s="5">
        <v>1368</v>
      </c>
      <c r="B1429" s="1832">
        <f>'Expenditures 15-22'!D264</f>
        <v>29995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47978</v>
      </c>
      <c r="D1431" s="2" t="str">
        <f t="shared" si="21"/>
        <v>Error?</v>
      </c>
    </row>
    <row r="1432" spans="1:4" x14ac:dyDescent="0.2">
      <c r="A1432" s="5">
        <v>1371</v>
      </c>
      <c r="B1432" s="1832">
        <f>'Expenditures 15-22'!D267</f>
        <v>189919</v>
      </c>
      <c r="D1432" s="2" t="str">
        <f t="shared" si="21"/>
        <v>Error?</v>
      </c>
    </row>
    <row r="1433" spans="1:4" x14ac:dyDescent="0.2">
      <c r="A1433" s="5">
        <v>1372</v>
      </c>
      <c r="B1433" s="1832">
        <f>'Expenditures 15-22'!D268</f>
        <v>53513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323098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22694</v>
      </c>
      <c r="D1442" s="2" t="str">
        <f t="shared" si="21"/>
        <v>Error?</v>
      </c>
    </row>
    <row r="1443" spans="1:4" x14ac:dyDescent="0.2">
      <c r="A1443" s="10">
        <v>1382</v>
      </c>
      <c r="B1443" s="1832"/>
      <c r="D1443" s="2" t="str">
        <f t="shared" si="21"/>
        <v>OK</v>
      </c>
    </row>
    <row r="1444" spans="1:4" x14ac:dyDescent="0.2">
      <c r="A1444" s="5">
        <v>1383</v>
      </c>
      <c r="B1444" s="1832">
        <f>'Expenditures 15-22'!D277</f>
        <v>22694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469718</v>
      </c>
      <c r="C1446" s="2" t="s">
        <v>569</v>
      </c>
      <c r="D1446" s="2" t="str">
        <f t="shared" si="21"/>
        <v>Error?</v>
      </c>
    </row>
    <row r="1447" spans="1:4" x14ac:dyDescent="0.2">
      <c r="A1447" s="5">
        <v>1386</v>
      </c>
      <c r="B1447" s="1832">
        <f>'Expenditures 15-22'!D280</f>
        <v>15</v>
      </c>
      <c r="D1447" s="2" t="str">
        <f t="shared" si="21"/>
        <v>Error?</v>
      </c>
    </row>
    <row r="1448" spans="1:4" x14ac:dyDescent="0.2">
      <c r="A1448" s="5">
        <v>1387</v>
      </c>
      <c r="B1448" s="1832">
        <f>'Expenditures 15-22'!D295</f>
        <v>683850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536</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274</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4720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214117</v>
      </c>
      <c r="C1474" s="2" t="s">
        <v>569</v>
      </c>
      <c r="D1474" s="2" t="str">
        <f t="shared" si="22"/>
        <v>Error?</v>
      </c>
    </row>
    <row r="1475" spans="1:4" x14ac:dyDescent="0.2">
      <c r="A1475" s="5">
        <v>1414</v>
      </c>
      <c r="B1475" s="1832">
        <f>'Expenditures 15-22'!K232</f>
        <v>2389</v>
      </c>
      <c r="C1475" s="2" t="s">
        <v>569</v>
      </c>
      <c r="D1475" s="2" t="str">
        <f t="shared" si="22"/>
        <v>Error?</v>
      </c>
    </row>
    <row r="1476" spans="1:4" x14ac:dyDescent="0.2">
      <c r="A1476" s="5">
        <v>1415</v>
      </c>
      <c r="B1476" s="1832">
        <f>'Expenditures 15-22'!K233</f>
        <v>1091</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642</v>
      </c>
      <c r="C1478" s="2" t="s">
        <v>569</v>
      </c>
      <c r="D1478" s="2" t="str">
        <f t="shared" si="22"/>
        <v>Error?</v>
      </c>
    </row>
    <row r="1479" spans="1:4" x14ac:dyDescent="0.2">
      <c r="A1479" s="5">
        <v>1418</v>
      </c>
      <c r="B1479" s="1832">
        <f>'Expenditures 15-22'!K236</f>
        <v>2894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7016</v>
      </c>
      <c r="C1481" s="2" t="s">
        <v>569</v>
      </c>
      <c r="D1481" s="2" t="str">
        <f t="shared" si="22"/>
        <v>Error?</v>
      </c>
    </row>
    <row r="1482" spans="1:4" x14ac:dyDescent="0.2">
      <c r="A1482" s="5">
        <v>1421</v>
      </c>
      <c r="B1482" s="1832">
        <f>'Expenditures 15-22'!K240</f>
        <v>43</v>
      </c>
      <c r="C1482" s="2" t="s">
        <v>569</v>
      </c>
      <c r="D1482" s="2" t="str">
        <f t="shared" si="22"/>
        <v>Error?</v>
      </c>
    </row>
    <row r="1483" spans="1:4" x14ac:dyDescent="0.2">
      <c r="A1483" s="5">
        <v>1422</v>
      </c>
      <c r="B1483" s="1832">
        <f>'Expenditures 15-22'!K241</f>
        <v>37940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37983</v>
      </c>
      <c r="C1485" s="2" t="s">
        <v>569</v>
      </c>
      <c r="D1485" s="2" t="str">
        <f t="shared" si="22"/>
        <v>Error?</v>
      </c>
    </row>
    <row r="1486" spans="1:4" x14ac:dyDescent="0.2">
      <c r="A1486" s="5">
        <v>1425</v>
      </c>
      <c r="B1486" s="1832">
        <f>'Expenditures 15-22'!K245</f>
        <v>788</v>
      </c>
      <c r="C1486" s="2" t="s">
        <v>569</v>
      </c>
      <c r="D1486" s="2" t="str">
        <f t="shared" si="22"/>
        <v>Error?</v>
      </c>
    </row>
    <row r="1487" spans="1:4" x14ac:dyDescent="0.2">
      <c r="A1487" s="5">
        <v>1426</v>
      </c>
      <c r="B1487" s="1832">
        <f>'Expenditures 15-22'!K246</f>
        <v>14362</v>
      </c>
      <c r="C1487" s="2" t="s">
        <v>569</v>
      </c>
      <c r="D1487" s="2" t="str">
        <f t="shared" si="22"/>
        <v>Error?</v>
      </c>
    </row>
    <row r="1488" spans="1:4" x14ac:dyDescent="0.2">
      <c r="A1488" s="5">
        <v>1427</v>
      </c>
      <c r="B1488" s="1832">
        <f>'Expenditures 15-22'!K257</f>
        <v>26213</v>
      </c>
      <c r="C1488" s="2" t="s">
        <v>569</v>
      </c>
      <c r="D1488" s="2" t="str">
        <f t="shared" si="22"/>
        <v>Error?</v>
      </c>
    </row>
    <row r="1489" spans="1:4" x14ac:dyDescent="0.2">
      <c r="A1489" s="5">
        <v>1428</v>
      </c>
      <c r="B1489" s="1832">
        <f>'Expenditures 15-22'!K259</f>
        <v>52714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52714</v>
      </c>
      <c r="C1491" s="2" t="s">
        <v>569</v>
      </c>
      <c r="D1491" s="2" t="str">
        <f t="shared" si="22"/>
        <v>Error?</v>
      </c>
    </row>
    <row r="1492" spans="1:4" x14ac:dyDescent="0.2">
      <c r="A1492" s="5">
        <v>1431</v>
      </c>
      <c r="B1492" s="1832">
        <f>'Expenditures 15-22'!K263</f>
        <v>1693</v>
      </c>
      <c r="C1492" s="2" t="s">
        <v>569</v>
      </c>
      <c r="D1492" s="2" t="str">
        <f t="shared" si="22"/>
        <v>Error?</v>
      </c>
    </row>
    <row r="1493" spans="1:4" x14ac:dyDescent="0.2">
      <c r="A1493" s="5">
        <v>1432</v>
      </c>
      <c r="B1493" s="1832">
        <f>'Expenditures 15-22'!K264</f>
        <v>29995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47978</v>
      </c>
      <c r="C1495" s="2" t="s">
        <v>569</v>
      </c>
      <c r="D1495" s="2" t="str">
        <f t="shared" si="22"/>
        <v>Error?</v>
      </c>
    </row>
    <row r="1496" spans="1:4" x14ac:dyDescent="0.2">
      <c r="A1496" s="5">
        <v>1435</v>
      </c>
      <c r="B1496" s="1832">
        <f>'Expenditures 15-22'!K267</f>
        <v>189919</v>
      </c>
      <c r="C1496" s="2" t="s">
        <v>569</v>
      </c>
      <c r="D1496" s="2" t="str">
        <f t="shared" si="22"/>
        <v>Error?</v>
      </c>
    </row>
    <row r="1497" spans="1:4" x14ac:dyDescent="0.2">
      <c r="A1497" s="5">
        <v>1436</v>
      </c>
      <c r="B1497" s="1832">
        <f>'Expenditures 15-22'!K268</f>
        <v>53513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323098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22694</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22694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469718</v>
      </c>
      <c r="C1510" s="2" t="s">
        <v>569</v>
      </c>
      <c r="D1510" s="2" t="str">
        <f t="shared" si="22"/>
        <v>Error?</v>
      </c>
    </row>
    <row r="1511" spans="1:4" x14ac:dyDescent="0.2">
      <c r="A1511" s="5">
        <v>1450</v>
      </c>
      <c r="B1511" s="1832">
        <f>'Expenditures 15-22'!K280</f>
        <v>15</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683850</v>
      </c>
      <c r="C1517" s="2" t="s">
        <v>569</v>
      </c>
      <c r="D1517" s="2" t="str">
        <f t="shared" si="22"/>
        <v>Error?</v>
      </c>
    </row>
    <row r="1518" spans="1:4" x14ac:dyDescent="0.2">
      <c r="A1518" s="5">
        <v>1457</v>
      </c>
      <c r="B1518" s="1832">
        <f>'Expenditures 15-22'!K296</f>
        <v>164422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18058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18058</v>
      </c>
      <c r="C1535" s="2" t="s">
        <v>569</v>
      </c>
      <c r="D1535" s="2" t="str">
        <f t="shared" ref="D1535:D1598" si="23">IF(ISBLANK(B1535),"OK",IF(A1535-B1535=0,"OK","Error?"))</f>
        <v>Error?</v>
      </c>
    </row>
    <row r="1536" spans="1:4" x14ac:dyDescent="0.2">
      <c r="A1536" s="5">
        <v>1475</v>
      </c>
      <c r="B1536" s="1832">
        <f>'Expenditures 15-22'!E312</f>
        <v>18058</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633715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633715</v>
      </c>
      <c r="C1547" s="2" t="s">
        <v>569</v>
      </c>
      <c r="D1547" s="2" t="str">
        <f t="shared" si="23"/>
        <v>Error?</v>
      </c>
    </row>
    <row r="1548" spans="1:4" x14ac:dyDescent="0.2">
      <c r="A1548" s="5">
        <v>1487</v>
      </c>
      <c r="B1548" s="1832">
        <f>'Expenditures 15-22'!G312</f>
        <v>633715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651773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651773</v>
      </c>
      <c r="C1559" s="2" t="s">
        <v>569</v>
      </c>
      <c r="D1559" s="2" t="str">
        <f t="shared" si="23"/>
        <v>Error?</v>
      </c>
    </row>
    <row r="1560" spans="1:4" x14ac:dyDescent="0.2">
      <c r="A1560" s="5">
        <v>1499</v>
      </c>
      <c r="B1560" s="1832">
        <f>'Expenditures 15-22'!K312</f>
        <v>651773</v>
      </c>
      <c r="C1560" s="2" t="s">
        <v>569</v>
      </c>
      <c r="D1560" s="2" t="str">
        <f t="shared" si="23"/>
        <v>Error?</v>
      </c>
    </row>
    <row r="1561" spans="1:4" x14ac:dyDescent="0.2">
      <c r="A1561" s="5">
        <v>1500</v>
      </c>
      <c r="B1561" s="1832">
        <f>'Expenditures 15-22'!K313</f>
        <v>-247824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6727922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7181826</v>
      </c>
      <c r="C1630" s="2" t="s">
        <v>569</v>
      </c>
      <c r="D1630" s="2" t="str">
        <f t="shared" si="24"/>
        <v>Error?</v>
      </c>
    </row>
    <row r="1631" spans="1:4" x14ac:dyDescent="0.2">
      <c r="A1631" s="5">
        <v>1570</v>
      </c>
      <c r="B1631" s="1832">
        <f>'Acct Summary 7-8'!D79</f>
        <v>1186809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1359182</v>
      </c>
      <c r="C1644" s="2" t="s">
        <v>569</v>
      </c>
      <c r="D1644" s="2" t="str">
        <f t="shared" si="24"/>
        <v>Error?</v>
      </c>
    </row>
    <row r="1645" spans="1:4" x14ac:dyDescent="0.2">
      <c r="A1645" s="5">
        <v>1584</v>
      </c>
      <c r="B1645" s="1832">
        <f>'Acct Summary 7-8'!E79</f>
        <v>1605318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1486561</v>
      </c>
      <c r="C1658" s="2" t="s">
        <v>569</v>
      </c>
      <c r="D1658" s="2" t="str">
        <f t="shared" si="24"/>
        <v>Error?</v>
      </c>
    </row>
    <row r="1659" spans="1:4" x14ac:dyDescent="0.2">
      <c r="A1659" s="5">
        <v>1598</v>
      </c>
      <c r="B1659" s="1832">
        <f>'Acct Summary 7-8'!F79</f>
        <v>2259756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2510503</v>
      </c>
      <c r="C1672" s="2" t="s">
        <v>569</v>
      </c>
      <c r="D1672" s="2" t="str">
        <f t="shared" si="25"/>
        <v>Error?</v>
      </c>
    </row>
    <row r="1673" spans="1:4" x14ac:dyDescent="0.2">
      <c r="A1673" s="5">
        <v>1612</v>
      </c>
      <c r="B1673" s="1832">
        <f>'Acct Summary 7-8'!G79</f>
        <v>457140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621562</v>
      </c>
      <c r="C1686" s="2" t="s">
        <v>569</v>
      </c>
      <c r="D1686" s="2" t="str">
        <f t="shared" si="25"/>
        <v>Error?</v>
      </c>
    </row>
    <row r="1687" spans="1:4" x14ac:dyDescent="0.2">
      <c r="A1687" s="5">
        <v>1626</v>
      </c>
      <c r="B1687" s="1832">
        <f>'Acct Summary 7-8'!H79</f>
        <v>6984029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6736205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8398265</v>
      </c>
      <c r="C1744" s="2" t="s">
        <v>569</v>
      </c>
      <c r="D1744" s="2" t="str">
        <f t="shared" si="26"/>
        <v>Error?</v>
      </c>
    </row>
    <row r="1745" spans="1:5" x14ac:dyDescent="0.2">
      <c r="A1745" s="5">
        <v>1684</v>
      </c>
      <c r="B1745" s="1832">
        <f>'Tax Sched 23'!B5</f>
        <v>1374318</v>
      </c>
      <c r="C1745" s="2" t="s">
        <v>569</v>
      </c>
      <c r="D1745" s="2" t="str">
        <f t="shared" si="26"/>
        <v>Error?</v>
      </c>
    </row>
    <row r="1746" spans="1:5" x14ac:dyDescent="0.2">
      <c r="A1746" s="5">
        <v>1685</v>
      </c>
      <c r="B1746" s="1832">
        <f>'Tax Sched 23'!B6</f>
        <v>713912</v>
      </c>
      <c r="C1746" s="2" t="s">
        <v>569</v>
      </c>
      <c r="D1746" s="2" t="str">
        <f t="shared" si="26"/>
        <v>Error?</v>
      </c>
    </row>
    <row r="1747" spans="1:5" x14ac:dyDescent="0.2">
      <c r="A1747" s="5">
        <v>1686</v>
      </c>
      <c r="B1747" s="1832">
        <f>'Tax Sched 23'!B7</f>
        <v>927692</v>
      </c>
      <c r="C1747" s="2" t="s">
        <v>569</v>
      </c>
      <c r="D1747" s="2" t="str">
        <f t="shared" si="26"/>
        <v>Error?</v>
      </c>
    </row>
    <row r="1748" spans="1:5" x14ac:dyDescent="0.2">
      <c r="A1748" s="5">
        <v>1687</v>
      </c>
      <c r="B1748" s="1832">
        <f>'Tax Sched 23'!B8</f>
        <v>294466</v>
      </c>
      <c r="C1748" s="2" t="s">
        <v>569</v>
      </c>
      <c r="D1748" s="2" t="str">
        <f t="shared" si="26"/>
        <v>Error?</v>
      </c>
    </row>
    <row r="1749" spans="1:5" x14ac:dyDescent="0.2">
      <c r="A1749" s="5">
        <v>1688</v>
      </c>
      <c r="B1749" s="1832">
        <f>'Tax Sched 23'!B10</f>
        <v>81505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117805</v>
      </c>
      <c r="C1752" s="2" t="s">
        <v>569</v>
      </c>
      <c r="D1752" s="2" t="str">
        <f t="shared" si="26"/>
        <v>Error?</v>
      </c>
    </row>
    <row r="1753" spans="1:5" x14ac:dyDescent="0.2">
      <c r="A1753" s="5">
        <v>1692</v>
      </c>
      <c r="B1753" s="1832">
        <f>'Tax Sched 23'!B12</f>
        <v>363222</v>
      </c>
      <c r="C1753" s="2" t="s">
        <v>569</v>
      </c>
      <c r="D1753" s="2" t="str">
        <f t="shared" si="26"/>
        <v>Error?</v>
      </c>
    </row>
    <row r="1754" spans="1:5" x14ac:dyDescent="0.2">
      <c r="A1754" s="5">
        <v>1693</v>
      </c>
      <c r="B1754" s="1832">
        <f>'Tax Sched 23'!B14</f>
        <v>116832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12754192</v>
      </c>
      <c r="C1759" s="2" t="s">
        <v>569</v>
      </c>
      <c r="D1759" s="2" t="str">
        <f t="shared" si="26"/>
        <v>Error?</v>
      </c>
    </row>
    <row r="1760" spans="1:5" x14ac:dyDescent="0.2">
      <c r="A1760" s="5">
        <v>1699</v>
      </c>
      <c r="B1760" s="1832">
        <f>'Tax Sched 23'!D4</f>
        <v>8398265</v>
      </c>
      <c r="C1760" s="2" t="s">
        <v>569</v>
      </c>
      <c r="D1760" s="2" t="str">
        <f t="shared" si="26"/>
        <v>Error?</v>
      </c>
    </row>
    <row r="1761" spans="1:7" x14ac:dyDescent="0.2">
      <c r="A1761" s="5">
        <v>1700</v>
      </c>
      <c r="B1761" s="1832">
        <f>'Tax Sched 23'!D5</f>
        <v>1374318</v>
      </c>
      <c r="C1761" s="2" t="s">
        <v>569</v>
      </c>
      <c r="D1761" s="2" t="str">
        <f t="shared" si="26"/>
        <v>Error?</v>
      </c>
    </row>
    <row r="1762" spans="1:7" s="8" customFormat="1" x14ac:dyDescent="0.2">
      <c r="A1762" s="5">
        <v>1701</v>
      </c>
      <c r="B1762" s="1832">
        <f>'Tax Sched 23'!D6</f>
        <v>713912</v>
      </c>
      <c r="C1762" s="2" t="s">
        <v>569</v>
      </c>
      <c r="D1762" s="2" t="str">
        <f t="shared" si="26"/>
        <v>Error?</v>
      </c>
      <c r="E1762" s="9"/>
      <c r="G1762"/>
    </row>
    <row r="1763" spans="1:7" x14ac:dyDescent="0.2">
      <c r="A1763" s="5">
        <v>1702</v>
      </c>
      <c r="B1763" s="1832">
        <f>'Tax Sched 23'!D7</f>
        <v>927692</v>
      </c>
      <c r="C1763" s="2" t="s">
        <v>569</v>
      </c>
      <c r="D1763" s="2" t="str">
        <f t="shared" si="26"/>
        <v>Error?</v>
      </c>
    </row>
    <row r="1764" spans="1:7" x14ac:dyDescent="0.2">
      <c r="A1764" s="5">
        <v>1703</v>
      </c>
      <c r="B1764" s="1832">
        <f>'Tax Sched 23'!D8</f>
        <v>294466</v>
      </c>
      <c r="C1764" s="2" t="s">
        <v>569</v>
      </c>
      <c r="D1764" s="2" t="str">
        <f t="shared" si="26"/>
        <v>Error?</v>
      </c>
    </row>
    <row r="1765" spans="1:7" x14ac:dyDescent="0.2">
      <c r="A1765" s="5">
        <v>1704</v>
      </c>
      <c r="B1765" s="1832">
        <f>'Tax Sched 23'!D10</f>
        <v>81505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117805</v>
      </c>
      <c r="C1768" s="2" t="s">
        <v>569</v>
      </c>
      <c r="D1768" s="2" t="str">
        <f t="shared" si="26"/>
        <v>Error?</v>
      </c>
    </row>
    <row r="1769" spans="1:7" x14ac:dyDescent="0.2">
      <c r="A1769" s="5">
        <v>1708</v>
      </c>
      <c r="B1769" s="1832">
        <f>'Tax Sched 23'!D12</f>
        <v>363222</v>
      </c>
      <c r="C1769" s="2" t="s">
        <v>569</v>
      </c>
      <c r="D1769" s="2" t="str">
        <f t="shared" si="26"/>
        <v>Error?</v>
      </c>
    </row>
    <row r="1770" spans="1:7" x14ac:dyDescent="0.2">
      <c r="A1770" s="5">
        <v>1709</v>
      </c>
      <c r="B1770" s="1832">
        <f>'Tax Sched 23'!D14</f>
        <v>116832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12754192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9092150</v>
      </c>
      <c r="C1792" s="2" t="s">
        <v>569</v>
      </c>
      <c r="D1792" s="2" t="str">
        <f t="shared" si="27"/>
        <v>Error?</v>
      </c>
    </row>
    <row r="1793" spans="1:4" x14ac:dyDescent="0.2">
      <c r="A1793" s="5">
        <v>1732</v>
      </c>
      <c r="B1793" s="1832">
        <f>'Tax Sched 23'!F5</f>
        <v>1415471</v>
      </c>
      <c r="C1793" s="2" t="s">
        <v>569</v>
      </c>
      <c r="D1793" s="2" t="str">
        <f t="shared" si="27"/>
        <v>Error?</v>
      </c>
    </row>
    <row r="1794" spans="1:4" x14ac:dyDescent="0.2">
      <c r="A1794" s="5">
        <v>1733</v>
      </c>
      <c r="B1794" s="1832">
        <f>'Tax Sched 23'!F6</f>
        <v>727212</v>
      </c>
      <c r="C1794" s="2" t="s">
        <v>569</v>
      </c>
      <c r="D1794" s="2" t="str">
        <f t="shared" si="27"/>
        <v>Error?</v>
      </c>
    </row>
    <row r="1795" spans="1:4" x14ac:dyDescent="0.2">
      <c r="A1795" s="5">
        <v>1734</v>
      </c>
      <c r="B1795" s="1832">
        <f>'Tax Sched 23'!F7</f>
        <v>666875</v>
      </c>
      <c r="C1795" s="2" t="s">
        <v>569</v>
      </c>
      <c r="D1795" s="2" t="str">
        <f t="shared" si="27"/>
        <v>Error?</v>
      </c>
    </row>
    <row r="1796" spans="1:4" x14ac:dyDescent="0.2">
      <c r="A1796" s="5">
        <v>1735</v>
      </c>
      <c r="B1796" s="1832">
        <f>'Tax Sched 23'!F8</f>
        <v>303345</v>
      </c>
      <c r="C1796" s="2" t="s">
        <v>569</v>
      </c>
      <c r="D1796" s="2" t="str">
        <f t="shared" si="27"/>
        <v>Error?</v>
      </c>
    </row>
    <row r="1797" spans="1:4" x14ac:dyDescent="0.2">
      <c r="A1797" s="5">
        <v>1736</v>
      </c>
      <c r="B1797" s="1832">
        <f>'Tax Sched 23'!F10</f>
        <v>83988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121353</v>
      </c>
      <c r="C1800" s="2" t="s">
        <v>569</v>
      </c>
      <c r="D1800" s="2" t="str">
        <f t="shared" si="27"/>
        <v>Error?</v>
      </c>
    </row>
    <row r="1801" spans="1:4" x14ac:dyDescent="0.2">
      <c r="A1801" s="5">
        <v>1740</v>
      </c>
      <c r="B1801" s="1832">
        <f>'Tax Sched 23'!F12</f>
        <v>365722</v>
      </c>
      <c r="C1801" s="2" t="s">
        <v>569</v>
      </c>
      <c r="D1801" s="2" t="str">
        <f t="shared" si="27"/>
        <v>Error?</v>
      </c>
    </row>
    <row r="1802" spans="1:4" x14ac:dyDescent="0.2">
      <c r="A1802" s="5">
        <v>1741</v>
      </c>
      <c r="B1802" s="1832">
        <f>'Tax Sched 23'!F14</f>
        <v>120371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13273656</v>
      </c>
      <c r="C1807" s="2" t="s">
        <v>569</v>
      </c>
      <c r="D1807" s="2" t="str">
        <f t="shared" si="27"/>
        <v>Error?</v>
      </c>
    </row>
    <row r="1808" spans="1:4" x14ac:dyDescent="0.2">
      <c r="A1808" s="5">
        <v>1747</v>
      </c>
      <c r="B1808" s="1832">
        <f>'Tax Sched 23'!E4</f>
        <v>9092150</v>
      </c>
      <c r="D1808" s="2" t="str">
        <f t="shared" si="27"/>
        <v>Error?</v>
      </c>
    </row>
    <row r="1809" spans="1:4" x14ac:dyDescent="0.2">
      <c r="A1809" s="5">
        <v>1748</v>
      </c>
      <c r="B1809" s="1832">
        <f>'Tax Sched 23'!E5</f>
        <v>1415471</v>
      </c>
      <c r="D1809" s="2" t="str">
        <f t="shared" si="27"/>
        <v>Error?</v>
      </c>
    </row>
    <row r="1810" spans="1:4" x14ac:dyDescent="0.2">
      <c r="A1810" s="5">
        <v>1749</v>
      </c>
      <c r="B1810" s="1832">
        <f>'Tax Sched 23'!E6</f>
        <v>727212</v>
      </c>
      <c r="D1810" s="2" t="str">
        <f t="shared" si="27"/>
        <v>Error?</v>
      </c>
    </row>
    <row r="1811" spans="1:4" x14ac:dyDescent="0.2">
      <c r="A1811" s="5">
        <v>1750</v>
      </c>
      <c r="B1811" s="1832">
        <f>'Tax Sched 23'!E7</f>
        <v>666875</v>
      </c>
      <c r="D1811" s="2" t="str">
        <f t="shared" si="27"/>
        <v>Error?</v>
      </c>
    </row>
    <row r="1812" spans="1:4" x14ac:dyDescent="0.2">
      <c r="A1812" s="5">
        <v>1751</v>
      </c>
      <c r="B1812" s="1832">
        <f>'Tax Sched 23'!E8</f>
        <v>303345</v>
      </c>
      <c r="D1812" s="2" t="str">
        <f t="shared" si="27"/>
        <v>Error?</v>
      </c>
    </row>
    <row r="1813" spans="1:4" x14ac:dyDescent="0.2">
      <c r="A1813" s="5">
        <v>1752</v>
      </c>
      <c r="B1813" s="1832">
        <f>'Tax Sched 23'!E10</f>
        <v>83988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121353</v>
      </c>
      <c r="D1816" s="2" t="str">
        <f t="shared" si="27"/>
        <v>Error?</v>
      </c>
    </row>
    <row r="1817" spans="1:4" x14ac:dyDescent="0.2">
      <c r="A1817" s="5">
        <v>1756</v>
      </c>
      <c r="B1817" s="1832">
        <f>'Tax Sched 23'!E12</f>
        <v>365722</v>
      </c>
      <c r="D1817" s="2" t="str">
        <f t="shared" si="27"/>
        <v>Error?</v>
      </c>
    </row>
    <row r="1818" spans="1:4" x14ac:dyDescent="0.2">
      <c r="A1818" s="5">
        <v>1757</v>
      </c>
      <c r="B1818" s="1832">
        <f>'Tax Sched 23'!E14</f>
        <v>120371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13273656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12513192</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116998</v>
      </c>
      <c r="D1972" s="2" t="str">
        <f t="shared" si="29"/>
        <v>Error?</v>
      </c>
    </row>
    <row r="1973" spans="1:5" x14ac:dyDescent="0.2">
      <c r="A1973" s="5">
        <v>1912</v>
      </c>
      <c r="B1973" s="1832">
        <f>'Rest Tax Levies-Tort Im 25'!H6</f>
        <v>167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117165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117165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416266</v>
      </c>
      <c r="D2008" s="2" t="str">
        <f t="shared" si="30"/>
        <v>Error?</v>
      </c>
    </row>
    <row r="2009" spans="1:4" x14ac:dyDescent="0.2">
      <c r="A2009" s="5">
        <v>1948</v>
      </c>
      <c r="B2009" s="1832">
        <f>'Cap Outlay Deprec 26'!C8</f>
        <v>33718970</v>
      </c>
      <c r="D2009" s="2" t="str">
        <f t="shared" si="30"/>
        <v>Error?</v>
      </c>
    </row>
    <row r="2010" spans="1:4" x14ac:dyDescent="0.2">
      <c r="A2010" s="5">
        <v>1949</v>
      </c>
      <c r="B2010" s="1832">
        <f>'Cap Outlay Deprec 26'!C10</f>
        <v>3719907</v>
      </c>
      <c r="D2010" s="2" t="str">
        <f t="shared" si="30"/>
        <v>Error?</v>
      </c>
    </row>
    <row r="2011" spans="1:4" x14ac:dyDescent="0.2">
      <c r="A2011" s="5">
        <v>1950</v>
      </c>
      <c r="B2011" s="1832">
        <f>'Cap Outlay Deprec 26'!C12</f>
        <v>2482636</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40867045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11753</v>
      </c>
      <c r="D2015" s="2" t="str">
        <f t="shared" si="30"/>
        <v>Error?</v>
      </c>
    </row>
    <row r="2016" spans="1:4" x14ac:dyDescent="0.2">
      <c r="A2016" s="5">
        <v>1955</v>
      </c>
      <c r="B2016" s="1832">
        <f>'Cap Outlay Deprec 26'!D10</f>
        <v>48451</v>
      </c>
      <c r="D2016" s="2" t="str">
        <f t="shared" si="30"/>
        <v>Error?</v>
      </c>
    </row>
    <row r="2017" spans="1:4" x14ac:dyDescent="0.2">
      <c r="A2017" s="5">
        <v>1956</v>
      </c>
      <c r="B2017" s="1832">
        <f>'Cap Outlay Deprec 26'!D12</f>
        <v>130963</v>
      </c>
      <c r="D2017" s="2" t="str">
        <f t="shared" si="30"/>
        <v>Error?</v>
      </c>
    </row>
    <row r="2018" spans="1:4" x14ac:dyDescent="0.2">
      <c r="A2018" s="5">
        <v>1957</v>
      </c>
      <c r="B2018" s="1832">
        <f>'Cap Outlay Deprec 26'!D13</f>
        <v>67120</v>
      </c>
      <c r="D2018" s="2" t="str">
        <f t="shared" si="30"/>
        <v>Error?</v>
      </c>
    </row>
    <row r="2019" spans="1:4" x14ac:dyDescent="0.2">
      <c r="A2019" s="5">
        <v>1958</v>
      </c>
      <c r="B2019" s="1832">
        <f>'Cap Outlay Deprec 26'!D16</f>
        <v>847839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27516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27516</v>
      </c>
      <c r="C2025" s="2" t="s">
        <v>569</v>
      </c>
      <c r="D2025" s="2" t="str">
        <f t="shared" si="30"/>
        <v>Error?</v>
      </c>
    </row>
    <row r="2026" spans="1:4" x14ac:dyDescent="0.2">
      <c r="A2026" s="5">
        <v>1965</v>
      </c>
      <c r="B2026" s="1832">
        <f>'Cap Outlay Deprec 26'!F5</f>
        <v>416266</v>
      </c>
      <c r="C2026" s="2" t="s">
        <v>569</v>
      </c>
      <c r="D2026" s="2" t="str">
        <f t="shared" si="30"/>
        <v>Error?</v>
      </c>
    </row>
    <row r="2027" spans="1:4" x14ac:dyDescent="0.2">
      <c r="A2027" s="5">
        <v>1966</v>
      </c>
      <c r="B2027" s="1832">
        <f>'Cap Outlay Deprec 26'!F8</f>
        <v>33730723</v>
      </c>
      <c r="C2027" s="2" t="s">
        <v>569</v>
      </c>
      <c r="D2027" s="2" t="str">
        <f t="shared" si="30"/>
        <v>Error?</v>
      </c>
    </row>
    <row r="2028" spans="1:4" x14ac:dyDescent="0.2">
      <c r="A2028" s="5">
        <v>1967</v>
      </c>
      <c r="B2028" s="1832">
        <f>'Cap Outlay Deprec 26'!F10</f>
        <v>3768358</v>
      </c>
      <c r="C2028" s="2" t="s">
        <v>569</v>
      </c>
      <c r="D2028" s="2" t="str">
        <f t="shared" si="30"/>
        <v>Error?</v>
      </c>
    </row>
    <row r="2029" spans="1:4" x14ac:dyDescent="0.2">
      <c r="A2029" s="5">
        <v>1968</v>
      </c>
      <c r="B2029" s="1832">
        <f>'Cap Outlay Deprec 26'!F12</f>
        <v>2586083</v>
      </c>
      <c r="C2029" s="2" t="s">
        <v>569</v>
      </c>
      <c r="D2029" s="2" t="str">
        <f t="shared" si="30"/>
        <v>Error?</v>
      </c>
    </row>
    <row r="2030" spans="1:4" x14ac:dyDescent="0.2">
      <c r="A2030" s="5">
        <v>1969</v>
      </c>
      <c r="B2030" s="1832">
        <f>'Cap Outlay Deprec 26'!F13</f>
        <v>67120</v>
      </c>
      <c r="C2030" s="2" t="s">
        <v>569</v>
      </c>
      <c r="D2030" s="2" t="str">
        <f t="shared" si="30"/>
        <v>Error?</v>
      </c>
    </row>
    <row r="2031" spans="1:4" x14ac:dyDescent="0.2">
      <c r="A2031" s="5">
        <v>1970</v>
      </c>
      <c r="B2031" s="1832">
        <f>'Cap Outlay Deprec 26'!F16</f>
        <v>41687368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9899485</v>
      </c>
      <c r="D2033" s="2" t="str">
        <f t="shared" si="30"/>
        <v>Error?</v>
      </c>
    </row>
    <row r="2034" spans="1:4" x14ac:dyDescent="0.2">
      <c r="A2034" s="5">
        <v>1973</v>
      </c>
      <c r="B2034" s="1832">
        <f>'Cap Outlay Deprec 26'!H10</f>
        <v>771231</v>
      </c>
      <c r="D2034" s="2" t="str">
        <f t="shared" si="30"/>
        <v>Error?</v>
      </c>
    </row>
    <row r="2035" spans="1:4" x14ac:dyDescent="0.2">
      <c r="A2035" s="5">
        <v>1974</v>
      </c>
      <c r="B2035" s="1832">
        <f>'Cap Outlay Deprec 26'!H12</f>
        <v>911129</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11603015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674616</v>
      </c>
      <c r="D2039" s="2" t="str">
        <f t="shared" si="30"/>
        <v>Error?</v>
      </c>
    </row>
    <row r="2040" spans="1:4" x14ac:dyDescent="0.2">
      <c r="A2040" s="5">
        <v>1979</v>
      </c>
      <c r="B2040" s="1832">
        <f>'Cap Outlay Deprec 26'!I10</f>
        <v>172046</v>
      </c>
      <c r="D2040" s="2" t="str">
        <f t="shared" si="30"/>
        <v>Error?</v>
      </c>
    </row>
    <row r="2041" spans="1:4" x14ac:dyDescent="0.2">
      <c r="A2041" s="5">
        <v>1980</v>
      </c>
      <c r="B2041" s="1832">
        <f>'Cap Outlay Deprec 26'!I12</f>
        <v>261358</v>
      </c>
      <c r="D2041" s="2" t="str">
        <f t="shared" si="30"/>
        <v>Error?</v>
      </c>
    </row>
    <row r="2042" spans="1:4" x14ac:dyDescent="0.2">
      <c r="A2042" s="5">
        <v>1981</v>
      </c>
      <c r="B2042" s="1832">
        <f>'Cap Outlay Deprec 26'!I13</f>
        <v>13424</v>
      </c>
      <c r="D2042" s="2" t="str">
        <f t="shared" si="30"/>
        <v>Error?</v>
      </c>
    </row>
    <row r="2043" spans="1:4" x14ac:dyDescent="0.2">
      <c r="A2043" s="5">
        <v>1982</v>
      </c>
      <c r="B2043" s="1832">
        <f>'Cap Outlay Deprec 26'!I16</f>
        <v>1132029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27516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27516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10574101</v>
      </c>
      <c r="C2051" s="2" t="s">
        <v>569</v>
      </c>
      <c r="D2051" s="2" t="str">
        <f t="shared" si="31"/>
        <v>Error?</v>
      </c>
    </row>
    <row r="2052" spans="1:4" x14ac:dyDescent="0.2">
      <c r="A2052" s="5">
        <v>1991</v>
      </c>
      <c r="B2052" s="1832">
        <f>'Cap Outlay Deprec 26'!K10</f>
        <v>943277</v>
      </c>
      <c r="C2052" s="2" t="s">
        <v>569</v>
      </c>
      <c r="D2052" s="2" t="str">
        <f t="shared" si="31"/>
        <v>Error?</v>
      </c>
    </row>
    <row r="2053" spans="1:4" x14ac:dyDescent="0.2">
      <c r="A2053" s="5">
        <v>1992</v>
      </c>
      <c r="B2053" s="1832">
        <f>'Cap Outlay Deprec 26'!K12</f>
        <v>1144971</v>
      </c>
      <c r="C2053" s="2" t="s">
        <v>569</v>
      </c>
      <c r="D2053" s="2" t="str">
        <f t="shared" si="31"/>
        <v>Error?</v>
      </c>
    </row>
    <row r="2054" spans="1:4" x14ac:dyDescent="0.2">
      <c r="A2054" s="5">
        <v>1993</v>
      </c>
      <c r="B2054" s="1832">
        <f>'Cap Outlay Deprec 26'!K13</f>
        <v>13424</v>
      </c>
      <c r="C2054" s="2" t="s">
        <v>569</v>
      </c>
      <c r="D2054" s="2" t="str">
        <f t="shared" si="31"/>
        <v>Error?</v>
      </c>
    </row>
    <row r="2055" spans="1:4" x14ac:dyDescent="0.2">
      <c r="A2055" s="5">
        <v>1994</v>
      </c>
      <c r="B2055" s="1832">
        <f>'Cap Outlay Deprec 26'!K16</f>
        <v>12707528</v>
      </c>
      <c r="C2055" s="2" t="s">
        <v>569</v>
      </c>
      <c r="D2055" s="2" t="str">
        <f t="shared" si="31"/>
        <v>Error?</v>
      </c>
    </row>
    <row r="2056" spans="1:4" x14ac:dyDescent="0.2">
      <c r="A2056" s="5">
        <v>1995</v>
      </c>
      <c r="B2056" s="1832">
        <f>'Cap Outlay Deprec 26'!L5</f>
        <v>416266</v>
      </c>
      <c r="C2056" s="2" t="s">
        <v>569</v>
      </c>
      <c r="D2056" s="2" t="str">
        <f t="shared" si="31"/>
        <v>Error?</v>
      </c>
    </row>
    <row r="2057" spans="1:4" x14ac:dyDescent="0.2">
      <c r="A2057" s="5">
        <v>1996</v>
      </c>
      <c r="B2057" s="1832">
        <f>'Cap Outlay Deprec 26'!L8</f>
        <v>23156622</v>
      </c>
      <c r="C2057" s="2" t="s">
        <v>569</v>
      </c>
      <c r="D2057" s="2" t="str">
        <f t="shared" si="31"/>
        <v>Error?</v>
      </c>
    </row>
    <row r="2058" spans="1:4" x14ac:dyDescent="0.2">
      <c r="A2058" s="5">
        <v>1997</v>
      </c>
      <c r="B2058" s="1832">
        <f>'Cap Outlay Deprec 26'!L10</f>
        <v>2825081</v>
      </c>
      <c r="C2058" s="2" t="s">
        <v>569</v>
      </c>
      <c r="D2058" s="2" t="str">
        <f t="shared" si="31"/>
        <v>Error?</v>
      </c>
    </row>
    <row r="2059" spans="1:4" x14ac:dyDescent="0.2">
      <c r="A2059" s="5">
        <v>1998</v>
      </c>
      <c r="B2059" s="1832">
        <f>'Cap Outlay Deprec 26'!L12</f>
        <v>1441112</v>
      </c>
      <c r="C2059" s="2" t="s">
        <v>569</v>
      </c>
      <c r="D2059" s="2" t="str">
        <f t="shared" si="31"/>
        <v>Error?</v>
      </c>
    </row>
    <row r="2060" spans="1:4" x14ac:dyDescent="0.2">
      <c r="A2060" s="5">
        <v>1999</v>
      </c>
      <c r="B2060" s="1832">
        <f>'Cap Outlay Deprec 26'!L13</f>
        <v>53696</v>
      </c>
      <c r="C2060" s="2" t="s">
        <v>569</v>
      </c>
      <c r="D2060" s="2" t="str">
        <f t="shared" si="31"/>
        <v>Error?</v>
      </c>
    </row>
    <row r="2061" spans="1:4" x14ac:dyDescent="0.2">
      <c r="A2061" s="5">
        <v>2000</v>
      </c>
      <c r="B2061" s="1832">
        <f>'Cap Outlay Deprec 26'!L16</f>
        <v>28979840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112771</v>
      </c>
      <c r="C2088" s="2" t="s">
        <v>569</v>
      </c>
      <c r="D2088" s="2" t="str">
        <f t="shared" si="31"/>
        <v>Error?</v>
      </c>
    </row>
    <row r="2089" spans="1:4" x14ac:dyDescent="0.2">
      <c r="A2089" s="5">
        <v>2028</v>
      </c>
      <c r="B2089" s="1832">
        <f>'Expenditures 15-22'!K92</f>
        <v>294443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74545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406273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50000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10946943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2615235</v>
      </c>
      <c r="C2553" s="2" t="s">
        <v>569</v>
      </c>
      <c r="D2553" s="2" t="str">
        <f t="shared" si="38"/>
        <v>Error?</v>
      </c>
    </row>
    <row r="2554" spans="1:4" x14ac:dyDescent="0.2">
      <c r="A2554" s="5">
        <v>2493</v>
      </c>
      <c r="B2554" s="1832">
        <f>'Acct Summary 7-8'!C7</f>
        <v>1416930</v>
      </c>
      <c r="C2554" s="2" t="s">
        <v>569</v>
      </c>
      <c r="D2554" s="2" t="str">
        <f t="shared" si="38"/>
        <v>Error?</v>
      </c>
    </row>
    <row r="2555" spans="1:4" x14ac:dyDescent="0.2">
      <c r="A2555" s="5">
        <v>2494</v>
      </c>
      <c r="B2555" s="1832">
        <f>'Acct Summary 7-8'!C8</f>
        <v>14979108</v>
      </c>
      <c r="C2555" s="2" t="s">
        <v>569</v>
      </c>
      <c r="D2555" s="2" t="str">
        <f t="shared" si="38"/>
        <v>Error?</v>
      </c>
    </row>
    <row r="2556" spans="1:4" x14ac:dyDescent="0.2">
      <c r="A2556" s="5">
        <v>2495</v>
      </c>
      <c r="B2556" s="1832">
        <f>'Acct Summary 7-8'!C12</f>
        <v>9329087</v>
      </c>
      <c r="C2556" s="2" t="s">
        <v>569</v>
      </c>
      <c r="D2556" s="2" t="str">
        <f t="shared" si="38"/>
        <v>Error?</v>
      </c>
    </row>
    <row r="2557" spans="1:4" x14ac:dyDescent="0.2">
      <c r="A2557" s="5">
        <v>2496</v>
      </c>
      <c r="B2557" s="1832">
        <f>'Acct Summary 7-8'!C13</f>
        <v>4787557</v>
      </c>
      <c r="C2557" s="2" t="s">
        <v>569</v>
      </c>
      <c r="D2557" s="2" t="str">
        <f t="shared" si="38"/>
        <v>Error?</v>
      </c>
    </row>
    <row r="2558" spans="1:4" x14ac:dyDescent="0.2">
      <c r="A2558" s="5">
        <v>2497</v>
      </c>
      <c r="B2558" s="1832">
        <f>'Acct Summary 7-8'!C14</f>
        <v>1346</v>
      </c>
      <c r="C2558" s="2" t="s">
        <v>569</v>
      </c>
      <c r="D2558" s="2" t="str">
        <f t="shared" si="38"/>
        <v>Error?</v>
      </c>
    </row>
    <row r="2559" spans="1:4" x14ac:dyDescent="0.2">
      <c r="A2559" s="5">
        <v>2498</v>
      </c>
      <c r="B2559" s="1832">
        <f>'Acct Summary 7-8'!C15</f>
        <v>407214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14525204</v>
      </c>
      <c r="C2561" s="2" t="s">
        <v>569</v>
      </c>
      <c r="D2561" s="2" t="str">
        <f t="shared" si="39"/>
        <v>Error?</v>
      </c>
    </row>
    <row r="2562" spans="1:4" x14ac:dyDescent="0.2">
      <c r="A2562" s="5">
        <v>2501</v>
      </c>
      <c r="B2562" s="1832">
        <f>'Acct Summary 7-8'!C20</f>
        <v>453904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1681536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1681536</v>
      </c>
      <c r="C2568" s="2" t="s">
        <v>569</v>
      </c>
      <c r="D2568" s="2" t="str">
        <f t="shared" si="39"/>
        <v>Error?</v>
      </c>
    </row>
    <row r="2569" spans="1:4" x14ac:dyDescent="0.2">
      <c r="A2569" s="5">
        <v>2508</v>
      </c>
      <c r="B2569" s="1832">
        <f>'Acct Summary 7-8'!D13</f>
        <v>1509163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1509163</v>
      </c>
      <c r="C2573" s="2" t="s">
        <v>569</v>
      </c>
      <c r="D2573" s="2" t="str">
        <f t="shared" si="39"/>
        <v>Error?</v>
      </c>
    </row>
    <row r="2574" spans="1:4" x14ac:dyDescent="0.2">
      <c r="A2574" s="5">
        <v>2513</v>
      </c>
      <c r="B2574" s="1832">
        <f>'Acct Summary 7-8'!D20</f>
        <v>172373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971912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1000920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1972832</v>
      </c>
      <c r="C2595" s="2" t="s">
        <v>569</v>
      </c>
      <c r="D2595" s="2" t="str">
        <f t="shared" si="39"/>
        <v>Error?</v>
      </c>
    </row>
    <row r="2596" spans="1:4" x14ac:dyDescent="0.2">
      <c r="A2596" s="5">
        <v>2535</v>
      </c>
      <c r="B2596" s="1832">
        <f>'Acct Summary 7-8'!F13</f>
        <v>1722085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1722085</v>
      </c>
      <c r="C2600" s="2" t="s">
        <v>569</v>
      </c>
      <c r="D2600" s="2" t="str">
        <f t="shared" si="39"/>
        <v>Error?</v>
      </c>
    </row>
    <row r="2601" spans="1:4" x14ac:dyDescent="0.2">
      <c r="A2601" s="5">
        <v>2540</v>
      </c>
      <c r="B2601" s="1832">
        <f>'Acct Summary 7-8'!F20</f>
        <v>250747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848272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848272</v>
      </c>
      <c r="C2606" s="2" t="s">
        <v>569</v>
      </c>
      <c r="D2606" s="2" t="str">
        <f t="shared" si="39"/>
        <v>Error?</v>
      </c>
    </row>
    <row r="2607" spans="1:4" x14ac:dyDescent="0.2">
      <c r="A2607" s="5">
        <v>2546</v>
      </c>
      <c r="B2607" s="1832">
        <f>'Acct Summary 7-8'!G12</f>
        <v>214117</v>
      </c>
      <c r="C2607" s="2" t="s">
        <v>569</v>
      </c>
      <c r="D2607" s="2" t="str">
        <f t="shared" si="39"/>
        <v>Error?</v>
      </c>
    </row>
    <row r="2608" spans="1:4" x14ac:dyDescent="0.2">
      <c r="A2608" s="5">
        <v>2547</v>
      </c>
      <c r="B2608" s="1832">
        <f>'Acct Summary 7-8'!G13</f>
        <v>469718</v>
      </c>
      <c r="C2608" s="2" t="s">
        <v>569</v>
      </c>
      <c r="D2608" s="2" t="str">
        <f t="shared" si="39"/>
        <v>Error?</v>
      </c>
    </row>
    <row r="2609" spans="1:4" x14ac:dyDescent="0.2">
      <c r="A2609" s="5">
        <v>2548</v>
      </c>
      <c r="B2609" s="1832">
        <f>'Acct Summary 7-8'!G14</f>
        <v>15</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683850</v>
      </c>
      <c r="C2612" s="2" t="s">
        <v>569</v>
      </c>
      <c r="D2612" s="2" t="str">
        <f t="shared" si="39"/>
        <v>Error?</v>
      </c>
    </row>
    <row r="2613" spans="1:4" x14ac:dyDescent="0.2">
      <c r="A2613" s="5">
        <v>2552</v>
      </c>
      <c r="B2613" s="1832">
        <f>'Acct Summary 7-8'!G20</f>
        <v>164422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1265606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1265606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1384363</v>
      </c>
      <c r="C2634" s="2" t="s">
        <v>569</v>
      </c>
      <c r="D2634" s="2" t="str">
        <f t="shared" si="40"/>
        <v>Error?</v>
      </c>
    </row>
    <row r="2635" spans="1:4" x14ac:dyDescent="0.2">
      <c r="A2635" s="5">
        <v>2574</v>
      </c>
      <c r="B2635" s="1832">
        <f>'Acct Summary 7-8'!E17</f>
        <v>1384363</v>
      </c>
      <c r="C2635" s="2" t="s">
        <v>569</v>
      </c>
      <c r="D2635" s="2" t="str">
        <f t="shared" si="40"/>
        <v>Error?</v>
      </c>
    </row>
    <row r="2636" spans="1:4" x14ac:dyDescent="0.2">
      <c r="A2636" s="5">
        <v>2575</v>
      </c>
      <c r="B2636" s="1832">
        <f>'Acct Summary 7-8'!E20</f>
        <v>-118757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353949</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403949</v>
      </c>
      <c r="C2658" s="2" t="s">
        <v>569</v>
      </c>
      <c r="D2658" s="2" t="str">
        <f t="shared" si="40"/>
        <v>Error?</v>
      </c>
    </row>
    <row r="2659" spans="1:4" x14ac:dyDescent="0.2">
      <c r="A2659" s="5">
        <v>2598</v>
      </c>
      <c r="B2659" s="1832">
        <f>'Acct Summary 7-8'!H13</f>
        <v>651773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651773</v>
      </c>
      <c r="C2661" s="2" t="s">
        <v>569</v>
      </c>
      <c r="D2661" s="2" t="str">
        <f t="shared" si="40"/>
        <v>Error?</v>
      </c>
    </row>
    <row r="2662" spans="1:4" x14ac:dyDescent="0.2">
      <c r="A2662" s="5">
        <v>2601</v>
      </c>
      <c r="B2662" s="1832">
        <f>'Acct Summary 7-8'!H20</f>
        <v>-247824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194627</v>
      </c>
      <c r="D2718" s="2" t="str">
        <f t="shared" si="41"/>
        <v>Error?</v>
      </c>
    </row>
    <row r="2719" spans="1:4" x14ac:dyDescent="0.2">
      <c r="A2719" s="5">
        <v>2658</v>
      </c>
      <c r="B2719" s="1832">
        <f>'Expenditures 15-22'!D51</f>
        <v>95971</v>
      </c>
      <c r="D2719" s="2" t="str">
        <f t="shared" si="41"/>
        <v>Error?</v>
      </c>
    </row>
    <row r="2720" spans="1:4" x14ac:dyDescent="0.2">
      <c r="A2720" s="5">
        <v>2659</v>
      </c>
      <c r="B2720" s="1832">
        <f>'Expenditures 15-22'!E51</f>
        <v>3495</v>
      </c>
      <c r="D2720" s="2" t="str">
        <f t="shared" si="41"/>
        <v>Error?</v>
      </c>
    </row>
    <row r="2721" spans="1:4" x14ac:dyDescent="0.2">
      <c r="A2721" s="5">
        <v>2660</v>
      </c>
      <c r="B2721" s="1832">
        <f>'Expenditures 15-22'!F51</f>
        <v>1187</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641</v>
      </c>
      <c r="D2723" s="2" t="str">
        <f t="shared" si="41"/>
        <v>Error?</v>
      </c>
    </row>
    <row r="2724" spans="1:4" x14ac:dyDescent="0.2">
      <c r="A2724" s="5">
        <v>2663</v>
      </c>
      <c r="B2724" s="1832">
        <f>'Expenditures 15-22'!K51</f>
        <v>295921</v>
      </c>
      <c r="C2724" s="2" t="s">
        <v>569</v>
      </c>
      <c r="D2724" s="2" t="str">
        <f t="shared" si="41"/>
        <v>Error?</v>
      </c>
    </row>
    <row r="2725" spans="1:4" x14ac:dyDescent="0.2">
      <c r="A2725" s="5">
        <v>2664</v>
      </c>
      <c r="B2725" s="1832">
        <f>'Expenditures 15-22'!D247</f>
        <v>11063</v>
      </c>
      <c r="D2725" s="2" t="str">
        <f t="shared" si="41"/>
        <v>Error?</v>
      </c>
    </row>
    <row r="2726" spans="1:4" x14ac:dyDescent="0.2">
      <c r="A2726" s="5">
        <v>2665</v>
      </c>
      <c r="B2726" s="1832">
        <f>'Expenditures 15-22'!K247</f>
        <v>11063</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1995</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112771</v>
      </c>
      <c r="C2789" s="2" t="s">
        <v>569</v>
      </c>
      <c r="D2789" s="2" t="str">
        <f t="shared" si="42"/>
        <v>Error?</v>
      </c>
    </row>
    <row r="2790" spans="1:4" x14ac:dyDescent="0.2">
      <c r="A2790" s="5">
        <v>2729</v>
      </c>
      <c r="B2790" s="1832">
        <f>'Expenditures 15-22'!E102</f>
        <v>112771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589552</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4928464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222900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2974962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4928464</v>
      </c>
      <c r="D2912" s="2" t="str">
        <f t="shared" si="44"/>
        <v>Error?</v>
      </c>
    </row>
    <row r="2913" spans="1:4" x14ac:dyDescent="0.2">
      <c r="A2913" s="5">
        <v>2852</v>
      </c>
      <c r="B2913" s="1832">
        <f>'Assets-Liab 5-6'!I41</f>
        <v>4928464</v>
      </c>
      <c r="C2913" s="2" t="s">
        <v>569</v>
      </c>
      <c r="D2913" s="2" t="str">
        <f t="shared" si="44"/>
        <v>Error?</v>
      </c>
    </row>
    <row r="2914" spans="1:4" x14ac:dyDescent="0.2">
      <c r="A2914" s="5">
        <v>2853</v>
      </c>
      <c r="B2914" s="1832">
        <f>'Assets-Liab 5-6'!L33</f>
        <v>252765</v>
      </c>
      <c r="D2914" s="2" t="str">
        <f t="shared" si="44"/>
        <v>Error?</v>
      </c>
    </row>
    <row r="2915" spans="1:4" x14ac:dyDescent="0.2">
      <c r="A2915" s="10">
        <v>2854</v>
      </c>
      <c r="B2915" s="1832"/>
      <c r="D2915" s="2" t="str">
        <f t="shared" si="44"/>
        <v>OK</v>
      </c>
    </row>
    <row r="2916" spans="1:4" x14ac:dyDescent="0.2">
      <c r="A2916" s="5">
        <v>2855</v>
      </c>
      <c r="B2916" s="1832">
        <f>'Assets-Liab 5-6'!L34</f>
        <v>252765</v>
      </c>
      <c r="C2916" s="2" t="s">
        <v>569</v>
      </c>
      <c r="D2916" s="2" t="str">
        <f t="shared" si="44"/>
        <v>Error?</v>
      </c>
    </row>
    <row r="2917" spans="1:4" x14ac:dyDescent="0.2">
      <c r="A2917" s="5">
        <v>2856</v>
      </c>
      <c r="B2917" s="1832">
        <f>'Assets-Liab 5-6'!L41</f>
        <v>2974962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24631</v>
      </c>
      <c r="D2949" s="2" t="str">
        <f t="shared" si="45"/>
        <v>Error?</v>
      </c>
    </row>
    <row r="2950" spans="1:4" x14ac:dyDescent="0.2">
      <c r="A2950" s="5">
        <v>2889</v>
      </c>
      <c r="B2950" s="1832">
        <f>'Expenditures 15-22'!E79</f>
        <v>88140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24631</v>
      </c>
      <c r="C2973" s="2" t="s">
        <v>569</v>
      </c>
      <c r="D2973" s="2" t="str">
        <f t="shared" si="45"/>
        <v>Error?</v>
      </c>
    </row>
    <row r="2974" spans="1:4" x14ac:dyDescent="0.2">
      <c r="A2974" s="5">
        <v>2913</v>
      </c>
      <c r="B2974" s="1832">
        <f>'Expenditures 15-22'!K79</f>
        <v>88140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1995</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245817</v>
      </c>
      <c r="D3055" s="2" t="str">
        <f t="shared" si="46"/>
        <v>Error?</v>
      </c>
    </row>
    <row r="3056" spans="1:4" x14ac:dyDescent="0.2">
      <c r="A3056" s="5">
        <v>2995</v>
      </c>
      <c r="B3056" s="1832">
        <f>'Expenditures 15-22'!D10</f>
        <v>164972</v>
      </c>
      <c r="D3056" s="2" t="str">
        <f t="shared" si="46"/>
        <v>Error?</v>
      </c>
    </row>
    <row r="3057" spans="1:4" x14ac:dyDescent="0.2">
      <c r="A3057" s="5">
        <v>2996</v>
      </c>
      <c r="B3057" s="1832">
        <f>'Expenditures 15-22'!E10</f>
        <v>37132</v>
      </c>
      <c r="D3057" s="2" t="str">
        <f t="shared" si="46"/>
        <v>Error?</v>
      </c>
    </row>
    <row r="3058" spans="1:4" x14ac:dyDescent="0.2">
      <c r="A3058" s="5">
        <v>2997</v>
      </c>
      <c r="B3058" s="1832">
        <f>'Expenditures 15-22'!F10</f>
        <v>86070</v>
      </c>
      <c r="D3058" s="2" t="str">
        <f t="shared" si="46"/>
        <v>Error?</v>
      </c>
    </row>
    <row r="3059" spans="1:4" x14ac:dyDescent="0.2">
      <c r="A3059" s="5">
        <v>2998</v>
      </c>
      <c r="B3059" s="1832">
        <f>'Expenditures 15-22'!G10</f>
        <v>2198</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536189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7229</v>
      </c>
      <c r="D3064" s="2" t="str">
        <f t="shared" si="46"/>
        <v>Error?</v>
      </c>
    </row>
    <row r="3065" spans="1:4" x14ac:dyDescent="0.2">
      <c r="A3065" s="5">
        <v>3004</v>
      </c>
      <c r="B3065" s="1832">
        <f>'Expenditures 15-22'!K219</f>
        <v>7229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2722197</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144076</v>
      </c>
      <c r="C3225" s="2" t="s">
        <v>569</v>
      </c>
      <c r="D3225" s="2" t="str">
        <f t="shared" si="49"/>
        <v>Error?</v>
      </c>
    </row>
    <row r="3226" spans="1:4" x14ac:dyDescent="0.2">
      <c r="A3226" s="5">
        <v>3165</v>
      </c>
      <c r="B3226" s="1832">
        <f>'Acct Summary 7-8'!I8</f>
        <v>144076</v>
      </c>
      <c r="C3226" s="2" t="s">
        <v>569</v>
      </c>
      <c r="D3226" s="2" t="str">
        <f t="shared" si="49"/>
        <v>Error?</v>
      </c>
    </row>
    <row r="3227" spans="1:4" x14ac:dyDescent="0.2">
      <c r="A3227" s="5">
        <v>3166</v>
      </c>
      <c r="B3227" s="1832">
        <f>'Acct Summary 7-8'!I20</f>
        <v>144076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453904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172373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250747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164422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-118757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-247824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144076</v>
      </c>
      <c r="C3320" s="2" t="s">
        <v>569</v>
      </c>
      <c r="D3320" s="2" t="str">
        <f t="shared" si="50"/>
        <v>Error?</v>
      </c>
    </row>
    <row r="3321" spans="1:4" x14ac:dyDescent="0.2">
      <c r="A3321" s="5">
        <v>3260</v>
      </c>
      <c r="B3321" s="1832">
        <f>'Acct Summary 7-8'!I79</f>
        <v>4784388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4928464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1798652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549224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18682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45541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1101</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480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2413680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65062</v>
      </c>
      <c r="D3387" s="2" t="str">
        <f t="shared" si="51"/>
        <v>Error?</v>
      </c>
    </row>
    <row r="3388" spans="1:4" x14ac:dyDescent="0.2">
      <c r="A3388" s="5">
        <v>3327</v>
      </c>
      <c r="B3388" s="1832">
        <f>'Expenditures 15-22'!D217</f>
        <v>136296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65062</v>
      </c>
      <c r="C3390" s="2" t="s">
        <v>569</v>
      </c>
      <c r="D3390" s="2" t="str">
        <f t="shared" si="51"/>
        <v>Error?</v>
      </c>
    </row>
    <row r="3391" spans="1:4" x14ac:dyDescent="0.2">
      <c r="A3391" s="5">
        <v>3330</v>
      </c>
      <c r="B3391" s="1832">
        <f>'Expenditures 15-22'!K217</f>
        <v>136296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7181826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1359182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1486561</v>
      </c>
      <c r="D3417" s="2" t="str">
        <f t="shared" si="52"/>
        <v>Error?</v>
      </c>
    </row>
    <row r="3418" spans="1:4" x14ac:dyDescent="0.2">
      <c r="A3418" s="10">
        <v>3357</v>
      </c>
      <c r="B3418" s="1832"/>
      <c r="D3418" s="2" t="str">
        <f t="shared" si="52"/>
        <v>OK</v>
      </c>
    </row>
    <row r="3419" spans="1:4" x14ac:dyDescent="0.2">
      <c r="A3419" s="5">
        <v>3358</v>
      </c>
      <c r="B3419" s="1832">
        <f>'Assets-Liab 5-6'!F4</f>
        <v>2510503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621562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6736205</v>
      </c>
      <c r="D3425" s="2" t="str">
        <f t="shared" si="52"/>
        <v>Error?</v>
      </c>
    </row>
    <row r="3426" spans="1:4" x14ac:dyDescent="0.2">
      <c r="A3426" s="10">
        <v>3365</v>
      </c>
      <c r="B3426" s="1832"/>
      <c r="D3426" s="2" t="str">
        <f t="shared" si="52"/>
        <v>OK</v>
      </c>
    </row>
    <row r="3427" spans="1:4" x14ac:dyDescent="0.2">
      <c r="A3427" s="5">
        <v>3366</v>
      </c>
      <c r="B3427" s="1832">
        <f>'Assets-Liab 5-6'!I4</f>
        <v>4928464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2752062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294512</v>
      </c>
      <c r="C3446" s="2" t="s">
        <v>569</v>
      </c>
      <c r="D3446" s="2" t="str">
        <f t="shared" si="52"/>
        <v>Error?</v>
      </c>
    </row>
    <row r="3447" spans="1:4" x14ac:dyDescent="0.2">
      <c r="A3447" s="5">
        <v>3386</v>
      </c>
      <c r="B3447" s="1832">
        <f>'Tax Sched 23'!D16</f>
        <v>294512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303345</v>
      </c>
      <c r="C3449" s="2" t="s">
        <v>569</v>
      </c>
      <c r="D3449" s="2" t="str">
        <f t="shared" si="52"/>
        <v>Error?</v>
      </c>
    </row>
    <row r="3450" spans="1:4" x14ac:dyDescent="0.2">
      <c r="A3450" s="5">
        <v>3389</v>
      </c>
      <c r="B3450" s="1832">
        <f>'Tax Sched 23'!E16</f>
        <v>303345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589552</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589552</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589552</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1995</v>
      </c>
      <c r="E3521" s="4" t="s">
        <v>134</v>
      </c>
    </row>
    <row r="3522" spans="1:5" x14ac:dyDescent="0.2">
      <c r="A3522" s="10">
        <v>3461</v>
      </c>
      <c r="B3522" s="1832"/>
      <c r="D3522" s="4" t="s">
        <v>1995</v>
      </c>
      <c r="E3522" s="4" t="s">
        <v>134</v>
      </c>
    </row>
    <row r="3523" spans="1:5" x14ac:dyDescent="0.2">
      <c r="A3523" s="10">
        <v>3462</v>
      </c>
      <c r="B3523" s="1832"/>
      <c r="D3523" s="4" t="s">
        <v>1995</v>
      </c>
      <c r="E3523" s="4" t="s">
        <v>134</v>
      </c>
    </row>
    <row r="3524" spans="1:5" x14ac:dyDescent="0.2">
      <c r="A3524" s="10">
        <v>3463</v>
      </c>
      <c r="B3524" s="1832"/>
      <c r="D3524" s="4" t="s">
        <v>1995</v>
      </c>
      <c r="E3524" s="4" t="s">
        <v>134</v>
      </c>
    </row>
    <row r="3525" spans="1:5" x14ac:dyDescent="0.2">
      <c r="A3525" s="10">
        <v>3464</v>
      </c>
      <c r="B3525" s="1832"/>
      <c r="D3525" s="4" t="s">
        <v>1995</v>
      </c>
      <c r="E3525" s="4" t="s">
        <v>134</v>
      </c>
    </row>
    <row r="3526" spans="1:5" x14ac:dyDescent="0.2">
      <c r="A3526" s="10">
        <v>3465</v>
      </c>
      <c r="B3526" s="1832"/>
      <c r="D3526" s="4" t="s">
        <v>1995</v>
      </c>
      <c r="E3526" s="4" t="s">
        <v>134</v>
      </c>
    </row>
    <row r="3527" spans="1:5" x14ac:dyDescent="0.2">
      <c r="A3527" s="10">
        <v>3466</v>
      </c>
      <c r="B3527" s="1832"/>
      <c r="D3527" s="4" t="s">
        <v>1995</v>
      </c>
      <c r="E3527" s="4" t="s">
        <v>134</v>
      </c>
    </row>
    <row r="3528" spans="1:5" x14ac:dyDescent="0.2">
      <c r="A3528" s="10">
        <v>3467</v>
      </c>
      <c r="B3528" s="1832"/>
      <c r="D3528" s="4" t="s">
        <v>1995</v>
      </c>
      <c r="E3528" s="4" t="s">
        <v>134</v>
      </c>
    </row>
    <row r="3529" spans="1:5" x14ac:dyDescent="0.2">
      <c r="A3529" s="10">
        <v>3468</v>
      </c>
      <c r="B3529" s="1832"/>
      <c r="D3529" s="4" t="s">
        <v>1995</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1548780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1548780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1548780</v>
      </c>
      <c r="D3567" s="2" t="str">
        <f t="shared" si="54"/>
        <v>Error?</v>
      </c>
    </row>
    <row r="3568" spans="1:4" x14ac:dyDescent="0.2">
      <c r="A3568" s="5">
        <v>3507</v>
      </c>
      <c r="B3568" s="1832">
        <f>'Assets-Liab 5-6'!K41</f>
        <v>1548780</v>
      </c>
      <c r="C3568" s="2" t="s">
        <v>569</v>
      </c>
      <c r="D3568" s="2" t="str">
        <f t="shared" si="54"/>
        <v>Error?</v>
      </c>
    </row>
    <row r="3569" spans="1:4" x14ac:dyDescent="0.2">
      <c r="A3569" s="5">
        <v>3508</v>
      </c>
      <c r="B3569" s="1832">
        <f>'Acct Summary 7-8'!K4</f>
        <v>382532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382532</v>
      </c>
      <c r="C3571" s="2" t="s">
        <v>569</v>
      </c>
      <c r="D3571" s="2" t="str">
        <f t="shared" si="54"/>
        <v>Error?</v>
      </c>
    </row>
    <row r="3572" spans="1:4" x14ac:dyDescent="0.2">
      <c r="A3572" s="5">
        <v>3511</v>
      </c>
      <c r="B3572" s="1832">
        <f>'Acct Summary 7-8'!K13</f>
        <v>30450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30450</v>
      </c>
      <c r="C3575" s="2" t="s">
        <v>569</v>
      </c>
      <c r="D3575" s="2" t="str">
        <f t="shared" si="54"/>
        <v>Error?</v>
      </c>
    </row>
    <row r="3576" spans="1:4" x14ac:dyDescent="0.2">
      <c r="A3576" s="5">
        <v>3515</v>
      </c>
      <c r="B3576" s="1832">
        <f>'Acct Summary 7-8'!K20</f>
        <v>352082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352082</v>
      </c>
      <c r="C3588" s="2" t="s">
        <v>569</v>
      </c>
      <c r="D3588" s="2" t="str">
        <f t="shared" si="55"/>
        <v>Error?</v>
      </c>
    </row>
    <row r="3589" spans="1:4" x14ac:dyDescent="0.2">
      <c r="A3589" s="5">
        <v>3528</v>
      </c>
      <c r="B3589" s="1832">
        <f>'Acct Summary 7-8'!K79</f>
        <v>1196698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1548780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19200</v>
      </c>
      <c r="D3632" s="2" t="str">
        <f t="shared" si="55"/>
        <v>Error?</v>
      </c>
    </row>
    <row r="3633" spans="1:4" x14ac:dyDescent="0.2">
      <c r="A3633" s="5">
        <v>3572</v>
      </c>
      <c r="B3633" s="1832">
        <f>'Expenditures 15-22'!E350</f>
        <v>19200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19200</v>
      </c>
      <c r="C3635" s="2" t="s">
        <v>569</v>
      </c>
      <c r="D3635" s="2" t="str">
        <f t="shared" si="55"/>
        <v>Error?</v>
      </c>
    </row>
    <row r="3636" spans="1:4" x14ac:dyDescent="0.2">
      <c r="A3636" s="5">
        <v>3575</v>
      </c>
      <c r="B3636" s="1832">
        <f>'Expenditures 15-22'!E367</f>
        <v>19200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11250</v>
      </c>
      <c r="D3646" s="2" t="str">
        <f t="shared" si="55"/>
        <v>Error?</v>
      </c>
    </row>
    <row r="3647" spans="1:4" x14ac:dyDescent="0.2">
      <c r="A3647" s="5">
        <v>3586</v>
      </c>
      <c r="B3647" s="1832">
        <f>'Expenditures 15-22'!G350</f>
        <v>11250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11250</v>
      </c>
      <c r="C3649" s="2" t="s">
        <v>569</v>
      </c>
      <c r="D3649" s="2" t="str">
        <f t="shared" si="56"/>
        <v>Error?</v>
      </c>
    </row>
    <row r="3650" spans="1:4" x14ac:dyDescent="0.2">
      <c r="A3650" s="5">
        <v>3589</v>
      </c>
      <c r="B3650" s="1832">
        <f>'Expenditures 15-22'!G367</f>
        <v>11250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30450</v>
      </c>
      <c r="C3669" s="2" t="s">
        <v>569</v>
      </c>
      <c r="D3669" s="2" t="str">
        <f t="shared" si="56"/>
        <v>Error?</v>
      </c>
    </row>
    <row r="3670" spans="1:4" x14ac:dyDescent="0.2">
      <c r="A3670" s="5">
        <v>3609</v>
      </c>
      <c r="B3670" s="1832">
        <f>'Expenditures 15-22'!K350</f>
        <v>30450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30450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30450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352082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71663</v>
      </c>
      <c r="C3725" s="2" t="s">
        <v>569</v>
      </c>
      <c r="D3725" s="2" t="str">
        <f t="shared" si="57"/>
        <v>Error?</v>
      </c>
    </row>
    <row r="3726" spans="1:4" x14ac:dyDescent="0.2">
      <c r="A3726" s="5">
        <v>3665</v>
      </c>
      <c r="B3726" s="1832">
        <f>'Tax Sched 23'!D13</f>
        <v>71663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73824</v>
      </c>
      <c r="C3728" s="2" t="s">
        <v>569</v>
      </c>
      <c r="D3728" s="2" t="str">
        <f t="shared" si="57"/>
        <v>Error?</v>
      </c>
    </row>
    <row r="3729" spans="1:4" x14ac:dyDescent="0.2">
      <c r="A3729" s="5">
        <v>3668</v>
      </c>
      <c r="B3729" s="1832">
        <f>'Tax Sched 23'!E13</f>
        <v>73824</v>
      </c>
      <c r="D3729" s="2" t="str">
        <f t="shared" si="57"/>
        <v>Error?</v>
      </c>
    </row>
    <row r="3730" spans="1:4" x14ac:dyDescent="0.2">
      <c r="A3730" s="5">
        <v>3669</v>
      </c>
      <c r="B3730" s="1832">
        <f>'ICR Computation 30'!E10</f>
        <v>263646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6416776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21395884</v>
      </c>
      <c r="C4122" s="2" t="s">
        <v>569</v>
      </c>
      <c r="D4122" s="2" t="str">
        <f t="shared" si="63"/>
        <v>Error?</v>
      </c>
    </row>
    <row r="4123" spans="1:4" x14ac:dyDescent="0.2">
      <c r="A4123" s="5">
        <v>4062</v>
      </c>
      <c r="B4123" s="1832">
        <f>'Acct Summary 7-8'!D10</f>
        <v>1681536</v>
      </c>
      <c r="C4123" s="2" t="s">
        <v>569</v>
      </c>
      <c r="D4123" s="2" t="str">
        <f t="shared" si="63"/>
        <v>Error?</v>
      </c>
    </row>
    <row r="4124" spans="1:4" x14ac:dyDescent="0.2">
      <c r="A4124" s="5">
        <v>4063</v>
      </c>
      <c r="B4124" s="1832">
        <f>'Acct Summary 7-8'!E10</f>
        <v>1265606</v>
      </c>
      <c r="C4124" s="2" t="s">
        <v>569</v>
      </c>
      <c r="D4124" s="2" t="str">
        <f t="shared" si="63"/>
        <v>Error?</v>
      </c>
    </row>
    <row r="4125" spans="1:4" x14ac:dyDescent="0.2">
      <c r="A4125" s="5">
        <v>4064</v>
      </c>
      <c r="B4125" s="1832">
        <f>'Acct Summary 7-8'!F10</f>
        <v>1972832</v>
      </c>
      <c r="C4125" s="2" t="s">
        <v>569</v>
      </c>
      <c r="D4125" s="2" t="str">
        <f t="shared" si="63"/>
        <v>Error?</v>
      </c>
    </row>
    <row r="4126" spans="1:4" x14ac:dyDescent="0.2">
      <c r="A4126" s="5">
        <v>4065</v>
      </c>
      <c r="B4126" s="1832">
        <f>'Acct Summary 7-8'!G10</f>
        <v>848272</v>
      </c>
      <c r="C4126" s="2" t="s">
        <v>569</v>
      </c>
      <c r="D4126" s="2" t="str">
        <f t="shared" si="63"/>
        <v>Error?</v>
      </c>
    </row>
    <row r="4127" spans="1:4" x14ac:dyDescent="0.2">
      <c r="A4127" s="5">
        <v>4066</v>
      </c>
      <c r="B4127" s="1832">
        <f>'Acct Summary 7-8'!H10</f>
        <v>403949</v>
      </c>
      <c r="C4127" s="2" t="s">
        <v>569</v>
      </c>
      <c r="D4127" s="2" t="str">
        <f t="shared" si="63"/>
        <v>Error?</v>
      </c>
    </row>
    <row r="4128" spans="1:4" x14ac:dyDescent="0.2">
      <c r="A4128" s="5">
        <v>4067</v>
      </c>
      <c r="B4128" s="1832">
        <f>'Acct Summary 7-8'!I10</f>
        <v>144076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382532</v>
      </c>
      <c r="C4130" s="2" t="s">
        <v>569</v>
      </c>
      <c r="D4130" s="2" t="str">
        <f t="shared" si="63"/>
        <v>Error?</v>
      </c>
    </row>
    <row r="4131" spans="1:4" x14ac:dyDescent="0.2">
      <c r="A4131" s="5">
        <v>4070</v>
      </c>
      <c r="B4131" s="1832">
        <f>'Acct Summary 7-8'!C18</f>
        <v>6416776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20941980</v>
      </c>
      <c r="C4136" s="2" t="s">
        <v>569</v>
      </c>
      <c r="D4136" s="2" t="str">
        <f t="shared" si="63"/>
        <v>Error?</v>
      </c>
    </row>
    <row r="4137" spans="1:4" x14ac:dyDescent="0.2">
      <c r="A4137" s="5">
        <v>4076</v>
      </c>
      <c r="B4137" s="1832">
        <f>'Acct Summary 7-8'!D19</f>
        <v>1509163</v>
      </c>
      <c r="C4137" s="2" t="s">
        <v>569</v>
      </c>
      <c r="D4137" s="2" t="str">
        <f t="shared" si="63"/>
        <v>Error?</v>
      </c>
    </row>
    <row r="4138" spans="1:4" x14ac:dyDescent="0.2">
      <c r="A4138" s="5">
        <v>4077</v>
      </c>
      <c r="B4138" s="1832">
        <f>'Acct Summary 7-8'!E19</f>
        <v>1384363</v>
      </c>
      <c r="C4138" s="2" t="s">
        <v>569</v>
      </c>
      <c r="D4138" s="2" t="str">
        <f t="shared" si="63"/>
        <v>Error?</v>
      </c>
    </row>
    <row r="4139" spans="1:4" x14ac:dyDescent="0.2">
      <c r="A4139" s="5">
        <v>4078</v>
      </c>
      <c r="B4139" s="1832">
        <f>'Acct Summary 7-8'!F19</f>
        <v>1722085</v>
      </c>
      <c r="C4139" s="2" t="s">
        <v>569</v>
      </c>
      <c r="D4139" s="2" t="str">
        <f t="shared" si="63"/>
        <v>Error?</v>
      </c>
    </row>
    <row r="4140" spans="1:4" x14ac:dyDescent="0.2">
      <c r="A4140" s="5">
        <v>4079</v>
      </c>
      <c r="B4140" s="1832">
        <f>'Acct Summary 7-8'!G19</f>
        <v>683850</v>
      </c>
      <c r="C4140" s="2" t="s">
        <v>569</v>
      </c>
      <c r="D4140" s="2" t="str">
        <f t="shared" si="63"/>
        <v>Error?</v>
      </c>
    </row>
    <row r="4141" spans="1:4" x14ac:dyDescent="0.2">
      <c r="A4141" s="5">
        <v>4080</v>
      </c>
      <c r="B4141" s="1832">
        <f>'Acct Summary 7-8'!H19</f>
        <v>651773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30450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11476705</v>
      </c>
      <c r="C4171" s="2" t="s">
        <v>569</v>
      </c>
      <c r="D4171" s="2" t="str">
        <f t="shared" si="64"/>
        <v>Error?</v>
      </c>
    </row>
    <row r="4172" spans="1:4" x14ac:dyDescent="0.2">
      <c r="A4172" s="5">
        <v>4111</v>
      </c>
      <c r="B4172" s="1832">
        <f>'Short-Term Long-Term Debt 24'!J49</f>
        <v>9990144</v>
      </c>
      <c r="C4172" s="2" t="s">
        <v>569</v>
      </c>
      <c r="D4172" s="2" t="str">
        <f t="shared" si="64"/>
        <v>Error?</v>
      </c>
    </row>
    <row r="4173" spans="1:4" x14ac:dyDescent="0.2">
      <c r="A4173" s="5">
        <v>4112</v>
      </c>
      <c r="B4173" s="1832">
        <f>'Short-Term Long-Term Debt 24'!H49</f>
        <v>1036487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1897</v>
      </c>
    </row>
    <row r="4236" spans="1:5" x14ac:dyDescent="0.2">
      <c r="A4236" s="10">
        <v>4175</v>
      </c>
      <c r="B4236" s="1832"/>
      <c r="D4236" s="2" t="str">
        <f t="shared" si="65"/>
        <v>OK</v>
      </c>
      <c r="E4236" s="4" t="s">
        <v>1897</v>
      </c>
    </row>
    <row r="4237" spans="1:5" x14ac:dyDescent="0.2">
      <c r="A4237" s="10">
        <v>4176</v>
      </c>
      <c r="B4237" s="1832"/>
      <c r="D4237" s="2" t="str">
        <f t="shared" si="65"/>
        <v>OK</v>
      </c>
      <c r="E4237" s="4" t="s">
        <v>1897</v>
      </c>
    </row>
    <row r="4238" spans="1:5" x14ac:dyDescent="0.2">
      <c r="A4238" s="10">
        <v>4177</v>
      </c>
      <c r="B4238" s="1832"/>
      <c r="D4238" s="2" t="str">
        <f t="shared" si="65"/>
        <v>OK</v>
      </c>
      <c r="E4238" s="4" t="s">
        <v>1897</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2406.5</v>
      </c>
      <c r="C4265" s="2" t="s">
        <v>569</v>
      </c>
      <c r="D4265" s="2" t="str">
        <f t="shared" si="65"/>
        <v>Error?</v>
      </c>
      <c r="E4265" s="125"/>
    </row>
    <row r="4266" spans="1:5" x14ac:dyDescent="0.2">
      <c r="A4266" s="12">
        <v>4205</v>
      </c>
      <c r="B4266" s="1832">
        <f>('FP Info 3'!F10)*100000</f>
        <v>374.7</v>
      </c>
      <c r="C4266" s="2" t="s">
        <v>569</v>
      </c>
      <c r="D4266" s="2" t="str">
        <f t="shared" si="65"/>
        <v>Error?</v>
      </c>
      <c r="E4266" s="125"/>
    </row>
    <row r="4267" spans="1:5" x14ac:dyDescent="0.2">
      <c r="A4267" s="12">
        <v>4206</v>
      </c>
      <c r="B4267" s="1832">
        <f>('FP Info 3'!H10)*100000</f>
        <v>176.5</v>
      </c>
      <c r="C4267" s="2" t="s">
        <v>569</v>
      </c>
      <c r="D4267" s="2" t="str">
        <f t="shared" si="65"/>
        <v>Error?</v>
      </c>
      <c r="E4267" s="125"/>
    </row>
    <row r="4268" spans="1:5" x14ac:dyDescent="0.2">
      <c r="A4268" s="12">
        <v>4207</v>
      </c>
      <c r="B4268" s="1832">
        <f>('FP Info 3'!J10)*100000</f>
        <v>2958</v>
      </c>
      <c r="C4268" s="2" t="s">
        <v>569</v>
      </c>
      <c r="D4268" s="2" t="str">
        <f t="shared" si="65"/>
        <v>Error?</v>
      </c>
    </row>
    <row r="4269" spans="1:5" x14ac:dyDescent="0.2">
      <c r="A4269" s="12">
        <v>4208</v>
      </c>
      <c r="B4269" s="1832">
        <f>'FP Info 3'!J16</f>
        <v>15979975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113734</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32750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93207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1897</v>
      </c>
    </row>
    <row r="4400" spans="1:5" x14ac:dyDescent="0.2">
      <c r="A4400" s="10">
        <v>4339</v>
      </c>
      <c r="B4400" s="1832"/>
      <c r="D4400" s="2" t="str">
        <f t="shared" si="67"/>
        <v>OK</v>
      </c>
      <c r="E4400" s="4" t="s">
        <v>1897</v>
      </c>
    </row>
    <row r="4401" spans="1:5" x14ac:dyDescent="0.2">
      <c r="A4401" s="10">
        <v>4340</v>
      </c>
      <c r="B4401" s="1832"/>
      <c r="D4401" s="2" t="str">
        <f t="shared" si="67"/>
        <v>OK</v>
      </c>
      <c r="E4401" s="4" t="s">
        <v>1897</v>
      </c>
    </row>
    <row r="4402" spans="1:5" x14ac:dyDescent="0.2">
      <c r="A4402" s="10">
        <v>4341</v>
      </c>
      <c r="B4402" s="1832"/>
      <c r="D4402" s="2" t="str">
        <f t="shared" si="67"/>
        <v>OK</v>
      </c>
      <c r="E4402" s="4" t="s">
        <v>1897</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56613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22.2</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1157</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377811608</v>
      </c>
      <c r="D4995" s="2" t="str">
        <f t="shared" si="77"/>
        <v>Error?</v>
      </c>
    </row>
    <row r="4996" spans="1:4" x14ac:dyDescent="0.2">
      <c r="A4996" s="12">
        <v>4935</v>
      </c>
      <c r="B4996" s="1832">
        <f>'FP Info 3'!H31</f>
        <v>26069000.952000003</v>
      </c>
      <c r="D4996" s="2" t="str">
        <f t="shared" si="77"/>
        <v>Error?</v>
      </c>
    </row>
    <row r="4997" spans="1:4" x14ac:dyDescent="0.2">
      <c r="A4997" s="12">
        <v>4936</v>
      </c>
      <c r="B4997" s="1832">
        <f>'FP Info 3'!H37</f>
        <v>11476705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71663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8398265</v>
      </c>
      <c r="D5061" s="2" t="str">
        <f t="shared" si="78"/>
        <v>Error?</v>
      </c>
    </row>
    <row r="5062" spans="1:4" x14ac:dyDescent="0.2">
      <c r="A5062" s="10">
        <v>5001</v>
      </c>
      <c r="B5062" s="1832"/>
      <c r="D5062" s="2" t="str">
        <f t="shared" si="78"/>
        <v>OK</v>
      </c>
    </row>
    <row r="5063" spans="1:4" x14ac:dyDescent="0.2">
      <c r="A5063" s="5">
        <v>5002</v>
      </c>
      <c r="B5063" s="1832">
        <f>'Revenues 9-14'!C7</f>
        <v>116832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8586760</v>
      </c>
      <c r="C5066" s="2" t="s">
        <v>569</v>
      </c>
      <c r="D5066" s="2" t="str">
        <f t="shared" si="78"/>
        <v>Error?</v>
      </c>
    </row>
    <row r="5067" spans="1:4" x14ac:dyDescent="0.2">
      <c r="A5067" s="5">
        <v>5006</v>
      </c>
      <c r="B5067" s="1832">
        <f>'Revenues 9-14'!C14</f>
        <v>1349</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1673441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1674790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29644</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29644</v>
      </c>
      <c r="C5087" s="2" t="s">
        <v>569</v>
      </c>
      <c r="D5087" s="2" t="str">
        <f t="shared" si="78"/>
        <v>Error?</v>
      </c>
    </row>
    <row r="5088" spans="1:4" x14ac:dyDescent="0.2">
      <c r="A5088" s="5">
        <v>5027</v>
      </c>
      <c r="B5088" s="1832">
        <f>'Revenues 9-14'!C65</f>
        <v>140701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140701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23530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3679</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158822</v>
      </c>
      <c r="C5096" s="2" t="s">
        <v>569</v>
      </c>
      <c r="D5096" s="2" t="str">
        <f t="shared" si="78"/>
        <v>Error?</v>
      </c>
    </row>
    <row r="5097" spans="1:4" x14ac:dyDescent="0.2">
      <c r="A5097" s="5">
        <v>5036</v>
      </c>
      <c r="B5097" s="1832">
        <f>'Revenues 9-14'!C77</f>
        <v>7232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14430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9940</v>
      </c>
      <c r="D5101" s="2" t="str">
        <f t="shared" si="78"/>
        <v>Error?</v>
      </c>
    </row>
    <row r="5102" spans="1:4" x14ac:dyDescent="0.2">
      <c r="A5102" s="5">
        <v>5041</v>
      </c>
      <c r="B5102" s="1832">
        <f>'Revenues 9-14'!C82</f>
        <v>31602</v>
      </c>
      <c r="C5102" s="2" t="s">
        <v>569</v>
      </c>
      <c r="D5102" s="2" t="str">
        <f t="shared" si="78"/>
        <v>Error?</v>
      </c>
    </row>
    <row r="5103" spans="1:4" x14ac:dyDescent="0.2">
      <c r="A5103" s="5">
        <v>5042</v>
      </c>
      <c r="B5103" s="1832">
        <f>'Revenues 9-14'!C84</f>
        <v>68715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68715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90941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157855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7113</v>
      </c>
      <c r="D5119" s="2" t="str">
        <f t="shared" ref="D5119:D5182" si="79">IF(ISBLANK(B5119),"OK",IF(A5119-B5119=0,"OK","Error?"))</f>
        <v>Error?</v>
      </c>
    </row>
    <row r="5120" spans="1:4" x14ac:dyDescent="0.2">
      <c r="A5120" s="5">
        <v>5059</v>
      </c>
      <c r="B5120" s="1832">
        <f>'Revenues 9-14'!C108</f>
        <v>255909</v>
      </c>
      <c r="C5120" s="2" t="s">
        <v>569</v>
      </c>
      <c r="D5120" s="2" t="str">
        <f t="shared" si="79"/>
        <v>Error?</v>
      </c>
    </row>
    <row r="5121" spans="1:4" x14ac:dyDescent="0.2">
      <c r="A5121" s="5">
        <v>5060</v>
      </c>
      <c r="B5121" s="1832">
        <f>'Revenues 9-14'!C109</f>
        <v>10946943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2430916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2430916</v>
      </c>
      <c r="C5132" s="2" t="s">
        <v>569</v>
      </c>
      <c r="D5132" s="2" t="str">
        <f t="shared" si="79"/>
        <v>Error?</v>
      </c>
    </row>
    <row r="5133" spans="1:4" x14ac:dyDescent="0.2">
      <c r="A5133" s="5">
        <v>5072</v>
      </c>
      <c r="B5133" s="1832">
        <f>'Revenues 9-14'!C125</f>
        <v>142639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33310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175949</v>
      </c>
      <c r="C5147" s="2" t="s">
        <v>569</v>
      </c>
      <c r="D5147" s="2" t="str">
        <f t="shared" si="79"/>
        <v>Error?</v>
      </c>
    </row>
    <row r="5148" spans="1:4" x14ac:dyDescent="0.2">
      <c r="A5148" s="5">
        <v>5087</v>
      </c>
      <c r="B5148" s="1832">
        <f>'Revenues 9-14'!C134</f>
        <v>1497</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1497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5716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1897</v>
      </c>
    </row>
    <row r="5200" spans="1:5" x14ac:dyDescent="0.2">
      <c r="A5200" s="10">
        <v>5139</v>
      </c>
      <c r="B5200" s="1832"/>
      <c r="D5200" s="2" t="str">
        <f t="shared" si="80"/>
        <v>OK</v>
      </c>
      <c r="E5200" s="4" t="s">
        <v>1897</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184319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2615235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273174</v>
      </c>
      <c r="D5239" s="2" t="str">
        <f t="shared" si="80"/>
        <v>Error?</v>
      </c>
    </row>
    <row r="5240" spans="1:4" x14ac:dyDescent="0.2">
      <c r="A5240" s="5">
        <v>5179</v>
      </c>
      <c r="B5240" s="1832">
        <f>'Revenues 9-14'!C192</f>
        <v>1734</v>
      </c>
      <c r="D5240" s="2" t="str">
        <f t="shared" si="80"/>
        <v>Error?</v>
      </c>
    </row>
    <row r="5241" spans="1:4" x14ac:dyDescent="0.2">
      <c r="A5241" s="5">
        <v>5180</v>
      </c>
      <c r="B5241" s="1832">
        <f>'Revenues 9-14'!C193</f>
        <v>86751</v>
      </c>
      <c r="D5241" s="2" t="str">
        <f t="shared" si="80"/>
        <v>Error?</v>
      </c>
    </row>
    <row r="5242" spans="1:4" x14ac:dyDescent="0.2">
      <c r="A5242" s="5">
        <v>5181</v>
      </c>
      <c r="B5242" s="1832">
        <f>'Revenues 9-14'!C194</f>
        <v>114986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476645</v>
      </c>
      <c r="C5246" s="2" t="s">
        <v>569</v>
      </c>
      <c r="D5246" s="2" t="str">
        <f t="shared" si="80"/>
        <v>Error?</v>
      </c>
    </row>
    <row r="5247" spans="1:4" x14ac:dyDescent="0.2">
      <c r="A5247" s="5">
        <v>5186</v>
      </c>
      <c r="B5247" s="1832">
        <f>'Revenues 9-14'!C200</f>
        <v>396612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1897</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510346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48271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199098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247369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1897</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1416930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1416930</v>
      </c>
      <c r="C5326" s="2" t="s">
        <v>569</v>
      </c>
      <c r="D5326" s="2" t="str">
        <f t="shared" si="82"/>
        <v>Error?</v>
      </c>
    </row>
    <row r="5327" spans="1:5" x14ac:dyDescent="0.2">
      <c r="A5327" s="5">
        <v>5266</v>
      </c>
      <c r="B5327" s="1832">
        <f>'Revenues 9-14'!C268</f>
        <v>14979108</v>
      </c>
      <c r="C5327" s="2" t="s">
        <v>569</v>
      </c>
      <c r="D5327" s="2" t="str">
        <f t="shared" si="82"/>
        <v>Error?</v>
      </c>
    </row>
    <row r="5328" spans="1:5" x14ac:dyDescent="0.2">
      <c r="A5328" s="5">
        <v>5267</v>
      </c>
      <c r="B5328" s="1832">
        <f>'Revenues 9-14'!D5</f>
        <v>1374318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1374318</v>
      </c>
      <c r="C5334" s="2" t="s">
        <v>569</v>
      </c>
      <c r="D5334" s="2" t="str">
        <f t="shared" si="82"/>
        <v>Error?</v>
      </c>
    </row>
    <row r="5335" spans="1:4" x14ac:dyDescent="0.2">
      <c r="A5335" s="5">
        <v>5274</v>
      </c>
      <c r="B5335" s="1832">
        <f>'Revenues 9-14'!D14</f>
        <v>216</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262969</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263185</v>
      </c>
      <c r="C5339" s="2" t="s">
        <v>569</v>
      </c>
      <c r="D5339" s="2" t="str">
        <f t="shared" si="82"/>
        <v>Error?</v>
      </c>
    </row>
    <row r="5340" spans="1:4" x14ac:dyDescent="0.2">
      <c r="A5340" s="5">
        <v>5279</v>
      </c>
      <c r="B5340" s="1832">
        <f>'Revenues 9-14'!D65</f>
        <v>24687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24687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480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18462</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404</v>
      </c>
      <c r="D5354" s="2" t="str">
        <f t="shared" si="82"/>
        <v>Error?</v>
      </c>
    </row>
    <row r="5355" spans="1:4" x14ac:dyDescent="0.2">
      <c r="A5355" s="5">
        <v>5294</v>
      </c>
      <c r="B5355" s="1832">
        <f>'Revenues 9-14'!D108</f>
        <v>19346</v>
      </c>
      <c r="C5355" s="2" t="s">
        <v>569</v>
      </c>
      <c r="D5355" s="2" t="str">
        <f t="shared" si="82"/>
        <v>Error?</v>
      </c>
    </row>
    <row r="5356" spans="1:4" x14ac:dyDescent="0.2">
      <c r="A5356" s="5">
        <v>5295</v>
      </c>
      <c r="B5356" s="1832">
        <f>'Revenues 9-14'!D109</f>
        <v>1681536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1897</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1681536</v>
      </c>
      <c r="C5508" s="2" t="s">
        <v>569</v>
      </c>
      <c r="D5508" s="2" t="str">
        <f t="shared" si="85"/>
        <v>Error?</v>
      </c>
    </row>
    <row r="5509" spans="1:4" x14ac:dyDescent="0.2">
      <c r="A5509" s="5">
        <v>5448</v>
      </c>
      <c r="B5509" s="1832">
        <f>'Revenues 9-14'!E5</f>
        <v>713912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713912</v>
      </c>
      <c r="C5513" s="2" t="s">
        <v>569</v>
      </c>
      <c r="D5513" s="2" t="str">
        <f t="shared" si="85"/>
        <v>Error?</v>
      </c>
    </row>
    <row r="5514" spans="1:4" x14ac:dyDescent="0.2">
      <c r="A5514" s="5">
        <v>5453</v>
      </c>
      <c r="B5514" s="1832">
        <f>'Revenues 9-14'!E14</f>
        <v>112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529491</v>
      </c>
      <c r="D5517" s="2" t="str">
        <f t="shared" si="85"/>
        <v>Error?</v>
      </c>
    </row>
    <row r="5518" spans="1:4" x14ac:dyDescent="0.2">
      <c r="A5518" s="5">
        <v>5457</v>
      </c>
      <c r="B5518" s="1832">
        <f>'Revenues 9-14'!E18</f>
        <v>529603</v>
      </c>
      <c r="C5518" s="2" t="s">
        <v>569</v>
      </c>
      <c r="D5518" s="2" t="str">
        <f t="shared" si="85"/>
        <v>Error?</v>
      </c>
    </row>
    <row r="5519" spans="1:4" x14ac:dyDescent="0.2">
      <c r="A5519" s="5">
        <v>5458</v>
      </c>
      <c r="B5519" s="1832">
        <f>'Revenues 9-14'!E65</f>
        <v>22091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22091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1265606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1265606</v>
      </c>
      <c r="C5552" s="2" t="s">
        <v>569</v>
      </c>
      <c r="D5552" s="2" t="str">
        <f t="shared" si="85"/>
        <v>Error?</v>
      </c>
    </row>
    <row r="5553" spans="1:4" x14ac:dyDescent="0.2">
      <c r="A5553" s="5">
        <v>5492</v>
      </c>
      <c r="B5553" s="1832">
        <f>'Revenues 9-14'!F5</f>
        <v>927692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927692</v>
      </c>
      <c r="C5557" s="2" t="s">
        <v>569</v>
      </c>
      <c r="D5557" s="2" t="str">
        <f t="shared" si="85"/>
        <v>Error?</v>
      </c>
    </row>
    <row r="5558" spans="1:4" x14ac:dyDescent="0.2">
      <c r="A5558" s="5">
        <v>5497</v>
      </c>
      <c r="B5558" s="1832">
        <f>'Revenues 9-14'!F14</f>
        <v>146</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146</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32706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32706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11368</v>
      </c>
      <c r="D5586" s="2" t="str">
        <f t="shared" si="86"/>
        <v>Error?</v>
      </c>
    </row>
    <row r="5587" spans="1:4" x14ac:dyDescent="0.2">
      <c r="A5587" s="5">
        <v>5526</v>
      </c>
      <c r="B5587" s="1832">
        <f>'Revenues 9-14'!F108</f>
        <v>11368</v>
      </c>
      <c r="C5587" s="2" t="s">
        <v>569</v>
      </c>
      <c r="D5587" s="2" t="str">
        <f t="shared" si="86"/>
        <v>Error?</v>
      </c>
    </row>
    <row r="5588" spans="1:4" x14ac:dyDescent="0.2">
      <c r="A5588" s="5">
        <v>5527</v>
      </c>
      <c r="B5588" s="1832">
        <f>'Revenues 9-14'!F109</f>
        <v>971912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546059</v>
      </c>
      <c r="D5615" s="2" t="str">
        <f t="shared" si="86"/>
        <v>Error?</v>
      </c>
    </row>
    <row r="5616" spans="1:4" x14ac:dyDescent="0.2">
      <c r="A5616" s="10">
        <v>5555</v>
      </c>
      <c r="B5616" s="1832"/>
      <c r="D5616" s="2" t="str">
        <f t="shared" si="86"/>
        <v>OK</v>
      </c>
    </row>
    <row r="5617" spans="1:5" x14ac:dyDescent="0.2">
      <c r="A5617" s="5">
        <v>5556</v>
      </c>
      <c r="B5617" s="1832">
        <f>'Revenues 9-14'!F153</f>
        <v>454861</v>
      </c>
      <c r="D5617" s="2" t="str">
        <f t="shared" si="86"/>
        <v>Error?</v>
      </c>
    </row>
    <row r="5618" spans="1:5" x14ac:dyDescent="0.2">
      <c r="A5618" s="5">
        <v>5557</v>
      </c>
      <c r="B5618" s="1832">
        <f>'Revenues 9-14'!F155</f>
        <v>1000920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1897</v>
      </c>
    </row>
    <row r="5631" spans="1:5" x14ac:dyDescent="0.2">
      <c r="A5631" s="10">
        <v>5570</v>
      </c>
      <c r="B5631" s="1832"/>
      <c r="D5631" s="2" t="str">
        <f t="shared" ref="D5631:D5694" si="87">IF(ISBLANK(B5631),"OK",IF(A5631-B5631=0,"OK","Error?"))</f>
        <v>OK</v>
      </c>
      <c r="E5631" s="4" t="s">
        <v>1897</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1000920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1000920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1897</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1897</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1972832</v>
      </c>
      <c r="C5720" s="2" t="s">
        <v>569</v>
      </c>
      <c r="D5720" s="2" t="str">
        <f t="shared" si="88"/>
        <v>Error?</v>
      </c>
    </row>
    <row r="5721" spans="1:4" x14ac:dyDescent="0.2">
      <c r="A5721" s="5">
        <v>5660</v>
      </c>
      <c r="B5721" s="1832">
        <f>'Revenues 9-14'!G5</f>
        <v>294466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294512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588978</v>
      </c>
      <c r="C5725" s="2" t="s">
        <v>569</v>
      </c>
      <c r="D5725" s="2" t="str">
        <f t="shared" si="88"/>
        <v>Error?</v>
      </c>
    </row>
    <row r="5726" spans="1:4" x14ac:dyDescent="0.2">
      <c r="A5726" s="5">
        <v>5665</v>
      </c>
      <c r="B5726" s="1832">
        <f>'Revenues 9-14'!G14</f>
        <v>93</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191250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191343</v>
      </c>
      <c r="C5730" s="2" t="s">
        <v>569</v>
      </c>
      <c r="D5730" s="2" t="str">
        <f t="shared" si="88"/>
        <v>Error?</v>
      </c>
    </row>
    <row r="5731" spans="1:4" x14ac:dyDescent="0.2">
      <c r="A5731" s="5">
        <v>5670</v>
      </c>
      <c r="B5731" s="1832">
        <f>'Revenues 9-14'!G65</f>
        <v>10287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10287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57664</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1897</v>
      </c>
    </row>
    <row r="5768" spans="1:5" x14ac:dyDescent="0.2">
      <c r="A5768" s="10">
        <v>5707</v>
      </c>
      <c r="B5768" s="1832"/>
      <c r="D5768" s="2" t="str">
        <f t="shared" si="89"/>
        <v>OK</v>
      </c>
      <c r="E5768" s="4" t="s">
        <v>1897</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1897</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1897</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848272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262969</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262969</v>
      </c>
      <c r="C5878" s="2" t="s">
        <v>569</v>
      </c>
      <c r="D5878" s="2" t="str">
        <f t="shared" si="90"/>
        <v>Error?</v>
      </c>
    </row>
    <row r="5879" spans="1:4" x14ac:dyDescent="0.2">
      <c r="A5879" s="5">
        <v>5818</v>
      </c>
      <c r="B5879" s="1832">
        <f>'Revenues 9-14'!H65</f>
        <v>90980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90980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403949</v>
      </c>
      <c r="C5915" s="2" t="s">
        <v>569</v>
      </c>
      <c r="D5915" s="2" t="str">
        <f t="shared" si="91"/>
        <v>Error?</v>
      </c>
    </row>
    <row r="5916" spans="1:4" x14ac:dyDescent="0.2">
      <c r="A5916" s="5">
        <v>5855</v>
      </c>
      <c r="B5916" s="1832">
        <f>'Revenues 9-14'!I5</f>
        <v>81505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81505</v>
      </c>
      <c r="C5918" s="2" t="s">
        <v>569</v>
      </c>
      <c r="D5918" s="2" t="str">
        <f t="shared" si="91"/>
        <v>Error?</v>
      </c>
    </row>
    <row r="5919" spans="1:4" x14ac:dyDescent="0.2">
      <c r="A5919" s="5">
        <v>5858</v>
      </c>
      <c r="B5919" s="1832">
        <f>'Revenues 9-14'!I14</f>
        <v>13</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13</v>
      </c>
      <c r="C5923" s="2" t="s">
        <v>569</v>
      </c>
      <c r="D5923" s="2" t="str">
        <f t="shared" si="91"/>
        <v>Error?</v>
      </c>
    </row>
    <row r="5924" spans="1:4" x14ac:dyDescent="0.2">
      <c r="A5924" s="5">
        <v>5863</v>
      </c>
      <c r="B5924" s="1832">
        <f>'Revenues 9-14'!I65</f>
        <v>62558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62558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144076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363222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363222</v>
      </c>
      <c r="C5987" s="2" t="s">
        <v>569</v>
      </c>
      <c r="D5987" s="2" t="str">
        <f t="shared" si="92"/>
        <v>Error?</v>
      </c>
    </row>
    <row r="5988" spans="1:4" x14ac:dyDescent="0.2">
      <c r="A5988" s="5">
        <v>5927</v>
      </c>
      <c r="B5988" s="1832">
        <f>'Revenues 9-14'!K14</f>
        <v>57</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57</v>
      </c>
      <c r="C5992" s="2" t="s">
        <v>569</v>
      </c>
      <c r="D5992" s="2" t="str">
        <f t="shared" si="92"/>
        <v>Error?</v>
      </c>
    </row>
    <row r="5993" spans="1:4" x14ac:dyDescent="0.2">
      <c r="A5993" s="5">
        <v>5932</v>
      </c>
      <c r="B5993" s="1832">
        <f>'Revenues 9-14'!K65</f>
        <v>19253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19253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382532</v>
      </c>
      <c r="C6023" s="2" t="s">
        <v>569</v>
      </c>
      <c r="D6023" s="2" t="str">
        <f t="shared" si="93"/>
        <v>Error?</v>
      </c>
    </row>
    <row r="6024" spans="1:5" x14ac:dyDescent="0.2">
      <c r="A6024" s="5">
        <v>5963</v>
      </c>
      <c r="B6024" s="1832">
        <f>'Revenues 9-14'!G109</f>
        <v>848272</v>
      </c>
      <c r="C6024" s="2" t="s">
        <v>569</v>
      </c>
      <c r="D6024" s="2" t="str">
        <f t="shared" si="93"/>
        <v>Error?</v>
      </c>
    </row>
    <row r="6025" spans="1:5" x14ac:dyDescent="0.2">
      <c r="A6025" s="5">
        <v>5964</v>
      </c>
      <c r="B6025" s="1832">
        <f>'Revenues 9-14'!H109</f>
        <v>353949</v>
      </c>
      <c r="C6025" s="2" t="s">
        <v>569</v>
      </c>
      <c r="D6025" s="2" t="str">
        <f t="shared" si="93"/>
        <v>Error?</v>
      </c>
    </row>
    <row r="6026" spans="1:5" x14ac:dyDescent="0.2">
      <c r="A6026" s="5">
        <v>5965</v>
      </c>
      <c r="B6026" s="1832">
        <f>'Revenues 9-14'!I109</f>
        <v>144076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382532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131613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60626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1561.9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237448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237448</v>
      </c>
      <c r="D6215" s="2" t="str">
        <f t="shared" si="96"/>
        <v>Error?</v>
      </c>
      <c r="E6215" s="2" t="s">
        <v>189</v>
      </c>
    </row>
    <row r="6216" spans="1:5" x14ac:dyDescent="0.2">
      <c r="A6216">
        <v>6155</v>
      </c>
      <c r="B6216" s="1832">
        <f>'Assets-Liab 5-6'!J41</f>
        <v>237448</v>
      </c>
      <c r="D6216" s="2" t="str">
        <f t="shared" si="96"/>
        <v>Error?</v>
      </c>
      <c r="E6216" s="2" t="s">
        <v>189</v>
      </c>
    </row>
    <row r="6217" spans="1:5" x14ac:dyDescent="0.2">
      <c r="A6217">
        <v>6156</v>
      </c>
      <c r="B6217" s="1832">
        <f>'Assets-Liab 5-6'!J4</f>
        <v>237448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121606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121606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121606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43727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43727</v>
      </c>
      <c r="D6229" s="2" t="str">
        <f t="shared" si="96"/>
        <v>Error?</v>
      </c>
      <c r="E6229" s="2" t="s">
        <v>189</v>
      </c>
    </row>
    <row r="6230" spans="1:5" x14ac:dyDescent="0.2">
      <c r="A6230">
        <v>6169</v>
      </c>
      <c r="B6230" s="1832">
        <f>'Acct Summary 7-8'!J20</f>
        <v>77879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77879</v>
      </c>
      <c r="D6263" s="2" t="str">
        <f t="shared" si="96"/>
        <v>Error?</v>
      </c>
      <c r="E6263" s="2" t="s">
        <v>189</v>
      </c>
    </row>
    <row r="6264" spans="1:5" x14ac:dyDescent="0.2">
      <c r="A6264">
        <v>6203</v>
      </c>
      <c r="B6264" s="1832">
        <f>'Acct Summary 7-8'!J79</f>
        <v>159569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237448</v>
      </c>
      <c r="D6266" s="2" t="str">
        <f t="shared" si="96"/>
        <v>Error?</v>
      </c>
      <c r="E6266" s="2" t="s">
        <v>189</v>
      </c>
    </row>
    <row r="6267" spans="1:5" x14ac:dyDescent="0.2">
      <c r="A6267">
        <v>6206</v>
      </c>
      <c r="B6267" s="1832">
        <f>'Acct Summary 7-8'!C82</f>
        <v>453904</v>
      </c>
      <c r="D6267" s="2" t="str">
        <f t="shared" si="96"/>
        <v>Error?</v>
      </c>
      <c r="E6267" s="2" t="s">
        <v>189</v>
      </c>
    </row>
    <row r="6268" spans="1:5" x14ac:dyDescent="0.2">
      <c r="A6268">
        <v>6207</v>
      </c>
      <c r="B6268" s="1832">
        <f>'Acct Summary 7-8'!D82</f>
        <v>172373</v>
      </c>
      <c r="D6268" s="2" t="str">
        <f t="shared" si="96"/>
        <v>Error?</v>
      </c>
      <c r="E6268" s="2" t="s">
        <v>189</v>
      </c>
    </row>
    <row r="6269" spans="1:5" x14ac:dyDescent="0.2">
      <c r="A6269">
        <v>6208</v>
      </c>
      <c r="B6269" s="1832">
        <f>'Acct Summary 7-8'!E82</f>
        <v>-118757</v>
      </c>
      <c r="D6269" s="2" t="str">
        <f t="shared" si="96"/>
        <v>Error?</v>
      </c>
      <c r="E6269" s="2" t="s">
        <v>189</v>
      </c>
    </row>
    <row r="6270" spans="1:5" x14ac:dyDescent="0.2">
      <c r="A6270">
        <v>6209</v>
      </c>
      <c r="B6270" s="1832">
        <f>'Acct Summary 7-8'!F82</f>
        <v>250747</v>
      </c>
      <c r="D6270" s="2" t="str">
        <f t="shared" si="96"/>
        <v>Error?</v>
      </c>
      <c r="E6270" s="2" t="s">
        <v>189</v>
      </c>
    </row>
    <row r="6271" spans="1:5" x14ac:dyDescent="0.2">
      <c r="A6271">
        <v>6210</v>
      </c>
      <c r="B6271" s="1832">
        <f>'Acct Summary 7-8'!G82</f>
        <v>164422</v>
      </c>
      <c r="D6271" s="2" t="str">
        <f t="shared" ref="D6271:D6334" si="97">IF(ISBLANK(B6271),"OK",IF(A6271-B6271=0,"OK","Error?"))</f>
        <v>Error?</v>
      </c>
      <c r="E6271" s="2" t="s">
        <v>189</v>
      </c>
    </row>
    <row r="6272" spans="1:5" x14ac:dyDescent="0.2">
      <c r="A6272">
        <v>6211</v>
      </c>
      <c r="B6272" s="1832">
        <f>'Acct Summary 7-8'!H82</f>
        <v>-247824</v>
      </c>
      <c r="D6272" s="2" t="str">
        <f t="shared" si="97"/>
        <v>Error?</v>
      </c>
      <c r="E6272" s="2" t="s">
        <v>189</v>
      </c>
    </row>
    <row r="6273" spans="1:5" x14ac:dyDescent="0.2">
      <c r="A6273">
        <v>6212</v>
      </c>
      <c r="B6273" s="1832">
        <f>'Acct Summary 7-8'!I82</f>
        <v>144076</v>
      </c>
      <c r="D6273" s="2" t="str">
        <f t="shared" si="97"/>
        <v>Error?</v>
      </c>
      <c r="E6273" s="2" t="s">
        <v>189</v>
      </c>
    </row>
    <row r="6274" spans="1:5" x14ac:dyDescent="0.2">
      <c r="A6274">
        <v>6213</v>
      </c>
      <c r="B6274" s="1832">
        <f>'Acct Summary 7-8'!J82</f>
        <v>77879</v>
      </c>
      <c r="D6274" s="2" t="str">
        <f t="shared" si="97"/>
        <v>Error?</v>
      </c>
      <c r="E6274" s="2" t="s">
        <v>189</v>
      </c>
    </row>
    <row r="6275" spans="1:5" x14ac:dyDescent="0.2">
      <c r="A6275">
        <v>6214</v>
      </c>
      <c r="B6275" s="1832">
        <f>'Acct Summary 7-8'!K82</f>
        <v>352082</v>
      </c>
      <c r="D6275" s="2" t="str">
        <f t="shared" si="97"/>
        <v>Error?</v>
      </c>
      <c r="E6275" s="2" t="s">
        <v>189</v>
      </c>
    </row>
    <row r="6276" spans="1:5" x14ac:dyDescent="0.2">
      <c r="A6276">
        <v>6215</v>
      </c>
      <c r="B6276" s="1832">
        <f>'Acct Summary 7-8'!C83</f>
        <v>6.3201753982900732E-2</v>
      </c>
      <c r="D6276" s="2" t="str">
        <f t="shared" si="97"/>
        <v>Error?</v>
      </c>
      <c r="E6276" s="2" t="s">
        <v>189</v>
      </c>
    </row>
    <row r="6277" spans="1:5" x14ac:dyDescent="0.2">
      <c r="A6277">
        <v>6216</v>
      </c>
      <c r="B6277" s="1832">
        <f>'Acct Summary 7-8'!D83</f>
        <v>0.12682113212211463</v>
      </c>
      <c r="D6277" s="2" t="str">
        <f t="shared" si="97"/>
        <v>Error?</v>
      </c>
      <c r="E6277" s="2" t="s">
        <v>189</v>
      </c>
    </row>
    <row r="6278" spans="1:5" x14ac:dyDescent="0.2">
      <c r="A6278">
        <v>6217</v>
      </c>
      <c r="B6278" s="1832">
        <f>'Acct Summary 7-8'!E83</f>
        <v>-7.9887068206417361E-2</v>
      </c>
      <c r="D6278" s="2" t="str">
        <f t="shared" si="97"/>
        <v>Error?</v>
      </c>
      <c r="E6278" s="2" t="s">
        <v>189</v>
      </c>
    </row>
    <row r="6279" spans="1:5" x14ac:dyDescent="0.2">
      <c r="A6279">
        <v>6218</v>
      </c>
      <c r="B6279" s="1832">
        <f>'Acct Summary 7-8'!F83</f>
        <v>9.9879187557234544E-2</v>
      </c>
      <c r="D6279" s="2" t="str">
        <f t="shared" si="97"/>
        <v>Error?</v>
      </c>
      <c r="E6279" s="2" t="s">
        <v>189</v>
      </c>
    </row>
    <row r="6280" spans="1:5" x14ac:dyDescent="0.2">
      <c r="A6280">
        <v>6219</v>
      </c>
      <c r="B6280" s="1832">
        <f>'Acct Summary 7-8'!G83</f>
        <v>0.26453032843063123</v>
      </c>
      <c r="D6280" s="2" t="str">
        <f t="shared" si="97"/>
        <v>Error?</v>
      </c>
      <c r="E6280" s="2" t="s">
        <v>189</v>
      </c>
    </row>
    <row r="6281" spans="1:5" x14ac:dyDescent="0.2">
      <c r="A6281">
        <v>6220</v>
      </c>
      <c r="B6281" s="1832">
        <f>'Acct Summary 7-8'!H83</f>
        <v>-3.6789854228011169E-2</v>
      </c>
      <c r="D6281" s="2" t="str">
        <f t="shared" si="97"/>
        <v>Error?</v>
      </c>
      <c r="E6281" s="2" t="s">
        <v>189</v>
      </c>
    </row>
    <row r="6282" spans="1:5" x14ac:dyDescent="0.2">
      <c r="A6282">
        <v>6221</v>
      </c>
      <c r="B6282" s="1832">
        <f>'Acct Summary 7-8'!I83</f>
        <v>2.9233448798652074E-2</v>
      </c>
      <c r="D6282" s="2" t="str">
        <f t="shared" si="97"/>
        <v>Error?</v>
      </c>
      <c r="E6282" s="2" t="s">
        <v>189</v>
      </c>
    </row>
    <row r="6283" spans="1:5" x14ac:dyDescent="0.2">
      <c r="A6283">
        <v>6222</v>
      </c>
      <c r="B6283" s="1832">
        <f>'Acct Summary 7-8'!J83</f>
        <v>0.32798339004750515</v>
      </c>
      <c r="D6283" s="2" t="str">
        <f t="shared" si="97"/>
        <v>Error?</v>
      </c>
      <c r="E6283" s="2" t="s">
        <v>189</v>
      </c>
    </row>
    <row r="6284" spans="1:5" x14ac:dyDescent="0.2">
      <c r="A6284">
        <v>6223</v>
      </c>
      <c r="B6284" s="1832">
        <f>'Acct Summary 7-8'!K83</f>
        <v>0.22732860703263214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117805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117805</v>
      </c>
      <c r="D6301" s="2" t="str">
        <f t="shared" si="97"/>
        <v>Error?</v>
      </c>
      <c r="E6301" s="2" t="s">
        <v>189</v>
      </c>
    </row>
    <row r="6302" spans="1:5" x14ac:dyDescent="0.2">
      <c r="A6302">
        <v>6241</v>
      </c>
      <c r="B6302" s="1832">
        <f>'Revenues 9-14'!J14</f>
        <v>19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3039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3039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743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57664</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743</v>
      </c>
      <c r="D6351" s="2" t="str">
        <f t="shared" si="98"/>
        <v>Error?</v>
      </c>
      <c r="E6351" s="2" t="s">
        <v>189</v>
      </c>
    </row>
    <row r="6352" spans="1:5" x14ac:dyDescent="0.2">
      <c r="A6352">
        <v>6291</v>
      </c>
      <c r="B6352" s="1832">
        <f>'Revenues 9-14'!J109</f>
        <v>121606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1896</v>
      </c>
    </row>
    <row r="6383" spans="1:6" x14ac:dyDescent="0.2">
      <c r="A6383" s="126">
        <v>6322</v>
      </c>
      <c r="B6383" s="1832"/>
      <c r="D6383" s="2" t="str">
        <f t="shared" si="98"/>
        <v>OK</v>
      </c>
      <c r="E6383" s="2" t="s">
        <v>189</v>
      </c>
      <c r="F6383" s="1" t="s">
        <v>1896</v>
      </c>
    </row>
    <row r="6384" spans="1:6" x14ac:dyDescent="0.2">
      <c r="A6384" s="126">
        <v>6323</v>
      </c>
      <c r="B6384" s="1832"/>
      <c r="D6384" s="2" t="str">
        <f t="shared" si="98"/>
        <v>OK</v>
      </c>
      <c r="E6384" s="2" t="s">
        <v>189</v>
      </c>
      <c r="F6384" s="1" t="s">
        <v>1896</v>
      </c>
    </row>
    <row r="6385" spans="1:6" x14ac:dyDescent="0.2">
      <c r="A6385" s="126">
        <v>6324</v>
      </c>
      <c r="B6385" s="1832"/>
      <c r="D6385" s="2" t="str">
        <f t="shared" si="98"/>
        <v>OK</v>
      </c>
      <c r="E6385" s="2" t="s">
        <v>189</v>
      </c>
      <c r="F6385" s="1" t="s">
        <v>1896</v>
      </c>
    </row>
    <row r="6386" spans="1:6" x14ac:dyDescent="0.2">
      <c r="A6386" s="126">
        <v>6325</v>
      </c>
      <c r="B6386" s="1832"/>
      <c r="D6386" s="2" t="str">
        <f t="shared" si="98"/>
        <v>OK</v>
      </c>
      <c r="E6386" s="2" t="s">
        <v>189</v>
      </c>
      <c r="F6386" s="1" t="s">
        <v>1896</v>
      </c>
    </row>
    <row r="6387" spans="1:6" x14ac:dyDescent="0.2">
      <c r="A6387" s="126">
        <v>6326</v>
      </c>
      <c r="B6387" s="1832"/>
      <c r="D6387" s="2" t="str">
        <f t="shared" si="98"/>
        <v>OK</v>
      </c>
      <c r="E6387" s="2" t="s">
        <v>189</v>
      </c>
      <c r="F6387" s="1" t="s">
        <v>1896</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1896</v>
      </c>
    </row>
    <row r="6411" spans="1:6" x14ac:dyDescent="0.2">
      <c r="A6411" s="126">
        <v>6350</v>
      </c>
      <c r="B6411" s="1832"/>
      <c r="D6411" s="2" t="str">
        <f t="shared" si="99"/>
        <v>OK</v>
      </c>
      <c r="E6411" s="2" t="s">
        <v>189</v>
      </c>
      <c r="F6411" s="1" t="s">
        <v>1896</v>
      </c>
    </row>
    <row r="6412" spans="1:6" x14ac:dyDescent="0.2">
      <c r="A6412" s="126">
        <v>6351</v>
      </c>
      <c r="B6412" s="1832"/>
      <c r="D6412" s="2" t="str">
        <f t="shared" si="99"/>
        <v>OK</v>
      </c>
      <c r="E6412" s="2" t="s">
        <v>189</v>
      </c>
      <c r="F6412" s="1" t="s">
        <v>1896</v>
      </c>
    </row>
    <row r="6413" spans="1:6" x14ac:dyDescent="0.2">
      <c r="A6413" s="126">
        <v>6352</v>
      </c>
      <c r="B6413" s="1832"/>
      <c r="D6413" s="2" t="str">
        <f t="shared" si="99"/>
        <v>OK</v>
      </c>
      <c r="E6413" s="2" t="s">
        <v>189</v>
      </c>
      <c r="F6413" s="1" t="s">
        <v>1896</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1992</v>
      </c>
    </row>
    <row r="6417" spans="1:5" x14ac:dyDescent="0.2">
      <c r="A6417" s="126">
        <v>6356</v>
      </c>
      <c r="B6417" s="1832"/>
      <c r="D6417" s="2" t="str">
        <f t="shared" si="99"/>
        <v>OK</v>
      </c>
      <c r="E6417" s="4" t="s">
        <v>1992</v>
      </c>
    </row>
    <row r="6418" spans="1:5" x14ac:dyDescent="0.2">
      <c r="A6418" s="126">
        <v>6357</v>
      </c>
      <c r="B6418" s="1832"/>
      <c r="D6418" s="2" t="str">
        <f t="shared" si="99"/>
        <v>OK</v>
      </c>
      <c r="E6418" s="4" t="s">
        <v>1992</v>
      </c>
    </row>
    <row r="6419" spans="1:5" x14ac:dyDescent="0.2">
      <c r="A6419" s="126">
        <v>6358</v>
      </c>
      <c r="B6419" s="1832"/>
      <c r="D6419" s="2" t="str">
        <f t="shared" si="99"/>
        <v>OK</v>
      </c>
      <c r="E6419" s="4" t="s">
        <v>1992</v>
      </c>
    </row>
    <row r="6420" spans="1:5" x14ac:dyDescent="0.2">
      <c r="A6420" s="126">
        <v>6359</v>
      </c>
      <c r="B6420" s="1832"/>
      <c r="D6420" s="2" t="str">
        <f t="shared" si="99"/>
        <v>OK</v>
      </c>
      <c r="E6420" s="4" t="s">
        <v>1992</v>
      </c>
    </row>
    <row r="6421" spans="1:5" x14ac:dyDescent="0.2">
      <c r="A6421" s="126">
        <v>6360</v>
      </c>
      <c r="B6421" s="1832"/>
      <c r="D6421" s="2" t="str">
        <f t="shared" si="99"/>
        <v>OK</v>
      </c>
      <c r="E6421" s="4" t="s">
        <v>1992</v>
      </c>
    </row>
    <row r="6422" spans="1:5" x14ac:dyDescent="0.2">
      <c r="A6422" s="126">
        <v>6361</v>
      </c>
      <c r="B6422" s="1832"/>
      <c r="D6422" s="2" t="str">
        <f t="shared" si="99"/>
        <v>OK</v>
      </c>
      <c r="E6422" s="4" t="s">
        <v>1992</v>
      </c>
    </row>
    <row r="6423" spans="1:5" x14ac:dyDescent="0.2">
      <c r="A6423" s="126">
        <v>6362</v>
      </c>
      <c r="B6423" s="1832"/>
      <c r="D6423" s="2" t="str">
        <f t="shared" si="99"/>
        <v>OK</v>
      </c>
      <c r="E6423" s="4" t="s">
        <v>1992</v>
      </c>
    </row>
    <row r="6424" spans="1:5" x14ac:dyDescent="0.2">
      <c r="A6424" s="126">
        <v>6363</v>
      </c>
      <c r="B6424" s="1832"/>
      <c r="D6424" s="2" t="str">
        <f t="shared" si="99"/>
        <v>OK</v>
      </c>
      <c r="E6424" s="4" t="s">
        <v>1992</v>
      </c>
    </row>
    <row r="6425" spans="1:5" x14ac:dyDescent="0.2">
      <c r="A6425" s="126">
        <v>6364</v>
      </c>
      <c r="B6425" s="1832"/>
      <c r="D6425" s="2" t="str">
        <f t="shared" si="99"/>
        <v>OK</v>
      </c>
      <c r="E6425" s="4" t="s">
        <v>1992</v>
      </c>
    </row>
    <row r="6426" spans="1:5" x14ac:dyDescent="0.2">
      <c r="A6426" s="126">
        <v>6365</v>
      </c>
      <c r="B6426" s="1832"/>
      <c r="D6426" s="2" t="str">
        <f t="shared" si="99"/>
        <v>OK</v>
      </c>
      <c r="E6426" s="4" t="s">
        <v>1992</v>
      </c>
    </row>
    <row r="6427" spans="1:5" x14ac:dyDescent="0.2">
      <c r="A6427" s="126">
        <v>6366</v>
      </c>
      <c r="B6427" s="1832"/>
      <c r="D6427" s="2" t="str">
        <f t="shared" si="99"/>
        <v>OK</v>
      </c>
      <c r="E6427" s="4" t="s">
        <v>1992</v>
      </c>
    </row>
    <row r="6428" spans="1:5" x14ac:dyDescent="0.2">
      <c r="A6428" s="126">
        <v>6367</v>
      </c>
      <c r="B6428" s="1832"/>
      <c r="D6428" s="2" t="str">
        <f t="shared" si="99"/>
        <v>OK</v>
      </c>
      <c r="E6428" s="4" t="s">
        <v>1992</v>
      </c>
    </row>
    <row r="6429" spans="1:5" x14ac:dyDescent="0.2">
      <c r="A6429" s="126">
        <v>6368</v>
      </c>
      <c r="B6429" s="1832"/>
      <c r="D6429" s="2" t="str">
        <f t="shared" si="99"/>
        <v>OK</v>
      </c>
      <c r="E6429" s="4" t="s">
        <v>1992</v>
      </c>
    </row>
    <row r="6430" spans="1:5" x14ac:dyDescent="0.2">
      <c r="A6430" s="126">
        <v>6369</v>
      </c>
      <c r="B6430" s="1832"/>
      <c r="D6430" s="2" t="str">
        <f t="shared" si="99"/>
        <v>OK</v>
      </c>
      <c r="E6430" s="4" t="s">
        <v>1992</v>
      </c>
    </row>
    <row r="6431" spans="1:5" x14ac:dyDescent="0.2">
      <c r="A6431" s="126">
        <v>6370</v>
      </c>
      <c r="B6431" s="1832"/>
      <c r="D6431" s="2" t="str">
        <f t="shared" si="99"/>
        <v>OK</v>
      </c>
      <c r="E6431" s="4" t="s">
        <v>1992</v>
      </c>
    </row>
    <row r="6432" spans="1:5" x14ac:dyDescent="0.2">
      <c r="A6432" s="126">
        <v>6371</v>
      </c>
      <c r="B6432" s="1832"/>
      <c r="D6432" s="2" t="str">
        <f t="shared" si="99"/>
        <v>OK</v>
      </c>
      <c r="E6432" s="4" t="s">
        <v>1992</v>
      </c>
    </row>
    <row r="6433" spans="1:5" x14ac:dyDescent="0.2">
      <c r="A6433" s="126">
        <v>6372</v>
      </c>
      <c r="B6433" s="1832"/>
      <c r="D6433" s="2" t="str">
        <f t="shared" si="99"/>
        <v>OK</v>
      </c>
      <c r="E6433" s="4" t="s">
        <v>1992</v>
      </c>
    </row>
    <row r="6434" spans="1:5" x14ac:dyDescent="0.2">
      <c r="A6434" s="126">
        <v>6373</v>
      </c>
      <c r="B6434" s="1832"/>
      <c r="D6434" s="2" t="str">
        <f t="shared" si="99"/>
        <v>OK</v>
      </c>
      <c r="E6434" s="4" t="s">
        <v>1992</v>
      </c>
    </row>
    <row r="6435" spans="1:5" x14ac:dyDescent="0.2">
      <c r="A6435" s="126">
        <v>6374</v>
      </c>
      <c r="B6435" s="1832"/>
      <c r="D6435" s="2" t="str">
        <f t="shared" si="99"/>
        <v>OK</v>
      </c>
      <c r="E6435" s="4" t="s">
        <v>1992</v>
      </c>
    </row>
    <row r="6436" spans="1:5" x14ac:dyDescent="0.2">
      <c r="A6436" s="126">
        <v>6375</v>
      </c>
      <c r="B6436" s="1832"/>
      <c r="D6436" s="2" t="str">
        <f t="shared" si="99"/>
        <v>OK</v>
      </c>
      <c r="E6436" s="4" t="s">
        <v>1992</v>
      </c>
    </row>
    <row r="6437" spans="1:5" x14ac:dyDescent="0.2">
      <c r="A6437" s="126">
        <v>6376</v>
      </c>
      <c r="B6437" s="1832"/>
      <c r="D6437" s="2" t="str">
        <f t="shared" si="99"/>
        <v>OK</v>
      </c>
      <c r="E6437" s="4" t="s">
        <v>1992</v>
      </c>
    </row>
    <row r="6438" spans="1:5" x14ac:dyDescent="0.2">
      <c r="A6438" s="126">
        <v>6377</v>
      </c>
      <c r="B6438" s="1832"/>
      <c r="D6438" s="2" t="str">
        <f t="shared" si="99"/>
        <v>OK</v>
      </c>
      <c r="E6438" s="4" t="s">
        <v>1992</v>
      </c>
    </row>
    <row r="6439" spans="1:5" x14ac:dyDescent="0.2">
      <c r="A6439" s="126">
        <v>6378</v>
      </c>
      <c r="B6439" s="1832"/>
      <c r="D6439" s="2" t="str">
        <f t="shared" si="99"/>
        <v>OK</v>
      </c>
      <c r="E6439" s="4" t="s">
        <v>1992</v>
      </c>
    </row>
    <row r="6440" spans="1:5" x14ac:dyDescent="0.2">
      <c r="A6440" s="126">
        <v>6379</v>
      </c>
      <c r="B6440" s="1832"/>
      <c r="D6440" s="2" t="str">
        <f t="shared" si="99"/>
        <v>OK</v>
      </c>
      <c r="E6440" s="4" t="s">
        <v>1992</v>
      </c>
    </row>
    <row r="6441" spans="1:5" x14ac:dyDescent="0.2">
      <c r="A6441" s="126">
        <v>6380</v>
      </c>
      <c r="B6441" s="1832"/>
      <c r="D6441" s="2" t="str">
        <f t="shared" si="99"/>
        <v>OK</v>
      </c>
      <c r="E6441" s="4" t="s">
        <v>1992</v>
      </c>
    </row>
    <row r="6442" spans="1:5" x14ac:dyDescent="0.2">
      <c r="A6442" s="126">
        <v>6381</v>
      </c>
      <c r="B6442" s="1832"/>
      <c r="D6442" s="2" t="str">
        <f t="shared" si="99"/>
        <v>OK</v>
      </c>
      <c r="E6442" s="4" t="s">
        <v>1992</v>
      </c>
    </row>
    <row r="6443" spans="1:5" x14ac:dyDescent="0.2">
      <c r="A6443" s="126">
        <v>6382</v>
      </c>
      <c r="B6443" s="1832"/>
      <c r="D6443" s="2" t="str">
        <f t="shared" si="99"/>
        <v>OK</v>
      </c>
      <c r="E6443" s="4" t="s">
        <v>1992</v>
      </c>
    </row>
    <row r="6444" spans="1:5" x14ac:dyDescent="0.2">
      <c r="A6444" s="126">
        <v>6383</v>
      </c>
      <c r="B6444" s="1832"/>
      <c r="D6444" s="2" t="str">
        <f t="shared" si="99"/>
        <v>OK</v>
      </c>
      <c r="E6444" s="4" t="s">
        <v>1992</v>
      </c>
    </row>
    <row r="6445" spans="1:5" x14ac:dyDescent="0.2">
      <c r="A6445" s="126">
        <v>6384</v>
      </c>
      <c r="B6445" s="1832"/>
      <c r="D6445" s="2" t="str">
        <f t="shared" si="99"/>
        <v>OK</v>
      </c>
      <c r="E6445" s="4" t="s">
        <v>1992</v>
      </c>
    </row>
    <row r="6446" spans="1:5" x14ac:dyDescent="0.2">
      <c r="A6446" s="126">
        <v>6385</v>
      </c>
      <c r="B6446" s="1832"/>
      <c r="D6446" s="2" t="str">
        <f t="shared" si="99"/>
        <v>OK</v>
      </c>
      <c r="E6446" s="4" t="s">
        <v>1992</v>
      </c>
    </row>
    <row r="6447" spans="1:5" x14ac:dyDescent="0.2">
      <c r="A6447" s="126">
        <v>6386</v>
      </c>
      <c r="B6447" s="1832"/>
      <c r="D6447" s="2" t="str">
        <f t="shared" si="99"/>
        <v>OK</v>
      </c>
      <c r="E6447" s="4" t="s">
        <v>1992</v>
      </c>
    </row>
    <row r="6448" spans="1:5" x14ac:dyDescent="0.2">
      <c r="A6448" s="126">
        <v>6387</v>
      </c>
      <c r="B6448" s="1832"/>
      <c r="D6448" s="2" t="str">
        <f t="shared" si="99"/>
        <v>OK</v>
      </c>
      <c r="E6448" s="4" t="s">
        <v>1992</v>
      </c>
    </row>
    <row r="6449" spans="1:5" x14ac:dyDescent="0.2">
      <c r="A6449" s="126">
        <v>6388</v>
      </c>
      <c r="B6449" s="1832"/>
      <c r="D6449" s="2" t="str">
        <f t="shared" si="99"/>
        <v>OK</v>
      </c>
      <c r="E6449" s="4" t="s">
        <v>1992</v>
      </c>
    </row>
    <row r="6450" spans="1:5" x14ac:dyDescent="0.2">
      <c r="A6450" s="126">
        <v>6389</v>
      </c>
      <c r="B6450" s="1832"/>
      <c r="D6450" s="2" t="str">
        <f t="shared" si="99"/>
        <v>OK</v>
      </c>
      <c r="E6450" s="4" t="s">
        <v>1992</v>
      </c>
    </row>
    <row r="6451" spans="1:5" x14ac:dyDescent="0.2">
      <c r="A6451" s="126">
        <v>6390</v>
      </c>
      <c r="B6451" s="1832"/>
      <c r="D6451" s="2" t="str">
        <f t="shared" si="99"/>
        <v>OK</v>
      </c>
      <c r="E6451" s="4" t="s">
        <v>1992</v>
      </c>
    </row>
    <row r="6452" spans="1:5" x14ac:dyDescent="0.2">
      <c r="A6452" s="126">
        <v>6391</v>
      </c>
      <c r="B6452" s="1832"/>
      <c r="D6452" s="2" t="str">
        <f t="shared" si="99"/>
        <v>OK</v>
      </c>
      <c r="E6452" s="4" t="s">
        <v>1992</v>
      </c>
    </row>
    <row r="6453" spans="1:5" x14ac:dyDescent="0.2">
      <c r="A6453" s="126">
        <v>6392</v>
      </c>
      <c r="B6453" s="1832"/>
      <c r="D6453" s="2" t="str">
        <f t="shared" si="99"/>
        <v>OK</v>
      </c>
      <c r="E6453" s="4" t="s">
        <v>1992</v>
      </c>
    </row>
    <row r="6454" spans="1:5" x14ac:dyDescent="0.2">
      <c r="A6454" s="126">
        <v>6393</v>
      </c>
      <c r="B6454" s="1832"/>
      <c r="D6454" s="2" t="str">
        <f t="shared" si="99"/>
        <v>OK</v>
      </c>
      <c r="E6454" s="4" t="s">
        <v>1992</v>
      </c>
    </row>
    <row r="6455" spans="1:5" x14ac:dyDescent="0.2">
      <c r="A6455" s="126">
        <v>6394</v>
      </c>
      <c r="B6455" s="1832"/>
      <c r="D6455" s="2" t="str">
        <f t="shared" si="99"/>
        <v>OK</v>
      </c>
      <c r="E6455" s="4" t="s">
        <v>1992</v>
      </c>
    </row>
    <row r="6456" spans="1:5" x14ac:dyDescent="0.2">
      <c r="A6456" s="126">
        <v>6395</v>
      </c>
      <c r="B6456" s="1832"/>
      <c r="D6456" s="2" t="str">
        <f t="shared" si="99"/>
        <v>OK</v>
      </c>
      <c r="E6456" s="4" t="s">
        <v>1992</v>
      </c>
    </row>
    <row r="6457" spans="1:5" x14ac:dyDescent="0.2">
      <c r="A6457" s="126">
        <v>6396</v>
      </c>
      <c r="B6457" s="1832"/>
      <c r="D6457" s="2" t="str">
        <f t="shared" si="99"/>
        <v>OK</v>
      </c>
      <c r="E6457" s="4" t="s">
        <v>1992</v>
      </c>
    </row>
    <row r="6458" spans="1:5" x14ac:dyDescent="0.2">
      <c r="A6458" s="126">
        <v>6397</v>
      </c>
      <c r="B6458" s="1832"/>
      <c r="D6458" s="2" t="str">
        <f t="shared" si="99"/>
        <v>OK</v>
      </c>
      <c r="E6458" s="4" t="s">
        <v>1992</v>
      </c>
    </row>
    <row r="6459" spans="1:5" x14ac:dyDescent="0.2">
      <c r="A6459" s="126">
        <v>6398</v>
      </c>
      <c r="B6459" s="1832"/>
      <c r="D6459" s="2" t="str">
        <f t="shared" si="99"/>
        <v>OK</v>
      </c>
      <c r="E6459" s="4" t="s">
        <v>1992</v>
      </c>
    </row>
    <row r="6460" spans="1:5" x14ac:dyDescent="0.2">
      <c r="A6460" s="126">
        <v>6399</v>
      </c>
      <c r="B6460" s="1832"/>
      <c r="D6460" s="2" t="str">
        <f t="shared" si="99"/>
        <v>OK</v>
      </c>
      <c r="E6460" s="4" t="s">
        <v>1992</v>
      </c>
    </row>
    <row r="6461" spans="1:5" x14ac:dyDescent="0.2">
      <c r="A6461" s="126">
        <v>6400</v>
      </c>
      <c r="B6461" s="1832"/>
      <c r="D6461" s="2" t="str">
        <f t="shared" si="99"/>
        <v>OK</v>
      </c>
      <c r="E6461" s="4" t="s">
        <v>1992</v>
      </c>
    </row>
    <row r="6462" spans="1:5" x14ac:dyDescent="0.2">
      <c r="A6462" s="126">
        <v>6401</v>
      </c>
      <c r="B6462" s="1832"/>
      <c r="D6462" s="2" t="str">
        <f t="shared" si="99"/>
        <v>OK</v>
      </c>
      <c r="E6462" s="4" t="s">
        <v>1992</v>
      </c>
    </row>
    <row r="6463" spans="1:5" x14ac:dyDescent="0.2">
      <c r="A6463" s="126">
        <v>6402</v>
      </c>
      <c r="B6463" s="1832"/>
      <c r="D6463" s="2" t="str">
        <f t="shared" ref="D6463:D6526" si="100">IF(ISBLANK(B6463),"OK",IF(A6463-B6463=0,"OK","Error?"))</f>
        <v>OK</v>
      </c>
      <c r="E6463" s="4" t="s">
        <v>1992</v>
      </c>
    </row>
    <row r="6464" spans="1:5" x14ac:dyDescent="0.2">
      <c r="A6464" s="126">
        <v>6403</v>
      </c>
      <c r="B6464" s="1832"/>
      <c r="D6464" s="2" t="str">
        <f t="shared" si="100"/>
        <v>OK</v>
      </c>
      <c r="E6464" s="4" t="s">
        <v>1992</v>
      </c>
    </row>
    <row r="6465" spans="1:5" x14ac:dyDescent="0.2">
      <c r="A6465" s="126">
        <v>6404</v>
      </c>
      <c r="B6465" s="1832"/>
      <c r="D6465" s="2" t="str">
        <f t="shared" si="100"/>
        <v>OK</v>
      </c>
      <c r="E6465" s="4" t="s">
        <v>1992</v>
      </c>
    </row>
    <row r="6466" spans="1:5" x14ac:dyDescent="0.2">
      <c r="A6466" s="126">
        <v>6405</v>
      </c>
      <c r="B6466" s="1832"/>
      <c r="D6466" s="2" t="str">
        <f t="shared" si="100"/>
        <v>OK</v>
      </c>
      <c r="E6466" s="4" t="s">
        <v>1992</v>
      </c>
    </row>
    <row r="6467" spans="1:5" x14ac:dyDescent="0.2">
      <c r="A6467" s="126">
        <v>6406</v>
      </c>
      <c r="B6467" s="1832"/>
      <c r="D6467" s="2" t="str">
        <f t="shared" si="100"/>
        <v>OK</v>
      </c>
      <c r="E6467" s="4" t="s">
        <v>1992</v>
      </c>
    </row>
    <row r="6468" spans="1:5" x14ac:dyDescent="0.2">
      <c r="A6468" s="126">
        <v>6407</v>
      </c>
      <c r="B6468" s="1832"/>
      <c r="D6468" s="2" t="str">
        <f t="shared" si="100"/>
        <v>OK</v>
      </c>
      <c r="E6468" s="4" t="s">
        <v>1992</v>
      </c>
    </row>
    <row r="6469" spans="1:5" x14ac:dyDescent="0.2">
      <c r="A6469" s="126">
        <v>6408</v>
      </c>
      <c r="B6469" s="1832"/>
      <c r="D6469" s="2" t="str">
        <f t="shared" si="100"/>
        <v>OK</v>
      </c>
      <c r="E6469" s="4" t="s">
        <v>1992</v>
      </c>
    </row>
    <row r="6470" spans="1:5" x14ac:dyDescent="0.2">
      <c r="A6470" s="126">
        <v>6409</v>
      </c>
      <c r="B6470" s="1832"/>
      <c r="D6470" s="2" t="str">
        <f t="shared" si="100"/>
        <v>OK</v>
      </c>
      <c r="E6470" s="4" t="s">
        <v>1992</v>
      </c>
    </row>
    <row r="6471" spans="1:5" x14ac:dyDescent="0.2">
      <c r="A6471" s="126">
        <v>6410</v>
      </c>
      <c r="B6471" s="1832"/>
      <c r="D6471" s="2" t="str">
        <f t="shared" si="100"/>
        <v>OK</v>
      </c>
      <c r="E6471" s="4" t="s">
        <v>1992</v>
      </c>
    </row>
    <row r="6472" spans="1:5" x14ac:dyDescent="0.2">
      <c r="A6472" s="126">
        <v>6411</v>
      </c>
      <c r="B6472" s="1832"/>
      <c r="D6472" s="2" t="str">
        <f t="shared" si="100"/>
        <v>OK</v>
      </c>
      <c r="E6472" s="4" t="s">
        <v>1992</v>
      </c>
    </row>
    <row r="6473" spans="1:5" x14ac:dyDescent="0.2">
      <c r="A6473" s="126">
        <v>6412</v>
      </c>
      <c r="B6473" s="1832"/>
      <c r="D6473" s="2" t="str">
        <f t="shared" si="100"/>
        <v>OK</v>
      </c>
      <c r="E6473" s="4" t="s">
        <v>1992</v>
      </c>
    </row>
    <row r="6474" spans="1:5" x14ac:dyDescent="0.2">
      <c r="A6474" s="126">
        <v>6413</v>
      </c>
      <c r="B6474" s="1832"/>
      <c r="D6474" s="2" t="str">
        <f t="shared" si="100"/>
        <v>OK</v>
      </c>
      <c r="E6474" s="4" t="s">
        <v>1992</v>
      </c>
    </row>
    <row r="6475" spans="1:5" x14ac:dyDescent="0.2">
      <c r="A6475" s="126">
        <v>6414</v>
      </c>
      <c r="B6475" s="1832"/>
      <c r="D6475" s="2" t="str">
        <f t="shared" si="100"/>
        <v>OK</v>
      </c>
      <c r="E6475" s="4" t="s">
        <v>1992</v>
      </c>
    </row>
    <row r="6476" spans="1:5" x14ac:dyDescent="0.2">
      <c r="A6476" s="126">
        <v>6415</v>
      </c>
      <c r="B6476" s="1832"/>
      <c r="D6476" s="2" t="str">
        <f t="shared" si="100"/>
        <v>OK</v>
      </c>
      <c r="E6476" s="4" t="s">
        <v>1992</v>
      </c>
    </row>
    <row r="6477" spans="1:5" x14ac:dyDescent="0.2">
      <c r="A6477" s="126">
        <v>6416</v>
      </c>
      <c r="B6477" s="1832"/>
      <c r="D6477" s="2" t="str">
        <f t="shared" si="100"/>
        <v>OK</v>
      </c>
      <c r="E6477" s="4" t="s">
        <v>1992</v>
      </c>
    </row>
    <row r="6478" spans="1:5" x14ac:dyDescent="0.2">
      <c r="A6478" s="126">
        <v>6417</v>
      </c>
      <c r="B6478" s="1832"/>
      <c r="D6478" s="2" t="str">
        <f t="shared" si="100"/>
        <v>OK</v>
      </c>
      <c r="E6478" s="4" t="s">
        <v>1992</v>
      </c>
    </row>
    <row r="6479" spans="1:5" x14ac:dyDescent="0.2">
      <c r="A6479" s="126">
        <v>6418</v>
      </c>
      <c r="B6479" s="1832"/>
      <c r="D6479" s="2" t="str">
        <f t="shared" si="100"/>
        <v>OK</v>
      </c>
      <c r="E6479" s="4" t="s">
        <v>1992</v>
      </c>
    </row>
    <row r="6480" spans="1:5" x14ac:dyDescent="0.2">
      <c r="A6480" s="126">
        <v>6419</v>
      </c>
      <c r="B6480" s="1832"/>
      <c r="D6480" s="2" t="str">
        <f t="shared" si="100"/>
        <v>OK</v>
      </c>
      <c r="E6480" s="4" t="s">
        <v>1992</v>
      </c>
    </row>
    <row r="6481" spans="1:5" x14ac:dyDescent="0.2">
      <c r="A6481" s="126">
        <v>6420</v>
      </c>
      <c r="B6481" s="1832"/>
      <c r="D6481" s="2" t="str">
        <f t="shared" si="100"/>
        <v>OK</v>
      </c>
      <c r="E6481" s="4" t="s">
        <v>1992</v>
      </c>
    </row>
    <row r="6482" spans="1:5" x14ac:dyDescent="0.2">
      <c r="A6482" s="126">
        <v>6421</v>
      </c>
      <c r="B6482" s="1832"/>
      <c r="D6482" s="2" t="str">
        <f t="shared" si="100"/>
        <v>OK</v>
      </c>
      <c r="E6482" s="4" t="s">
        <v>1992</v>
      </c>
    </row>
    <row r="6483" spans="1:5" x14ac:dyDescent="0.2">
      <c r="A6483" s="126">
        <v>6422</v>
      </c>
      <c r="B6483" s="1832"/>
      <c r="D6483" s="2" t="str">
        <f t="shared" si="100"/>
        <v>OK</v>
      </c>
      <c r="E6483" s="4" t="s">
        <v>1992</v>
      </c>
    </row>
    <row r="6484" spans="1:5" x14ac:dyDescent="0.2">
      <c r="A6484" s="126">
        <v>6423</v>
      </c>
      <c r="B6484" s="1832"/>
      <c r="D6484" s="2" t="str">
        <f t="shared" si="100"/>
        <v>OK</v>
      </c>
      <c r="E6484" s="4" t="s">
        <v>1992</v>
      </c>
    </row>
    <row r="6485" spans="1:5" x14ac:dyDescent="0.2">
      <c r="A6485" s="126">
        <v>6424</v>
      </c>
      <c r="B6485" s="1832"/>
      <c r="D6485" s="2" t="str">
        <f t="shared" si="100"/>
        <v>OK</v>
      </c>
      <c r="E6485" s="4" t="s">
        <v>1992</v>
      </c>
    </row>
    <row r="6486" spans="1:5" x14ac:dyDescent="0.2">
      <c r="A6486" s="126">
        <v>6425</v>
      </c>
      <c r="B6486" s="1832"/>
      <c r="D6486" s="2" t="str">
        <f t="shared" si="100"/>
        <v>OK</v>
      </c>
      <c r="E6486" s="4" t="s">
        <v>1992</v>
      </c>
    </row>
    <row r="6487" spans="1:5" x14ac:dyDescent="0.2">
      <c r="A6487" s="126">
        <v>6426</v>
      </c>
      <c r="B6487" s="1832"/>
      <c r="D6487" s="2" t="str">
        <f t="shared" si="100"/>
        <v>OK</v>
      </c>
      <c r="E6487" s="4" t="s">
        <v>1992</v>
      </c>
    </row>
    <row r="6488" spans="1:5" x14ac:dyDescent="0.2">
      <c r="A6488" s="126">
        <v>6427</v>
      </c>
      <c r="B6488" s="1832"/>
      <c r="D6488" s="2" t="str">
        <f t="shared" si="100"/>
        <v>OK</v>
      </c>
      <c r="E6488" s="4" t="s">
        <v>1992</v>
      </c>
    </row>
    <row r="6489" spans="1:5" x14ac:dyDescent="0.2">
      <c r="A6489" s="126">
        <v>6428</v>
      </c>
      <c r="B6489" s="1832"/>
      <c r="D6489" s="2" t="str">
        <f t="shared" si="100"/>
        <v>OK</v>
      </c>
      <c r="E6489" s="4" t="s">
        <v>1992</v>
      </c>
    </row>
    <row r="6490" spans="1:5" x14ac:dyDescent="0.2">
      <c r="A6490" s="126">
        <v>6429</v>
      </c>
      <c r="B6490" s="1832"/>
      <c r="D6490" s="2" t="str">
        <f t="shared" si="100"/>
        <v>OK</v>
      </c>
      <c r="E6490" s="4" t="s">
        <v>1992</v>
      </c>
    </row>
    <row r="6491" spans="1:5" x14ac:dyDescent="0.2">
      <c r="A6491" s="126">
        <v>6430</v>
      </c>
      <c r="B6491" s="1832"/>
      <c r="D6491" s="2" t="str">
        <f t="shared" si="100"/>
        <v>OK</v>
      </c>
      <c r="E6491" s="4" t="s">
        <v>1992</v>
      </c>
    </row>
    <row r="6492" spans="1:5" x14ac:dyDescent="0.2">
      <c r="A6492" s="126">
        <v>6431</v>
      </c>
      <c r="B6492" s="1832"/>
      <c r="D6492" s="2" t="str">
        <f t="shared" si="100"/>
        <v>OK</v>
      </c>
      <c r="E6492" s="4" t="s">
        <v>1992</v>
      </c>
    </row>
    <row r="6493" spans="1:5" x14ac:dyDescent="0.2">
      <c r="A6493" s="126">
        <v>6432</v>
      </c>
      <c r="B6493" s="1832"/>
      <c r="D6493" s="2" t="str">
        <f t="shared" si="100"/>
        <v>OK</v>
      </c>
      <c r="E6493" s="4" t="s">
        <v>1992</v>
      </c>
    </row>
    <row r="6494" spans="1:5" x14ac:dyDescent="0.2">
      <c r="A6494" s="126">
        <v>6433</v>
      </c>
      <c r="B6494" s="1832"/>
      <c r="D6494" s="2" t="str">
        <f t="shared" si="100"/>
        <v>OK</v>
      </c>
      <c r="E6494" s="4" t="s">
        <v>1992</v>
      </c>
    </row>
    <row r="6495" spans="1:5" x14ac:dyDescent="0.2">
      <c r="A6495" s="126">
        <v>6434</v>
      </c>
      <c r="B6495" s="1832"/>
      <c r="D6495" s="2" t="str">
        <f t="shared" si="100"/>
        <v>OK</v>
      </c>
      <c r="E6495" s="4" t="s">
        <v>1992</v>
      </c>
    </row>
    <row r="6496" spans="1:5" x14ac:dyDescent="0.2">
      <c r="A6496" s="126">
        <v>6435</v>
      </c>
      <c r="B6496" s="1832"/>
      <c r="D6496" s="2" t="str">
        <f t="shared" si="100"/>
        <v>OK</v>
      </c>
      <c r="E6496" s="4" t="s">
        <v>1992</v>
      </c>
    </row>
    <row r="6497" spans="1:5" x14ac:dyDescent="0.2">
      <c r="A6497" s="126">
        <v>6436</v>
      </c>
      <c r="B6497" s="1832"/>
      <c r="D6497" s="2" t="str">
        <f t="shared" si="100"/>
        <v>OK</v>
      </c>
      <c r="E6497" s="4" t="s">
        <v>1992</v>
      </c>
    </row>
    <row r="6498" spans="1:5" x14ac:dyDescent="0.2">
      <c r="A6498" s="126">
        <v>6437</v>
      </c>
      <c r="B6498" s="1832"/>
      <c r="D6498" s="2" t="str">
        <f t="shared" si="100"/>
        <v>OK</v>
      </c>
      <c r="E6498" s="4" t="s">
        <v>1992</v>
      </c>
    </row>
    <row r="6499" spans="1:5" x14ac:dyDescent="0.2">
      <c r="A6499" s="126">
        <v>6438</v>
      </c>
      <c r="B6499" s="1832"/>
      <c r="D6499" s="2" t="str">
        <f t="shared" si="100"/>
        <v>OK</v>
      </c>
      <c r="E6499" s="4" t="s">
        <v>1992</v>
      </c>
    </row>
    <row r="6500" spans="1:5" x14ac:dyDescent="0.2">
      <c r="A6500" s="126">
        <v>6439</v>
      </c>
      <c r="B6500" s="1832"/>
      <c r="D6500" s="2" t="str">
        <f t="shared" si="100"/>
        <v>OK</v>
      </c>
      <c r="E6500" s="4" t="s">
        <v>1992</v>
      </c>
    </row>
    <row r="6501" spans="1:5" x14ac:dyDescent="0.2">
      <c r="A6501" s="126">
        <v>6440</v>
      </c>
      <c r="B6501" s="1832"/>
      <c r="D6501" s="2" t="str">
        <f t="shared" si="100"/>
        <v>OK</v>
      </c>
      <c r="E6501" s="4" t="s">
        <v>1992</v>
      </c>
    </row>
    <row r="6502" spans="1:5" x14ac:dyDescent="0.2">
      <c r="A6502" s="126">
        <v>6441</v>
      </c>
      <c r="B6502" s="1832"/>
      <c r="D6502" s="2" t="str">
        <f t="shared" si="100"/>
        <v>OK</v>
      </c>
      <c r="E6502" s="4" t="s">
        <v>1992</v>
      </c>
    </row>
    <row r="6503" spans="1:5" x14ac:dyDescent="0.2">
      <c r="A6503" s="126">
        <v>6442</v>
      </c>
      <c r="B6503" s="1832"/>
      <c r="D6503" s="2" t="str">
        <f t="shared" si="100"/>
        <v>OK</v>
      </c>
      <c r="E6503" s="4" t="s">
        <v>1992</v>
      </c>
    </row>
    <row r="6504" spans="1:5" x14ac:dyDescent="0.2">
      <c r="A6504" s="126">
        <v>6443</v>
      </c>
      <c r="B6504" s="1832"/>
      <c r="D6504" s="2" t="str">
        <f t="shared" si="100"/>
        <v>OK</v>
      </c>
      <c r="E6504" s="4" t="s">
        <v>1992</v>
      </c>
    </row>
    <row r="6505" spans="1:5" x14ac:dyDescent="0.2">
      <c r="A6505" s="126">
        <v>6444</v>
      </c>
      <c r="B6505" s="1832"/>
      <c r="D6505" s="2" t="str">
        <f t="shared" si="100"/>
        <v>OK</v>
      </c>
      <c r="E6505" s="4" t="s">
        <v>1992</v>
      </c>
    </row>
    <row r="6506" spans="1:5" x14ac:dyDescent="0.2">
      <c r="A6506" s="126">
        <v>6445</v>
      </c>
      <c r="B6506" s="1832"/>
      <c r="D6506" s="2" t="str">
        <f t="shared" si="100"/>
        <v>OK</v>
      </c>
      <c r="E6506" s="4" t="s">
        <v>1992</v>
      </c>
    </row>
    <row r="6507" spans="1:5" x14ac:dyDescent="0.2">
      <c r="A6507" s="126">
        <v>6446</v>
      </c>
      <c r="B6507" s="1832"/>
      <c r="D6507" s="2" t="str">
        <f t="shared" si="100"/>
        <v>OK</v>
      </c>
      <c r="E6507" s="4" t="s">
        <v>1992</v>
      </c>
    </row>
    <row r="6508" spans="1:5" x14ac:dyDescent="0.2">
      <c r="A6508" s="126">
        <v>6447</v>
      </c>
      <c r="B6508" s="1832"/>
      <c r="D6508" s="2" t="str">
        <f t="shared" si="100"/>
        <v>OK</v>
      </c>
      <c r="E6508" s="4" t="s">
        <v>1992</v>
      </c>
    </row>
    <row r="6509" spans="1:5" x14ac:dyDescent="0.2">
      <c r="A6509" s="126">
        <v>6448</v>
      </c>
      <c r="B6509" s="1832"/>
      <c r="D6509" s="2" t="str">
        <f t="shared" si="100"/>
        <v>OK</v>
      </c>
      <c r="E6509" s="4" t="s">
        <v>1992</v>
      </c>
    </row>
    <row r="6510" spans="1:5" x14ac:dyDescent="0.2">
      <c r="A6510" s="126">
        <v>6449</v>
      </c>
      <c r="B6510" s="1832"/>
      <c r="D6510" s="2" t="str">
        <f t="shared" si="100"/>
        <v>OK</v>
      </c>
      <c r="E6510" s="4" t="s">
        <v>1992</v>
      </c>
    </row>
    <row r="6511" spans="1:5" x14ac:dyDescent="0.2">
      <c r="A6511" s="126">
        <v>6450</v>
      </c>
      <c r="B6511" s="1832"/>
      <c r="D6511" s="2" t="str">
        <f t="shared" si="100"/>
        <v>OK</v>
      </c>
      <c r="E6511" s="4" t="s">
        <v>1992</v>
      </c>
    </row>
    <row r="6512" spans="1:5" x14ac:dyDescent="0.2">
      <c r="A6512" s="126">
        <v>6451</v>
      </c>
      <c r="B6512" s="1832"/>
      <c r="D6512" s="2" t="str">
        <f t="shared" si="100"/>
        <v>OK</v>
      </c>
      <c r="E6512" s="4" t="s">
        <v>1992</v>
      </c>
    </row>
    <row r="6513" spans="1:5" x14ac:dyDescent="0.2">
      <c r="A6513" s="126">
        <v>6452</v>
      </c>
      <c r="B6513" s="1832"/>
      <c r="D6513" s="2" t="str">
        <f t="shared" si="100"/>
        <v>OK</v>
      </c>
      <c r="E6513" s="4" t="s">
        <v>1992</v>
      </c>
    </row>
    <row r="6514" spans="1:5" x14ac:dyDescent="0.2">
      <c r="A6514" s="126">
        <v>6453</v>
      </c>
      <c r="B6514" s="1832"/>
      <c r="D6514" s="2" t="str">
        <f t="shared" si="100"/>
        <v>OK</v>
      </c>
      <c r="E6514" s="4" t="s">
        <v>1992</v>
      </c>
    </row>
    <row r="6515" spans="1:5" x14ac:dyDescent="0.2">
      <c r="A6515" s="126">
        <v>6454</v>
      </c>
      <c r="B6515" s="1832"/>
      <c r="D6515" s="2" t="str">
        <f t="shared" si="100"/>
        <v>OK</v>
      </c>
      <c r="E6515" s="4" t="s">
        <v>1992</v>
      </c>
    </row>
    <row r="6516" spans="1:5" x14ac:dyDescent="0.2">
      <c r="A6516" s="126">
        <v>6455</v>
      </c>
      <c r="B6516" s="1832"/>
      <c r="D6516" s="2" t="str">
        <f t="shared" si="100"/>
        <v>OK</v>
      </c>
      <c r="E6516" s="4" t="s">
        <v>1992</v>
      </c>
    </row>
    <row r="6517" spans="1:5" x14ac:dyDescent="0.2">
      <c r="A6517" s="126">
        <v>6456</v>
      </c>
      <c r="B6517" s="1832"/>
      <c r="D6517" s="2" t="str">
        <f t="shared" si="100"/>
        <v>OK</v>
      </c>
      <c r="E6517" s="4" t="s">
        <v>1992</v>
      </c>
    </row>
    <row r="6518" spans="1:5" x14ac:dyDescent="0.2">
      <c r="A6518" s="126">
        <v>6457</v>
      </c>
      <c r="B6518" s="1832"/>
      <c r="D6518" s="2" t="str">
        <f t="shared" si="100"/>
        <v>OK</v>
      </c>
      <c r="E6518" s="4" t="s">
        <v>1992</v>
      </c>
    </row>
    <row r="6519" spans="1:5" x14ac:dyDescent="0.2">
      <c r="A6519" s="126">
        <v>6458</v>
      </c>
      <c r="B6519" s="1832"/>
      <c r="D6519" s="2" t="str">
        <f t="shared" si="100"/>
        <v>OK</v>
      </c>
      <c r="E6519" s="4" t="s">
        <v>1992</v>
      </c>
    </row>
    <row r="6520" spans="1:5" x14ac:dyDescent="0.2">
      <c r="A6520" s="126">
        <v>6459</v>
      </c>
      <c r="B6520" s="1832"/>
      <c r="D6520" s="2" t="str">
        <f t="shared" si="100"/>
        <v>OK</v>
      </c>
      <c r="E6520" s="4" t="s">
        <v>1992</v>
      </c>
    </row>
    <row r="6521" spans="1:5" x14ac:dyDescent="0.2">
      <c r="A6521" s="126">
        <v>6460</v>
      </c>
      <c r="B6521" s="1832"/>
      <c r="D6521" s="2" t="str">
        <f t="shared" si="100"/>
        <v>OK</v>
      </c>
      <c r="E6521" s="4" t="s">
        <v>1992</v>
      </c>
    </row>
    <row r="6522" spans="1:5" x14ac:dyDescent="0.2">
      <c r="A6522" s="126">
        <v>6461</v>
      </c>
      <c r="B6522" s="1832"/>
      <c r="D6522" s="2" t="str">
        <f t="shared" si="100"/>
        <v>OK</v>
      </c>
      <c r="E6522" s="4" t="s">
        <v>1992</v>
      </c>
    </row>
    <row r="6523" spans="1:5" x14ac:dyDescent="0.2">
      <c r="A6523" s="126">
        <v>6462</v>
      </c>
      <c r="B6523" s="1832"/>
      <c r="D6523" s="2" t="str">
        <f t="shared" si="100"/>
        <v>OK</v>
      </c>
      <c r="E6523" s="4" t="s">
        <v>1992</v>
      </c>
    </row>
    <row r="6524" spans="1:5" x14ac:dyDescent="0.2">
      <c r="A6524" s="126">
        <v>6463</v>
      </c>
      <c r="B6524" s="1832"/>
      <c r="D6524" s="2" t="str">
        <f t="shared" si="100"/>
        <v>OK</v>
      </c>
      <c r="E6524" s="4" t="s">
        <v>1992</v>
      </c>
    </row>
    <row r="6525" spans="1:5" x14ac:dyDescent="0.2">
      <c r="A6525" s="126">
        <v>6464</v>
      </c>
      <c r="B6525" s="1832"/>
      <c r="D6525" s="2" t="str">
        <f t="shared" si="100"/>
        <v>OK</v>
      </c>
      <c r="E6525" s="4" t="s">
        <v>1992</v>
      </c>
    </row>
    <row r="6526" spans="1:5" x14ac:dyDescent="0.2">
      <c r="A6526" s="126">
        <v>6465</v>
      </c>
      <c r="B6526" s="1832"/>
      <c r="D6526" s="2" t="str">
        <f t="shared" si="100"/>
        <v>OK</v>
      </c>
      <c r="E6526" s="4" t="s">
        <v>1992</v>
      </c>
    </row>
    <row r="6527" spans="1:5" x14ac:dyDescent="0.2">
      <c r="A6527" s="126">
        <v>6466</v>
      </c>
      <c r="B6527" s="1832"/>
      <c r="D6527" s="2" t="str">
        <f t="shared" ref="D6527:D6590" si="101">IF(ISBLANK(B6527),"OK",IF(A6527-B6527=0,"OK","Error?"))</f>
        <v>OK</v>
      </c>
      <c r="E6527" s="4" t="s">
        <v>1992</v>
      </c>
    </row>
    <row r="6528" spans="1:5" x14ac:dyDescent="0.2">
      <c r="A6528" s="126">
        <v>6467</v>
      </c>
      <c r="B6528" s="1832"/>
      <c r="D6528" s="2" t="str">
        <f t="shared" si="101"/>
        <v>OK</v>
      </c>
      <c r="E6528" s="4" t="s">
        <v>1992</v>
      </c>
    </row>
    <row r="6529" spans="1:5" x14ac:dyDescent="0.2">
      <c r="A6529" s="126">
        <v>6468</v>
      </c>
      <c r="B6529" s="1832"/>
      <c r="D6529" s="2" t="str">
        <f t="shared" si="101"/>
        <v>OK</v>
      </c>
      <c r="E6529" s="4" t="s">
        <v>1992</v>
      </c>
    </row>
    <row r="6530" spans="1:5" x14ac:dyDescent="0.2">
      <c r="A6530" s="126">
        <v>6469</v>
      </c>
      <c r="B6530" s="1832"/>
      <c r="D6530" s="2" t="str">
        <f t="shared" si="101"/>
        <v>OK</v>
      </c>
      <c r="E6530" s="4" t="s">
        <v>1992</v>
      </c>
    </row>
    <row r="6531" spans="1:5" x14ac:dyDescent="0.2">
      <c r="A6531" s="126">
        <v>6470</v>
      </c>
      <c r="B6531" s="1832"/>
      <c r="D6531" s="2" t="str">
        <f t="shared" si="101"/>
        <v>OK</v>
      </c>
      <c r="E6531" s="4" t="s">
        <v>1992</v>
      </c>
    </row>
    <row r="6532" spans="1:5" x14ac:dyDescent="0.2">
      <c r="A6532" s="126">
        <v>6471</v>
      </c>
      <c r="B6532" s="1832"/>
      <c r="D6532" s="2" t="str">
        <f t="shared" si="101"/>
        <v>OK</v>
      </c>
      <c r="E6532" s="4" t="s">
        <v>1992</v>
      </c>
    </row>
    <row r="6533" spans="1:5" x14ac:dyDescent="0.2">
      <c r="A6533" s="126">
        <v>6472</v>
      </c>
      <c r="B6533" s="1832"/>
      <c r="D6533" s="2" t="str">
        <f t="shared" si="101"/>
        <v>OK</v>
      </c>
      <c r="E6533" s="4" t="s">
        <v>1992</v>
      </c>
    </row>
    <row r="6534" spans="1:5" x14ac:dyDescent="0.2">
      <c r="A6534" s="126">
        <v>6473</v>
      </c>
      <c r="B6534" s="1832"/>
      <c r="D6534" s="2" t="str">
        <f t="shared" si="101"/>
        <v>OK</v>
      </c>
      <c r="E6534" s="4" t="s">
        <v>1992</v>
      </c>
    </row>
    <row r="6535" spans="1:5" x14ac:dyDescent="0.2">
      <c r="A6535" s="126">
        <v>6474</v>
      </c>
      <c r="B6535" s="1832"/>
      <c r="D6535" s="2" t="str">
        <f t="shared" si="101"/>
        <v>OK</v>
      </c>
      <c r="E6535" s="4" t="s">
        <v>1992</v>
      </c>
    </row>
    <row r="6536" spans="1:5" x14ac:dyDescent="0.2">
      <c r="A6536" s="126">
        <v>6475</v>
      </c>
      <c r="B6536" s="1832"/>
      <c r="D6536" s="2" t="str">
        <f t="shared" si="101"/>
        <v>OK</v>
      </c>
      <c r="E6536" s="4" t="s">
        <v>1992</v>
      </c>
    </row>
    <row r="6537" spans="1:5" x14ac:dyDescent="0.2">
      <c r="A6537" s="126">
        <v>6476</v>
      </c>
      <c r="B6537" s="1832"/>
      <c r="D6537" s="2" t="str">
        <f t="shared" si="101"/>
        <v>OK</v>
      </c>
      <c r="E6537" s="4" t="s">
        <v>1992</v>
      </c>
    </row>
    <row r="6538" spans="1:5" x14ac:dyDescent="0.2">
      <c r="A6538" s="126">
        <v>6477</v>
      </c>
      <c r="B6538" s="1832"/>
      <c r="D6538" s="2" t="str">
        <f t="shared" si="101"/>
        <v>OK</v>
      </c>
      <c r="E6538" s="4" t="s">
        <v>1992</v>
      </c>
    </row>
    <row r="6539" spans="1:5" x14ac:dyDescent="0.2">
      <c r="A6539" s="126">
        <v>6478</v>
      </c>
      <c r="B6539" s="1832"/>
      <c r="D6539" s="2" t="str">
        <f t="shared" si="101"/>
        <v>OK</v>
      </c>
      <c r="E6539" s="4" t="s">
        <v>1992</v>
      </c>
    </row>
    <row r="6540" spans="1:5" x14ac:dyDescent="0.2">
      <c r="A6540" s="126">
        <v>6479</v>
      </c>
      <c r="B6540" s="1832"/>
      <c r="D6540" s="2" t="str">
        <f t="shared" si="101"/>
        <v>OK</v>
      </c>
      <c r="E6540" s="4" t="s">
        <v>1992</v>
      </c>
    </row>
    <row r="6541" spans="1:5" x14ac:dyDescent="0.2">
      <c r="A6541" s="126">
        <v>6480</v>
      </c>
      <c r="B6541" s="1832"/>
      <c r="D6541" s="2" t="str">
        <f t="shared" si="101"/>
        <v>OK</v>
      </c>
      <c r="E6541" s="4" t="s">
        <v>1992</v>
      </c>
    </row>
    <row r="6542" spans="1:5" x14ac:dyDescent="0.2">
      <c r="A6542" s="126">
        <v>6481</v>
      </c>
      <c r="B6542" s="1832"/>
      <c r="D6542" s="2" t="str">
        <f t="shared" si="101"/>
        <v>OK</v>
      </c>
      <c r="E6542" s="4" t="s">
        <v>1992</v>
      </c>
    </row>
    <row r="6543" spans="1:5" x14ac:dyDescent="0.2">
      <c r="A6543" s="126">
        <v>6482</v>
      </c>
      <c r="B6543" s="1832"/>
      <c r="D6543" s="2" t="str">
        <f t="shared" si="101"/>
        <v>OK</v>
      </c>
      <c r="E6543" s="4" t="s">
        <v>1992</v>
      </c>
    </row>
    <row r="6544" spans="1:5" x14ac:dyDescent="0.2">
      <c r="A6544" s="126">
        <v>6483</v>
      </c>
      <c r="B6544" s="1832"/>
      <c r="D6544" s="2" t="str">
        <f t="shared" si="101"/>
        <v>OK</v>
      </c>
      <c r="E6544" s="4" t="s">
        <v>1992</v>
      </c>
    </row>
    <row r="6545" spans="1:5" x14ac:dyDescent="0.2">
      <c r="A6545" s="126">
        <v>6484</v>
      </c>
      <c r="B6545" s="1832"/>
      <c r="D6545" s="2" t="str">
        <f t="shared" si="101"/>
        <v>OK</v>
      </c>
      <c r="E6545" s="4" t="s">
        <v>1992</v>
      </c>
    </row>
    <row r="6546" spans="1:5" x14ac:dyDescent="0.2">
      <c r="A6546" s="126">
        <v>6485</v>
      </c>
      <c r="B6546" s="1832"/>
      <c r="D6546" s="2" t="str">
        <f t="shared" si="101"/>
        <v>OK</v>
      </c>
      <c r="E6546" s="4" t="s">
        <v>1992</v>
      </c>
    </row>
    <row r="6547" spans="1:5" x14ac:dyDescent="0.2">
      <c r="A6547" s="126">
        <v>6486</v>
      </c>
      <c r="B6547" s="1832"/>
      <c r="D6547" s="2" t="str">
        <f t="shared" si="101"/>
        <v>OK</v>
      </c>
      <c r="E6547" s="4" t="s">
        <v>1992</v>
      </c>
    </row>
    <row r="6548" spans="1:5" x14ac:dyDescent="0.2">
      <c r="A6548" s="126">
        <v>6487</v>
      </c>
      <c r="B6548" s="1832"/>
      <c r="D6548" s="2" t="str">
        <f t="shared" si="101"/>
        <v>OK</v>
      </c>
      <c r="E6548" s="4" t="s">
        <v>1992</v>
      </c>
    </row>
    <row r="6549" spans="1:5" x14ac:dyDescent="0.2">
      <c r="A6549" s="126">
        <v>6488</v>
      </c>
      <c r="B6549" s="1832"/>
      <c r="D6549" s="2" t="str">
        <f t="shared" si="101"/>
        <v>OK</v>
      </c>
      <c r="E6549" s="4" t="s">
        <v>1992</v>
      </c>
    </row>
    <row r="6550" spans="1:5" x14ac:dyDescent="0.2">
      <c r="A6550" s="126">
        <v>6489</v>
      </c>
      <c r="B6550" s="1832"/>
      <c r="D6550" s="2" t="str">
        <f t="shared" si="101"/>
        <v>OK</v>
      </c>
      <c r="E6550" s="4" t="s">
        <v>1992</v>
      </c>
    </row>
    <row r="6551" spans="1:5" x14ac:dyDescent="0.2">
      <c r="A6551" s="126">
        <v>6490</v>
      </c>
      <c r="B6551" s="1832"/>
      <c r="D6551" s="2" t="str">
        <f t="shared" si="101"/>
        <v>OK</v>
      </c>
      <c r="E6551" s="4" t="s">
        <v>1992</v>
      </c>
    </row>
    <row r="6552" spans="1:5" x14ac:dyDescent="0.2">
      <c r="A6552" s="126">
        <v>6491</v>
      </c>
      <c r="B6552" s="1832"/>
      <c r="D6552" s="2" t="str">
        <f t="shared" si="101"/>
        <v>OK</v>
      </c>
      <c r="E6552" s="4" t="s">
        <v>1992</v>
      </c>
    </row>
    <row r="6553" spans="1:5" x14ac:dyDescent="0.2">
      <c r="A6553" s="126">
        <v>6492</v>
      </c>
      <c r="B6553" s="1832"/>
      <c r="D6553" s="2" t="str">
        <f t="shared" si="101"/>
        <v>OK</v>
      </c>
      <c r="E6553" s="4" t="s">
        <v>1992</v>
      </c>
    </row>
    <row r="6554" spans="1:5" x14ac:dyDescent="0.2">
      <c r="A6554" s="126">
        <v>6493</v>
      </c>
      <c r="B6554" s="1832"/>
      <c r="D6554" s="2" t="str">
        <f t="shared" si="101"/>
        <v>OK</v>
      </c>
      <c r="E6554" s="4" t="s">
        <v>1992</v>
      </c>
    </row>
    <row r="6555" spans="1:5" x14ac:dyDescent="0.2">
      <c r="A6555" s="126">
        <v>6494</v>
      </c>
      <c r="B6555" s="1832"/>
      <c r="D6555" s="2" t="str">
        <f t="shared" si="101"/>
        <v>OK</v>
      </c>
      <c r="E6555" s="4" t="s">
        <v>1992</v>
      </c>
    </row>
    <row r="6556" spans="1:5" x14ac:dyDescent="0.2">
      <c r="A6556" s="126">
        <v>6495</v>
      </c>
      <c r="B6556" s="1832"/>
      <c r="D6556" s="2" t="str">
        <f t="shared" si="101"/>
        <v>OK</v>
      </c>
      <c r="E6556" s="4" t="s">
        <v>1992</v>
      </c>
    </row>
    <row r="6557" spans="1:5" x14ac:dyDescent="0.2">
      <c r="A6557" s="126">
        <v>6496</v>
      </c>
      <c r="B6557" s="1832"/>
      <c r="D6557" s="2" t="str">
        <f t="shared" si="101"/>
        <v>OK</v>
      </c>
      <c r="E6557" s="4" t="s">
        <v>1992</v>
      </c>
    </row>
    <row r="6558" spans="1:5" x14ac:dyDescent="0.2">
      <c r="A6558" s="126">
        <v>6497</v>
      </c>
      <c r="B6558" s="1832"/>
      <c r="D6558" s="2" t="str">
        <f t="shared" si="101"/>
        <v>OK</v>
      </c>
      <c r="E6558" s="4" t="s">
        <v>1992</v>
      </c>
    </row>
    <row r="6559" spans="1:5" x14ac:dyDescent="0.2">
      <c r="A6559" s="126">
        <v>6498</v>
      </c>
      <c r="B6559" s="1832"/>
      <c r="D6559" s="2" t="str">
        <f t="shared" si="101"/>
        <v>OK</v>
      </c>
      <c r="E6559" s="4" t="s">
        <v>1992</v>
      </c>
    </row>
    <row r="6560" spans="1:5" x14ac:dyDescent="0.2">
      <c r="A6560" s="126">
        <v>6499</v>
      </c>
      <c r="B6560" s="1832"/>
      <c r="D6560" s="2" t="str">
        <f t="shared" si="101"/>
        <v>OK</v>
      </c>
      <c r="E6560" s="4" t="s">
        <v>1992</v>
      </c>
    </row>
    <row r="6561" spans="1:5" x14ac:dyDescent="0.2">
      <c r="A6561" s="126">
        <v>6500</v>
      </c>
      <c r="B6561" s="1832"/>
      <c r="D6561" s="2" t="str">
        <f t="shared" si="101"/>
        <v>OK</v>
      </c>
      <c r="E6561" s="4" t="s">
        <v>1992</v>
      </c>
    </row>
    <row r="6562" spans="1:5" x14ac:dyDescent="0.2">
      <c r="A6562" s="126">
        <v>6501</v>
      </c>
      <c r="B6562" s="1832"/>
      <c r="D6562" s="2" t="str">
        <f t="shared" si="101"/>
        <v>OK</v>
      </c>
      <c r="E6562" s="4" t="s">
        <v>1992</v>
      </c>
    </row>
    <row r="6563" spans="1:5" x14ac:dyDescent="0.2">
      <c r="A6563" s="126">
        <v>6502</v>
      </c>
      <c r="B6563" s="1832"/>
      <c r="D6563" s="2" t="str">
        <f t="shared" si="101"/>
        <v>OK</v>
      </c>
      <c r="E6563" s="4" t="s">
        <v>1992</v>
      </c>
    </row>
    <row r="6564" spans="1:5" x14ac:dyDescent="0.2">
      <c r="A6564" s="126">
        <v>6503</v>
      </c>
      <c r="B6564" s="1832"/>
      <c r="D6564" s="2" t="str">
        <f t="shared" si="101"/>
        <v>OK</v>
      </c>
      <c r="E6564" s="4" t="s">
        <v>1992</v>
      </c>
    </row>
    <row r="6565" spans="1:5" x14ac:dyDescent="0.2">
      <c r="A6565" s="126">
        <v>6504</v>
      </c>
      <c r="B6565" s="1832"/>
      <c r="D6565" s="2" t="str">
        <f t="shared" si="101"/>
        <v>OK</v>
      </c>
      <c r="E6565" s="4" t="s">
        <v>1992</v>
      </c>
    </row>
    <row r="6566" spans="1:5" x14ac:dyDescent="0.2">
      <c r="A6566" s="126">
        <v>6505</v>
      </c>
      <c r="B6566" s="1832"/>
      <c r="D6566" s="2" t="str">
        <f t="shared" si="101"/>
        <v>OK</v>
      </c>
      <c r="E6566" s="4" t="s">
        <v>1992</v>
      </c>
    </row>
    <row r="6567" spans="1:5" x14ac:dyDescent="0.2">
      <c r="A6567" s="126">
        <v>6506</v>
      </c>
      <c r="B6567" s="1832"/>
      <c r="D6567" s="2" t="str">
        <f t="shared" si="101"/>
        <v>OK</v>
      </c>
      <c r="E6567" s="4" t="s">
        <v>1992</v>
      </c>
    </row>
    <row r="6568" spans="1:5" x14ac:dyDescent="0.2">
      <c r="A6568" s="126">
        <v>6507</v>
      </c>
      <c r="B6568" s="1832"/>
      <c r="D6568" s="2" t="str">
        <f t="shared" si="101"/>
        <v>OK</v>
      </c>
      <c r="E6568" s="4" t="s">
        <v>1992</v>
      </c>
    </row>
    <row r="6569" spans="1:5" x14ac:dyDescent="0.2">
      <c r="A6569" s="126">
        <v>6508</v>
      </c>
      <c r="B6569" s="1832"/>
      <c r="D6569" s="2" t="str">
        <f t="shared" si="101"/>
        <v>OK</v>
      </c>
      <c r="E6569" s="4" t="s">
        <v>1992</v>
      </c>
    </row>
    <row r="6570" spans="1:5" x14ac:dyDescent="0.2">
      <c r="A6570" s="126">
        <v>6509</v>
      </c>
      <c r="B6570" s="1832"/>
      <c r="D6570" s="2" t="str">
        <f t="shared" si="101"/>
        <v>OK</v>
      </c>
      <c r="E6570" s="4" t="s">
        <v>1992</v>
      </c>
    </row>
    <row r="6571" spans="1:5" x14ac:dyDescent="0.2">
      <c r="A6571" s="126">
        <v>6510</v>
      </c>
      <c r="B6571" s="1832"/>
      <c r="D6571" s="2" t="str">
        <f t="shared" si="101"/>
        <v>OK</v>
      </c>
      <c r="E6571" s="4" t="s">
        <v>1992</v>
      </c>
    </row>
    <row r="6572" spans="1:5" x14ac:dyDescent="0.2">
      <c r="A6572" s="126">
        <v>6511</v>
      </c>
      <c r="B6572" s="1832"/>
      <c r="D6572" s="2" t="str">
        <f t="shared" si="101"/>
        <v>OK</v>
      </c>
      <c r="E6572" s="4" t="s">
        <v>1992</v>
      </c>
    </row>
    <row r="6573" spans="1:5" x14ac:dyDescent="0.2">
      <c r="A6573" s="126">
        <v>6512</v>
      </c>
      <c r="B6573" s="1832"/>
      <c r="D6573" s="2" t="str">
        <f t="shared" si="101"/>
        <v>OK</v>
      </c>
      <c r="E6573" s="4" t="s">
        <v>1992</v>
      </c>
    </row>
    <row r="6574" spans="1:5" x14ac:dyDescent="0.2">
      <c r="A6574" s="126">
        <v>6513</v>
      </c>
      <c r="B6574" s="1832"/>
      <c r="D6574" s="2" t="str">
        <f t="shared" si="101"/>
        <v>OK</v>
      </c>
      <c r="E6574" s="4" t="s">
        <v>1992</v>
      </c>
    </row>
    <row r="6575" spans="1:5" x14ac:dyDescent="0.2">
      <c r="A6575" s="126">
        <v>6514</v>
      </c>
      <c r="B6575" s="1832"/>
      <c r="D6575" s="2" t="str">
        <f t="shared" si="101"/>
        <v>OK</v>
      </c>
      <c r="E6575" s="4" t="s">
        <v>1992</v>
      </c>
    </row>
    <row r="6576" spans="1:5" x14ac:dyDescent="0.2">
      <c r="A6576" s="126">
        <v>6515</v>
      </c>
      <c r="B6576" s="1832"/>
      <c r="D6576" s="2" t="str">
        <f t="shared" si="101"/>
        <v>OK</v>
      </c>
      <c r="E6576" s="4" t="s">
        <v>1992</v>
      </c>
    </row>
    <row r="6577" spans="1:5" x14ac:dyDescent="0.2">
      <c r="A6577" s="126">
        <v>6516</v>
      </c>
      <c r="B6577" s="1832"/>
      <c r="D6577" s="2" t="str">
        <f t="shared" si="101"/>
        <v>OK</v>
      </c>
      <c r="E6577" s="4" t="s">
        <v>1992</v>
      </c>
    </row>
    <row r="6578" spans="1:5" x14ac:dyDescent="0.2">
      <c r="A6578" s="126">
        <v>6517</v>
      </c>
      <c r="B6578" s="1832"/>
      <c r="D6578" s="2" t="str">
        <f t="shared" si="101"/>
        <v>OK</v>
      </c>
      <c r="E6578" s="4" t="s">
        <v>1992</v>
      </c>
    </row>
    <row r="6579" spans="1:5" x14ac:dyDescent="0.2">
      <c r="A6579" s="126">
        <v>6518</v>
      </c>
      <c r="B6579" s="1832"/>
      <c r="D6579" s="2" t="str">
        <f t="shared" si="101"/>
        <v>OK</v>
      </c>
      <c r="E6579" s="4" t="s">
        <v>1992</v>
      </c>
    </row>
    <row r="6580" spans="1:5" x14ac:dyDescent="0.2">
      <c r="A6580" s="126">
        <v>6519</v>
      </c>
      <c r="B6580" s="1832"/>
      <c r="D6580" s="2" t="str">
        <f t="shared" si="101"/>
        <v>OK</v>
      </c>
      <c r="E6580" s="4" t="s">
        <v>1992</v>
      </c>
    </row>
    <row r="6581" spans="1:5" x14ac:dyDescent="0.2">
      <c r="A6581" s="126">
        <v>6520</v>
      </c>
      <c r="B6581" s="1832"/>
      <c r="D6581" s="2" t="str">
        <f t="shared" si="101"/>
        <v>OK</v>
      </c>
      <c r="E6581" s="4" t="s">
        <v>1992</v>
      </c>
    </row>
    <row r="6582" spans="1:5" x14ac:dyDescent="0.2">
      <c r="A6582" s="126">
        <v>6521</v>
      </c>
      <c r="B6582" s="1832"/>
      <c r="D6582" s="2" t="str">
        <f t="shared" si="101"/>
        <v>OK</v>
      </c>
      <c r="E6582" s="4" t="s">
        <v>1992</v>
      </c>
    </row>
    <row r="6583" spans="1:5" x14ac:dyDescent="0.2">
      <c r="A6583" s="126">
        <v>6522</v>
      </c>
      <c r="B6583" s="1832"/>
      <c r="D6583" s="2" t="str">
        <f t="shared" si="101"/>
        <v>OK</v>
      </c>
      <c r="E6583" s="4" t="s">
        <v>1992</v>
      </c>
    </row>
    <row r="6584" spans="1:5" x14ac:dyDescent="0.2">
      <c r="A6584" s="126">
        <v>6523</v>
      </c>
      <c r="B6584" s="1832"/>
      <c r="D6584" s="2" t="str">
        <f t="shared" si="101"/>
        <v>OK</v>
      </c>
      <c r="E6584" s="4" t="s">
        <v>1992</v>
      </c>
    </row>
    <row r="6585" spans="1:5" x14ac:dyDescent="0.2">
      <c r="A6585" s="126">
        <v>6524</v>
      </c>
      <c r="B6585" s="1832"/>
      <c r="D6585" s="2" t="str">
        <f t="shared" si="101"/>
        <v>OK</v>
      </c>
      <c r="E6585" s="4" t="s">
        <v>1992</v>
      </c>
    </row>
    <row r="6586" spans="1:5" x14ac:dyDescent="0.2">
      <c r="A6586" s="126">
        <v>6525</v>
      </c>
      <c r="B6586" s="1832"/>
      <c r="D6586" s="2" t="str">
        <f t="shared" si="101"/>
        <v>OK</v>
      </c>
      <c r="E6586" s="4" t="s">
        <v>1992</v>
      </c>
    </row>
    <row r="6587" spans="1:5" x14ac:dyDescent="0.2">
      <c r="A6587" s="126">
        <v>6526</v>
      </c>
      <c r="B6587" s="1832"/>
      <c r="D6587" s="2" t="str">
        <f t="shared" si="101"/>
        <v>OK</v>
      </c>
      <c r="E6587" s="4" t="s">
        <v>1992</v>
      </c>
    </row>
    <row r="6588" spans="1:5" x14ac:dyDescent="0.2">
      <c r="A6588" s="126">
        <v>6527</v>
      </c>
      <c r="B6588" s="1832"/>
      <c r="D6588" s="2" t="str">
        <f t="shared" si="101"/>
        <v>OK</v>
      </c>
      <c r="E6588" s="4" t="s">
        <v>1992</v>
      </c>
    </row>
    <row r="6589" spans="1:5" x14ac:dyDescent="0.2">
      <c r="A6589" s="126">
        <v>6528</v>
      </c>
      <c r="B6589" s="1832"/>
      <c r="D6589" s="2" t="str">
        <f t="shared" si="101"/>
        <v>OK</v>
      </c>
      <c r="E6589" s="4" t="s">
        <v>1992</v>
      </c>
    </row>
    <row r="6590" spans="1:5" x14ac:dyDescent="0.2">
      <c r="A6590" s="126">
        <v>6529</v>
      </c>
      <c r="B6590" s="1832"/>
      <c r="D6590" s="2" t="str">
        <f t="shared" si="101"/>
        <v>OK</v>
      </c>
      <c r="E6590" s="4" t="s">
        <v>1992</v>
      </c>
    </row>
    <row r="6591" spans="1:5" x14ac:dyDescent="0.2">
      <c r="A6591" s="126">
        <v>6530</v>
      </c>
      <c r="B6591" s="1832"/>
      <c r="D6591" s="2" t="str">
        <f t="shared" ref="D6591:D6654" si="102">IF(ISBLANK(B6591),"OK",IF(A6591-B6591=0,"OK","Error?"))</f>
        <v>OK</v>
      </c>
      <c r="E6591" s="4" t="s">
        <v>1992</v>
      </c>
    </row>
    <row r="6592" spans="1:5" x14ac:dyDescent="0.2">
      <c r="A6592" s="126">
        <v>6531</v>
      </c>
      <c r="B6592" s="1832"/>
      <c r="D6592" s="2" t="str">
        <f t="shared" si="102"/>
        <v>OK</v>
      </c>
      <c r="E6592" s="4" t="s">
        <v>1992</v>
      </c>
    </row>
    <row r="6593" spans="1:5" x14ac:dyDescent="0.2">
      <c r="A6593" s="126">
        <v>6532</v>
      </c>
      <c r="B6593" s="1832"/>
      <c r="D6593" s="2" t="str">
        <f t="shared" si="102"/>
        <v>OK</v>
      </c>
      <c r="E6593" s="4" t="s">
        <v>1992</v>
      </c>
    </row>
    <row r="6594" spans="1:5" x14ac:dyDescent="0.2">
      <c r="A6594" s="126">
        <v>6533</v>
      </c>
      <c r="B6594" s="1832"/>
      <c r="D6594" s="2" t="str">
        <f t="shared" si="102"/>
        <v>OK</v>
      </c>
      <c r="E6594" s="4" t="s">
        <v>1992</v>
      </c>
    </row>
    <row r="6595" spans="1:5" x14ac:dyDescent="0.2">
      <c r="A6595" s="126">
        <v>6534</v>
      </c>
      <c r="B6595" s="1832"/>
      <c r="D6595" s="2" t="str">
        <f t="shared" si="102"/>
        <v>OK</v>
      </c>
      <c r="E6595" s="4" t="s">
        <v>1992</v>
      </c>
    </row>
    <row r="6596" spans="1:5" x14ac:dyDescent="0.2">
      <c r="A6596" s="126">
        <v>6535</v>
      </c>
      <c r="B6596" s="1832"/>
      <c r="D6596" s="2" t="str">
        <f t="shared" si="102"/>
        <v>OK</v>
      </c>
      <c r="E6596" s="4" t="s">
        <v>1992</v>
      </c>
    </row>
    <row r="6597" spans="1:5" x14ac:dyDescent="0.2">
      <c r="A6597" s="126">
        <v>6536</v>
      </c>
      <c r="B6597" s="1832"/>
      <c r="D6597" s="2" t="str">
        <f t="shared" si="102"/>
        <v>OK</v>
      </c>
      <c r="E6597" s="4" t="s">
        <v>1992</v>
      </c>
    </row>
    <row r="6598" spans="1:5" x14ac:dyDescent="0.2">
      <c r="A6598" s="126">
        <v>6537</v>
      </c>
      <c r="B6598" s="1832"/>
      <c r="D6598" s="2" t="str">
        <f t="shared" si="102"/>
        <v>OK</v>
      </c>
      <c r="E6598" s="4" t="s">
        <v>1992</v>
      </c>
    </row>
    <row r="6599" spans="1:5" x14ac:dyDescent="0.2">
      <c r="A6599" s="126">
        <v>6538</v>
      </c>
      <c r="B6599" s="1832"/>
      <c r="D6599" s="2" t="str">
        <f t="shared" si="102"/>
        <v>OK</v>
      </c>
      <c r="E6599" s="4" t="s">
        <v>1992</v>
      </c>
    </row>
    <row r="6600" spans="1:5" x14ac:dyDescent="0.2">
      <c r="A6600" s="126">
        <v>6539</v>
      </c>
      <c r="B6600" s="1832"/>
      <c r="D6600" s="2" t="str">
        <f t="shared" si="102"/>
        <v>OK</v>
      </c>
      <c r="E6600" s="4" t="s">
        <v>1992</v>
      </c>
    </row>
    <row r="6601" spans="1:5" x14ac:dyDescent="0.2">
      <c r="A6601" s="126">
        <v>6540</v>
      </c>
      <c r="B6601" s="1832"/>
      <c r="D6601" s="2" t="str">
        <f t="shared" si="102"/>
        <v>OK</v>
      </c>
      <c r="E6601" s="4" t="s">
        <v>1992</v>
      </c>
    </row>
    <row r="6602" spans="1:5" x14ac:dyDescent="0.2">
      <c r="A6602" s="126">
        <v>6541</v>
      </c>
      <c r="B6602" s="1832"/>
      <c r="D6602" s="2" t="str">
        <f t="shared" si="102"/>
        <v>OK</v>
      </c>
      <c r="E6602" s="4" t="s">
        <v>1992</v>
      </c>
    </row>
    <row r="6603" spans="1:5" x14ac:dyDescent="0.2">
      <c r="A6603" s="126">
        <v>6542</v>
      </c>
      <c r="B6603" s="1832"/>
      <c r="D6603" s="2" t="str">
        <f t="shared" si="102"/>
        <v>OK</v>
      </c>
      <c r="E6603" s="4" t="s">
        <v>1992</v>
      </c>
    </row>
    <row r="6604" spans="1:5" x14ac:dyDescent="0.2">
      <c r="A6604" s="126">
        <v>6543</v>
      </c>
      <c r="B6604" s="1832"/>
      <c r="D6604" s="2" t="str">
        <f t="shared" si="102"/>
        <v>OK</v>
      </c>
      <c r="E6604" s="4" t="s">
        <v>1992</v>
      </c>
    </row>
    <row r="6605" spans="1:5" x14ac:dyDescent="0.2">
      <c r="A6605" s="126">
        <v>6544</v>
      </c>
      <c r="B6605" s="1832"/>
      <c r="D6605" s="2" t="str">
        <f t="shared" si="102"/>
        <v>OK</v>
      </c>
      <c r="E6605" s="4" t="s">
        <v>1992</v>
      </c>
    </row>
    <row r="6606" spans="1:5" x14ac:dyDescent="0.2">
      <c r="A6606" s="126">
        <v>6545</v>
      </c>
      <c r="B6606" s="1832"/>
      <c r="D6606" s="2" t="str">
        <f t="shared" si="102"/>
        <v>OK</v>
      </c>
      <c r="E6606" s="4" t="s">
        <v>1992</v>
      </c>
    </row>
    <row r="6607" spans="1:5" x14ac:dyDescent="0.2">
      <c r="A6607" s="126">
        <v>6546</v>
      </c>
      <c r="B6607" s="1832"/>
      <c r="D6607" s="2" t="str">
        <f t="shared" si="102"/>
        <v>OK</v>
      </c>
      <c r="E6607" s="4" t="s">
        <v>1992</v>
      </c>
    </row>
    <row r="6608" spans="1:5" x14ac:dyDescent="0.2">
      <c r="A6608" s="126">
        <v>6547</v>
      </c>
      <c r="B6608" s="1832"/>
      <c r="D6608" s="2" t="str">
        <f t="shared" si="102"/>
        <v>OK</v>
      </c>
      <c r="E6608" s="4" t="s">
        <v>1992</v>
      </c>
    </row>
    <row r="6609" spans="1:5" x14ac:dyDescent="0.2">
      <c r="A6609" s="126">
        <v>6548</v>
      </c>
      <c r="B6609" s="1832"/>
      <c r="D6609" s="2" t="str">
        <f t="shared" si="102"/>
        <v>OK</v>
      </c>
      <c r="E6609" s="4" t="s">
        <v>1992</v>
      </c>
    </row>
    <row r="6610" spans="1:5" x14ac:dyDescent="0.2">
      <c r="A6610" s="126">
        <v>6549</v>
      </c>
      <c r="B6610" s="1832"/>
      <c r="D6610" s="2" t="str">
        <f t="shared" si="102"/>
        <v>OK</v>
      </c>
      <c r="E6610" s="4" t="s">
        <v>1992</v>
      </c>
    </row>
    <row r="6611" spans="1:5" x14ac:dyDescent="0.2">
      <c r="A6611" s="126">
        <v>6550</v>
      </c>
      <c r="B6611" s="1832"/>
      <c r="D6611" s="2" t="str">
        <f t="shared" si="102"/>
        <v>OK</v>
      </c>
      <c r="E6611" s="4" t="s">
        <v>1992</v>
      </c>
    </row>
    <row r="6612" spans="1:5" x14ac:dyDescent="0.2">
      <c r="A6612" s="126">
        <v>6551</v>
      </c>
      <c r="B6612" s="1832"/>
      <c r="D6612" s="2" t="str">
        <f t="shared" si="102"/>
        <v>OK</v>
      </c>
      <c r="E6612" s="4" t="s">
        <v>1992</v>
      </c>
    </row>
    <row r="6613" spans="1:5" x14ac:dyDescent="0.2">
      <c r="A6613" s="126">
        <v>6552</v>
      </c>
      <c r="B6613" s="1832"/>
      <c r="D6613" s="2" t="str">
        <f t="shared" si="102"/>
        <v>OK</v>
      </c>
      <c r="E6613" s="4" t="s">
        <v>1992</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1896</v>
      </c>
    </row>
    <row r="6842" spans="1:5" x14ac:dyDescent="0.2">
      <c r="A6842" s="126">
        <v>6781</v>
      </c>
      <c r="B6842" s="1832"/>
      <c r="D6842" s="2" t="str">
        <f t="shared" si="105"/>
        <v>OK</v>
      </c>
      <c r="E6842" s="1" t="s">
        <v>1896</v>
      </c>
    </row>
    <row r="6843" spans="1:5" x14ac:dyDescent="0.2">
      <c r="A6843" s="126">
        <v>6782</v>
      </c>
      <c r="B6843" s="1832"/>
      <c r="D6843" s="2" t="str">
        <f t="shared" si="105"/>
        <v>OK</v>
      </c>
      <c r="E6843" s="1" t="s">
        <v>1896</v>
      </c>
    </row>
    <row r="6844" spans="1:5" x14ac:dyDescent="0.2">
      <c r="A6844">
        <v>6783</v>
      </c>
      <c r="B6844" s="1832">
        <f>'Expenditures 15-22'!I5</f>
        <v>0</v>
      </c>
      <c r="D6844" s="2" t="str">
        <f t="shared" si="105"/>
        <v>Error?</v>
      </c>
    </row>
    <row r="6845" spans="1:5" x14ac:dyDescent="0.2">
      <c r="A6845">
        <v>6784</v>
      </c>
      <c r="B6845" s="1832">
        <f>'Expenditures 15-22'!J5</f>
        <v>2762</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385083</v>
      </c>
      <c r="D6880" s="2" t="str">
        <f t="shared" si="106"/>
        <v>Error?</v>
      </c>
    </row>
    <row r="6881" spans="1:4" x14ac:dyDescent="0.2">
      <c r="A6881">
        <v>6820</v>
      </c>
      <c r="B6881" s="1832">
        <f>'Expenditures 15-22'!K22</f>
        <v>385083</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2762</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294443</v>
      </c>
      <c r="D6983" s="2" t="str">
        <f t="shared" si="108"/>
        <v>Error?</v>
      </c>
    </row>
    <row r="6984" spans="1:4" x14ac:dyDescent="0.2">
      <c r="A6984">
        <v>6923</v>
      </c>
      <c r="B6984" s="1832">
        <f>'Expenditures 15-22'!K86</f>
        <v>294443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294443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2762</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43727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121606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43727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43727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43727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43727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43727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43727</v>
      </c>
      <c r="D7224" s="2" t="str">
        <f t="shared" si="111"/>
        <v>Error?</v>
      </c>
    </row>
    <row r="7225" spans="1:4" x14ac:dyDescent="0.2">
      <c r="A7225">
        <v>7164</v>
      </c>
      <c r="B7225" s="1832">
        <f>'Expenditures 15-22'!K343</f>
        <v>77879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529266</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529266</v>
      </c>
      <c r="D7600" s="2" t="str">
        <f t="shared" si="122"/>
        <v>Error?</v>
      </c>
      <c r="E7600" s="2" t="s">
        <v>19</v>
      </c>
    </row>
    <row r="7601" spans="1:5" x14ac:dyDescent="0.2">
      <c r="A7601">
        <f t="shared" si="123"/>
        <v>7540</v>
      </c>
      <c r="B7601" s="1832">
        <f>'Cap Outlay Deprec 26'!H6</f>
        <v>21170</v>
      </c>
      <c r="D7601" s="2" t="str">
        <f t="shared" si="122"/>
        <v>Error?</v>
      </c>
      <c r="E7601" s="2" t="s">
        <v>19</v>
      </c>
    </row>
    <row r="7602" spans="1:5" x14ac:dyDescent="0.2">
      <c r="A7602">
        <f t="shared" si="123"/>
        <v>7541</v>
      </c>
      <c r="B7602" s="1832">
        <f>'Cap Outlay Deprec 26'!I6</f>
        <v>10585</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31755</v>
      </c>
      <c r="D7604" s="2" t="str">
        <f t="shared" si="122"/>
        <v>Error?</v>
      </c>
      <c r="E7604" s="2" t="s">
        <v>19</v>
      </c>
    </row>
    <row r="7605" spans="1:5" x14ac:dyDescent="0.2">
      <c r="A7605">
        <f t="shared" si="123"/>
        <v>7544</v>
      </c>
      <c r="B7605" s="1832">
        <f>'Cap Outlay Deprec 26'!L6</f>
        <v>497511</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1132029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1993</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1993</v>
      </c>
    </row>
    <row r="7641" spans="1:6" x14ac:dyDescent="0.2">
      <c r="A7641" s="126">
        <f t="shared" si="125"/>
        <v>7580</v>
      </c>
      <c r="B7641" s="1833"/>
      <c r="D7641" s="2" t="str">
        <f t="shared" si="124"/>
        <v>OK</v>
      </c>
      <c r="E7641" s="4" t="s">
        <v>1993</v>
      </c>
    </row>
    <row r="7642" spans="1:6" x14ac:dyDescent="0.2">
      <c r="A7642" s="126">
        <f t="shared" si="125"/>
        <v>7581</v>
      </c>
      <c r="B7642" s="1833"/>
      <c r="D7642" s="2" t="str">
        <f t="shared" si="124"/>
        <v>OK</v>
      </c>
      <c r="E7642" s="4" t="s">
        <v>1993</v>
      </c>
    </row>
    <row r="7643" spans="1:6" x14ac:dyDescent="0.2">
      <c r="A7643" s="126">
        <f t="shared" si="125"/>
        <v>7582</v>
      </c>
      <c r="B7643" s="1833"/>
      <c r="D7643" s="2" t="str">
        <f t="shared" si="124"/>
        <v>OK</v>
      </c>
      <c r="E7643" s="4" t="s">
        <v>1993</v>
      </c>
    </row>
    <row r="7644" spans="1:6" x14ac:dyDescent="0.2">
      <c r="A7644" s="126">
        <f t="shared" si="125"/>
        <v>7583</v>
      </c>
      <c r="B7644" s="1833"/>
      <c r="D7644" s="2" t="str">
        <f t="shared" si="124"/>
        <v>OK</v>
      </c>
      <c r="E7644" s="4" t="s">
        <v>1993</v>
      </c>
    </row>
    <row r="7645" spans="1:6" x14ac:dyDescent="0.2">
      <c r="A7645" s="126">
        <f t="shared" si="125"/>
        <v>7584</v>
      </c>
      <c r="B7645" s="1833"/>
      <c r="D7645" s="2" t="str">
        <f t="shared" si="124"/>
        <v>OK</v>
      </c>
      <c r="E7645" s="4" t="s">
        <v>1993</v>
      </c>
    </row>
    <row r="7646" spans="1:6" x14ac:dyDescent="0.2">
      <c r="A7646" s="126">
        <f t="shared" si="125"/>
        <v>7585</v>
      </c>
      <c r="B7646" s="1833"/>
      <c r="D7646" s="2" t="str">
        <f t="shared" si="124"/>
        <v>OK</v>
      </c>
      <c r="E7646" s="4" t="s">
        <v>1993</v>
      </c>
    </row>
    <row r="7647" spans="1:6" x14ac:dyDescent="0.2">
      <c r="A7647" s="126">
        <f t="shared" si="125"/>
        <v>7586</v>
      </c>
      <c r="B7647" s="1833"/>
      <c r="D7647" s="2" t="str">
        <f t="shared" si="124"/>
        <v>OK</v>
      </c>
      <c r="E7647" s="4" t="s">
        <v>1993</v>
      </c>
    </row>
    <row r="7648" spans="1:6" x14ac:dyDescent="0.2">
      <c r="A7648" s="126">
        <f t="shared" si="125"/>
        <v>7587</v>
      </c>
      <c r="B7648" s="1833"/>
      <c r="D7648" s="2" t="str">
        <f t="shared" si="124"/>
        <v>OK</v>
      </c>
      <c r="E7648" s="4" t="s">
        <v>1993</v>
      </c>
    </row>
    <row r="7649" spans="1:5" x14ac:dyDescent="0.2">
      <c r="A7649" s="126">
        <f t="shared" si="125"/>
        <v>7588</v>
      </c>
      <c r="B7649" s="1833"/>
      <c r="D7649" s="2" t="str">
        <f t="shared" si="124"/>
        <v>OK</v>
      </c>
      <c r="E7649" s="4" t="s">
        <v>1993</v>
      </c>
    </row>
    <row r="7650" spans="1:5" x14ac:dyDescent="0.2">
      <c r="A7650" s="126">
        <f t="shared" si="125"/>
        <v>7589</v>
      </c>
      <c r="B7650" s="1833"/>
      <c r="D7650" s="2" t="str">
        <f t="shared" si="124"/>
        <v>OK</v>
      </c>
      <c r="E7650" s="4" t="s">
        <v>1993</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117165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1995</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1824</v>
      </c>
    </row>
    <row r="7775" spans="1:5" x14ac:dyDescent="0.2">
      <c r="A7775">
        <v>7714</v>
      </c>
      <c r="B7775" s="1832">
        <f>'Expenditures 15-22'!H133</f>
        <v>0</v>
      </c>
      <c r="D7775" s="2" t="str">
        <f t="shared" si="127"/>
        <v>Error?</v>
      </c>
      <c r="E7775" s="4" t="s">
        <v>1824</v>
      </c>
    </row>
    <row r="7776" spans="1:5" x14ac:dyDescent="0.2">
      <c r="A7776">
        <v>7715</v>
      </c>
      <c r="B7776" s="1832">
        <f>'Expenditures 15-22'!K133</f>
        <v>0</v>
      </c>
      <c r="D7776" s="2" t="str">
        <f t="shared" si="127"/>
        <v>Error?</v>
      </c>
      <c r="E7776" s="4" t="s">
        <v>1824</v>
      </c>
    </row>
    <row r="7777" spans="1:5" x14ac:dyDescent="0.2">
      <c r="A7777">
        <v>7716</v>
      </c>
      <c r="B7777" s="1832">
        <f>'Expenditures 15-22'!H157</f>
        <v>0</v>
      </c>
      <c r="D7777" s="2" t="str">
        <f t="shared" si="127"/>
        <v>Error?</v>
      </c>
      <c r="E7777" s="4" t="s">
        <v>1824</v>
      </c>
    </row>
    <row r="7778" spans="1:5" x14ac:dyDescent="0.2">
      <c r="A7778">
        <v>7717</v>
      </c>
      <c r="B7778" s="1832">
        <f>'Expenditures 15-22'!K157</f>
        <v>0</v>
      </c>
      <c r="D7778" s="2" t="str">
        <f t="shared" si="127"/>
        <v>Error?</v>
      </c>
      <c r="E7778" s="4" t="s">
        <v>1824</v>
      </c>
    </row>
    <row r="7779" spans="1:5" x14ac:dyDescent="0.2">
      <c r="A7779">
        <v>7718</v>
      </c>
      <c r="B7779" s="1832">
        <f>'Expenditures 15-22'!H158</f>
        <v>0</v>
      </c>
      <c r="D7779" s="2" t="str">
        <f t="shared" si="127"/>
        <v>Error?</v>
      </c>
      <c r="E7779" s="4" t="s">
        <v>1824</v>
      </c>
    </row>
    <row r="7780" spans="1:5" x14ac:dyDescent="0.2">
      <c r="A7780">
        <v>7719</v>
      </c>
      <c r="B7780" s="1832">
        <f>'Expenditures 15-22'!K158</f>
        <v>0</v>
      </c>
      <c r="D7780" s="2" t="str">
        <f t="shared" si="127"/>
        <v>Error?</v>
      </c>
      <c r="E7780" s="4" t="s">
        <v>1824</v>
      </c>
    </row>
    <row r="7781" spans="1:5" x14ac:dyDescent="0.2">
      <c r="A7781">
        <v>7720</v>
      </c>
      <c r="B7781" s="1832">
        <f>'Expenditures 15-22'!H159</f>
        <v>0</v>
      </c>
      <c r="D7781" s="2" t="str">
        <f t="shared" si="127"/>
        <v>Error?</v>
      </c>
      <c r="E7781" s="4" t="s">
        <v>1824</v>
      </c>
    </row>
    <row r="7782" spans="1:5" x14ac:dyDescent="0.2">
      <c r="A7782">
        <v>7721</v>
      </c>
      <c r="B7782" s="1832">
        <f>'Expenditures 15-22'!K159</f>
        <v>0</v>
      </c>
      <c r="D7782" s="2" t="str">
        <f t="shared" si="127"/>
        <v>Error?</v>
      </c>
      <c r="E7782" s="4" t="s">
        <v>1824</v>
      </c>
    </row>
    <row r="7783" spans="1:5" x14ac:dyDescent="0.2">
      <c r="A7783">
        <v>7722</v>
      </c>
      <c r="B7783" s="1832">
        <f>'Expenditures 15-22'!D282</f>
        <v>0</v>
      </c>
      <c r="D7783" s="2" t="str">
        <f t="shared" si="127"/>
        <v>Error?</v>
      </c>
      <c r="E7783" s="4" t="s">
        <v>1824</v>
      </c>
    </row>
    <row r="7784" spans="1:5" x14ac:dyDescent="0.2">
      <c r="A7784">
        <v>7723</v>
      </c>
      <c r="B7784" s="1832">
        <f>'Expenditures 15-22'!K282</f>
        <v>0</v>
      </c>
      <c r="D7784" s="2" t="str">
        <f t="shared" si="127"/>
        <v>Error?</v>
      </c>
      <c r="E7784" s="4" t="s">
        <v>1824</v>
      </c>
    </row>
    <row r="7785" spans="1:5" x14ac:dyDescent="0.2">
      <c r="A7785">
        <v>7724</v>
      </c>
      <c r="B7785" s="1832">
        <f>'Expenditures 15-22'!H332</f>
        <v>0</v>
      </c>
      <c r="D7785" s="2" t="str">
        <f t="shared" si="127"/>
        <v>Error?</v>
      </c>
      <c r="E7785" s="4" t="s">
        <v>1824</v>
      </c>
    </row>
    <row r="7786" spans="1:5" x14ac:dyDescent="0.2">
      <c r="A7786">
        <v>7725</v>
      </c>
      <c r="B7786" s="1832">
        <f>'Expenditures 15-22'!K332</f>
        <v>0</v>
      </c>
      <c r="D7786" s="2" t="str">
        <f t="shared" si="127"/>
        <v>Error?</v>
      </c>
      <c r="E7786" s="4" t="s">
        <v>1824</v>
      </c>
    </row>
    <row r="7787" spans="1:5" x14ac:dyDescent="0.2">
      <c r="A7787">
        <v>7726</v>
      </c>
      <c r="B7787" s="1832">
        <f>'Expenditures 15-22'!H333</f>
        <v>0</v>
      </c>
      <c r="D7787" s="2" t="str">
        <f t="shared" si="127"/>
        <v>Error?</v>
      </c>
      <c r="E7787" s="4" t="s">
        <v>1824</v>
      </c>
    </row>
    <row r="7788" spans="1:5" x14ac:dyDescent="0.2">
      <c r="A7788">
        <v>7727</v>
      </c>
      <c r="B7788" s="1832">
        <f>'Expenditures 15-22'!K333</f>
        <v>0</v>
      </c>
      <c r="D7788" s="2" t="str">
        <f t="shared" si="127"/>
        <v>Error?</v>
      </c>
      <c r="E7788" s="4" t="s">
        <v>1824</v>
      </c>
    </row>
    <row r="7789" spans="1:5" x14ac:dyDescent="0.2">
      <c r="A7789">
        <v>7728</v>
      </c>
      <c r="B7789" s="1832">
        <f>'Expenditures 15-22'!H334</f>
        <v>0</v>
      </c>
      <c r="D7789" s="2" t="str">
        <f t="shared" si="127"/>
        <v>Error?</v>
      </c>
      <c r="E7789" s="4" t="s">
        <v>1824</v>
      </c>
    </row>
    <row r="7790" spans="1:5" x14ac:dyDescent="0.2">
      <c r="A7790">
        <v>7729</v>
      </c>
      <c r="B7790" s="1832">
        <f>'Expenditures 15-22'!K334</f>
        <v>0</v>
      </c>
      <c r="D7790" s="2" t="str">
        <f t="shared" si="127"/>
        <v>Error?</v>
      </c>
      <c r="E7790" s="4" t="s">
        <v>1824</v>
      </c>
    </row>
    <row r="7791" spans="1:5" x14ac:dyDescent="0.2">
      <c r="A7791">
        <v>7730</v>
      </c>
      <c r="B7791" s="1832">
        <f>'Expenditures 15-22'!H354</f>
        <v>0</v>
      </c>
      <c r="D7791" s="2" t="str">
        <f t="shared" si="127"/>
        <v>Error?</v>
      </c>
      <c r="E7791" s="4" t="s">
        <v>1824</v>
      </c>
    </row>
    <row r="7792" spans="1:5" x14ac:dyDescent="0.2">
      <c r="A7792">
        <v>7731</v>
      </c>
      <c r="B7792" s="1832">
        <f>'Expenditures 15-22'!K354</f>
        <v>0</v>
      </c>
      <c r="D7792" s="2" t="str">
        <f t="shared" si="127"/>
        <v>Error?</v>
      </c>
      <c r="E7792" s="4" t="s">
        <v>1824</v>
      </c>
    </row>
    <row r="7793" spans="1:5" x14ac:dyDescent="0.2">
      <c r="A7793">
        <v>7732</v>
      </c>
      <c r="B7793" s="1832">
        <f>'Expenditures 15-22'!H355</f>
        <v>0</v>
      </c>
      <c r="D7793" s="2" t="str">
        <f t="shared" si="127"/>
        <v>Error?</v>
      </c>
      <c r="E7793" s="4" t="s">
        <v>1824</v>
      </c>
    </row>
    <row r="7794" spans="1:5" x14ac:dyDescent="0.2">
      <c r="A7794">
        <v>7733</v>
      </c>
      <c r="B7794" s="1832">
        <f>'Expenditures 15-22'!K355</f>
        <v>0</v>
      </c>
      <c r="D7794" s="2" t="str">
        <f t="shared" si="127"/>
        <v>Error?</v>
      </c>
      <c r="E7794" s="4" t="s">
        <v>1824</v>
      </c>
    </row>
    <row r="7795" spans="1:5" x14ac:dyDescent="0.2">
      <c r="A7795">
        <v>7734</v>
      </c>
      <c r="B7795" s="1832">
        <f>'Expenditures 15-22'!E138</f>
        <v>0</v>
      </c>
      <c r="D7795" s="2" t="str">
        <f t="shared" si="127"/>
        <v>Error?</v>
      </c>
      <c r="E7795" s="4" t="s">
        <v>1824</v>
      </c>
    </row>
    <row r="7796" spans="1:5" x14ac:dyDescent="0.2">
      <c r="A7796">
        <v>7735</v>
      </c>
      <c r="B7796" s="1832">
        <f>'Acct Summary 7-8'!J15</f>
        <v>0</v>
      </c>
      <c r="D7796" s="2" t="str">
        <f t="shared" si="127"/>
        <v>Error?</v>
      </c>
      <c r="E7796" s="4" t="s">
        <v>1824</v>
      </c>
    </row>
    <row r="7797" spans="1:5" x14ac:dyDescent="0.2">
      <c r="A7797" s="126">
        <v>7736</v>
      </c>
      <c r="B7797" s="1832"/>
      <c r="D7797" s="2" t="str">
        <f t="shared" si="127"/>
        <v>OK</v>
      </c>
      <c r="E7797" s="4" t="s">
        <v>1977</v>
      </c>
    </row>
    <row r="7798" spans="1:5" x14ac:dyDescent="0.2">
      <c r="A7798" s="126">
        <v>7737</v>
      </c>
      <c r="B7798" s="1832"/>
      <c r="D7798" s="2" t="str">
        <f t="shared" si="127"/>
        <v>OK</v>
      </c>
      <c r="E7798" s="4" t="s">
        <v>1977</v>
      </c>
    </row>
    <row r="7799" spans="1:5" x14ac:dyDescent="0.2">
      <c r="A7799" s="126">
        <v>7738</v>
      </c>
      <c r="B7799" s="1832"/>
      <c r="D7799" s="2" t="str">
        <f t="shared" si="127"/>
        <v>OK</v>
      </c>
      <c r="E7799" s="4" t="s">
        <v>1977</v>
      </c>
    </row>
    <row r="7800" spans="1:5" x14ac:dyDescent="0.2">
      <c r="A7800">
        <v>7739</v>
      </c>
      <c r="B7800" s="1832">
        <f>'Rest Tax Levies-Tort Im 25'!K23</f>
        <v>0</v>
      </c>
      <c r="D7800" s="2" t="str">
        <f t="shared" si="127"/>
        <v>Error?</v>
      </c>
      <c r="E7800" s="4" t="s">
        <v>1964</v>
      </c>
    </row>
    <row r="7801" spans="1:5" x14ac:dyDescent="0.2">
      <c r="A7801">
        <v>7740</v>
      </c>
      <c r="B7801" s="1832">
        <f>'Revenues 9-14'!C120</f>
        <v>0</v>
      </c>
      <c r="D7801" s="2" t="str">
        <f t="shared" si="127"/>
        <v>Error?</v>
      </c>
      <c r="E7801" s="4" t="s">
        <v>1898</v>
      </c>
    </row>
    <row r="7802" spans="1:5" x14ac:dyDescent="0.2">
      <c r="A7802">
        <v>7741</v>
      </c>
      <c r="B7802" s="1832">
        <f>'Revenues 9-14'!D120</f>
        <v>0</v>
      </c>
      <c r="D7802" s="2" t="str">
        <f t="shared" si="127"/>
        <v>Error?</v>
      </c>
      <c r="E7802" s="4" t="s">
        <v>1898</v>
      </c>
    </row>
    <row r="7803" spans="1:5" x14ac:dyDescent="0.2">
      <c r="A7803">
        <v>7742</v>
      </c>
      <c r="B7803" s="1832">
        <f>'Revenues 9-14'!E120</f>
        <v>0</v>
      </c>
      <c r="D7803" s="2" t="str">
        <f t="shared" si="127"/>
        <v>Error?</v>
      </c>
      <c r="E7803" s="4" t="s">
        <v>1898</v>
      </c>
    </row>
    <row r="7804" spans="1:5" x14ac:dyDescent="0.2">
      <c r="A7804">
        <v>7743</v>
      </c>
      <c r="B7804" s="1832">
        <f>'Revenues 9-14'!F120</f>
        <v>0</v>
      </c>
      <c r="D7804" s="2" t="str">
        <f t="shared" si="127"/>
        <v>Error?</v>
      </c>
      <c r="E7804" s="4" t="s">
        <v>1898</v>
      </c>
    </row>
    <row r="7805" spans="1:5" x14ac:dyDescent="0.2">
      <c r="A7805">
        <v>7744</v>
      </c>
      <c r="B7805" s="1832">
        <f>'Revenues 9-14'!G120</f>
        <v>0</v>
      </c>
      <c r="D7805" s="2" t="str">
        <f t="shared" si="127"/>
        <v>Error?</v>
      </c>
      <c r="E7805" s="4" t="s">
        <v>1898</v>
      </c>
    </row>
    <row r="7806" spans="1:5" x14ac:dyDescent="0.2">
      <c r="A7806">
        <v>7745</v>
      </c>
      <c r="B7806" s="1832">
        <f>'Revenues 9-14'!H120</f>
        <v>0</v>
      </c>
      <c r="D7806" s="2" t="str">
        <f t="shared" si="127"/>
        <v>Error?</v>
      </c>
      <c r="E7806" s="4" t="s">
        <v>1898</v>
      </c>
    </row>
    <row r="7807" spans="1:5" x14ac:dyDescent="0.2">
      <c r="A7807">
        <v>7746</v>
      </c>
      <c r="B7807" s="1832">
        <f>'Revenues 9-14'!J120</f>
        <v>0</v>
      </c>
      <c r="D7807" s="2" t="str">
        <f t="shared" ref="D7807:D7821" si="128">IF(ISBLANK(B7807),"OK",IF(A7807-B7807=0,"OK","Error?"))</f>
        <v>Error?</v>
      </c>
      <c r="E7807" s="4" t="s">
        <v>1898</v>
      </c>
    </row>
    <row r="7808" spans="1:5" x14ac:dyDescent="0.2">
      <c r="A7808">
        <v>7747</v>
      </c>
      <c r="B7808" s="1832">
        <f>'Revenues 9-14'!K120</f>
        <v>0</v>
      </c>
      <c r="D7808" s="2" t="str">
        <f t="shared" si="128"/>
        <v>Error?</v>
      </c>
      <c r="E7808" s="4" t="s">
        <v>1898</v>
      </c>
    </row>
    <row r="7809" spans="1:5" x14ac:dyDescent="0.2">
      <c r="A7809">
        <v>7748</v>
      </c>
      <c r="B7809" s="1832">
        <f>'Revenues 9-14'!C261</f>
        <v>0</v>
      </c>
      <c r="D7809" s="2" t="str">
        <f t="shared" si="128"/>
        <v>Error?</v>
      </c>
      <c r="E7809" s="4" t="s">
        <v>1899</v>
      </c>
    </row>
    <row r="7810" spans="1:5" x14ac:dyDescent="0.2">
      <c r="A7810">
        <v>7749</v>
      </c>
      <c r="B7810" s="1832">
        <f>'Revenues 9-14'!D261</f>
        <v>0</v>
      </c>
      <c r="D7810" s="2" t="str">
        <f t="shared" si="128"/>
        <v>Error?</v>
      </c>
      <c r="E7810" s="4" t="s">
        <v>1899</v>
      </c>
    </row>
    <row r="7811" spans="1:5" x14ac:dyDescent="0.2">
      <c r="A7811">
        <v>7750</v>
      </c>
      <c r="B7811" s="1832">
        <f>'Revenues 9-14'!F261</f>
        <v>0</v>
      </c>
      <c r="D7811" s="2" t="str">
        <f t="shared" si="128"/>
        <v>Error?</v>
      </c>
      <c r="E7811" s="4" t="s">
        <v>1899</v>
      </c>
    </row>
    <row r="7812" spans="1:5" x14ac:dyDescent="0.2">
      <c r="A7812">
        <v>7751</v>
      </c>
      <c r="B7812" s="1832">
        <f>'Revenues 9-14'!G261</f>
        <v>0</v>
      </c>
      <c r="D7812" s="2" t="str">
        <f t="shared" si="128"/>
        <v>Error?</v>
      </c>
      <c r="E7812" s="4" t="s">
        <v>1899</v>
      </c>
    </row>
    <row r="7813" spans="1:5" x14ac:dyDescent="0.2">
      <c r="A7813">
        <v>7752</v>
      </c>
      <c r="B7813" s="1832">
        <f>'Revenues 9-14'!C262</f>
        <v>0</v>
      </c>
      <c r="D7813" s="2" t="str">
        <f t="shared" si="128"/>
        <v>Error?</v>
      </c>
      <c r="E7813" s="4" t="s">
        <v>1900</v>
      </c>
    </row>
    <row r="7814" spans="1:5" x14ac:dyDescent="0.2">
      <c r="A7814">
        <v>7753</v>
      </c>
      <c r="B7814" s="1832">
        <f>'Revenues 9-14'!D262</f>
        <v>0</v>
      </c>
      <c r="D7814" s="2" t="str">
        <f t="shared" si="128"/>
        <v>Error?</v>
      </c>
      <c r="E7814" s="4" t="s">
        <v>1900</v>
      </c>
    </row>
    <row r="7815" spans="1:5" x14ac:dyDescent="0.2">
      <c r="A7815">
        <v>7754</v>
      </c>
      <c r="B7815" s="1832">
        <f>'Revenues 9-14'!F262</f>
        <v>0</v>
      </c>
      <c r="D7815" s="2" t="str">
        <f t="shared" si="128"/>
        <v>Error?</v>
      </c>
      <c r="E7815" s="4" t="s">
        <v>1900</v>
      </c>
    </row>
    <row r="7816" spans="1:5" x14ac:dyDescent="0.2">
      <c r="A7816">
        <v>7755</v>
      </c>
      <c r="B7816" s="1832">
        <f>'Revenues 9-14'!G262</f>
        <v>0</v>
      </c>
      <c r="D7816" s="2" t="str">
        <f t="shared" si="128"/>
        <v>Error?</v>
      </c>
      <c r="E7816" s="4" t="s">
        <v>1900</v>
      </c>
    </row>
    <row r="7817" spans="1:5" x14ac:dyDescent="0.2">
      <c r="A7817">
        <v>7756</v>
      </c>
      <c r="B7817" s="1832">
        <f>'Short-Term Long-Term Debt 24'!C49</f>
        <v>13903405</v>
      </c>
      <c r="D7817" s="2" t="str">
        <f t="shared" si="128"/>
        <v>Error?</v>
      </c>
      <c r="E7817" s="4" t="s">
        <v>1964</v>
      </c>
    </row>
    <row r="7818" spans="1:5" x14ac:dyDescent="0.2">
      <c r="A7818">
        <v>7757</v>
      </c>
      <c r="B7818" s="1832">
        <f>'PCTC-OEPP 27-28'!F172</f>
        <v>607984.71</v>
      </c>
      <c r="D7818" s="2" t="str">
        <f t="shared" si="128"/>
        <v>Error?</v>
      </c>
      <c r="E7818" s="4" t="s">
        <v>1978</v>
      </c>
    </row>
    <row r="7819" spans="1:5" x14ac:dyDescent="0.2">
      <c r="A7819">
        <v>7758</v>
      </c>
      <c r="B7819" s="1832">
        <f>'PCTC-OEPP 27-28'!F173</f>
        <v>2040.41</v>
      </c>
      <c r="D7819" s="2" t="str">
        <f t="shared" si="128"/>
        <v>Error?</v>
      </c>
      <c r="E7819" s="4" t="s">
        <v>1978</v>
      </c>
    </row>
    <row r="7820" spans="1:5" x14ac:dyDescent="0.2">
      <c r="A7820">
        <v>7759</v>
      </c>
      <c r="B7820" s="1832">
        <f>'ICR Computation 30'!E40</f>
        <v>-681556</v>
      </c>
      <c r="D7820" s="2" t="str">
        <f t="shared" si="128"/>
        <v>Error?</v>
      </c>
    </row>
    <row r="7821" spans="1:5" x14ac:dyDescent="0.2">
      <c r="A7821">
        <v>7760</v>
      </c>
      <c r="B7821" s="1832">
        <f>'ICR Computation 30'!G40</f>
        <v>-681556</v>
      </c>
      <c r="D7821" s="2" t="str">
        <f t="shared" si="128"/>
        <v>Error?</v>
      </c>
    </row>
    <row r="7822" spans="1:5" x14ac:dyDescent="0.2">
      <c r="A7822" s="1">
        <v>7761</v>
      </c>
      <c r="B7822" s="1832">
        <f>'PCTC-OEPP 27-28'!F14</f>
        <v>19868392</v>
      </c>
      <c r="D7822" s="4" t="s">
        <v>1995</v>
      </c>
      <c r="E7822" s="4" t="s">
        <v>1996</v>
      </c>
    </row>
    <row r="7823" spans="1:5" x14ac:dyDescent="0.2">
      <c r="A7823" s="1">
        <v>7762</v>
      </c>
      <c r="B7823" s="1832">
        <f>'PCTC-OEPP 27-28'!F30</f>
        <v>0</v>
      </c>
      <c r="D7823" s="4" t="s">
        <v>1995</v>
      </c>
      <c r="E7823" s="4" t="s">
        <v>1996</v>
      </c>
    </row>
    <row r="7824" spans="1:5" x14ac:dyDescent="0.2">
      <c r="A7824" s="1">
        <v>7763</v>
      </c>
      <c r="B7824" s="1832">
        <f>'PCTC-OEPP 27-28'!F31</f>
        <v>0</v>
      </c>
      <c r="D7824" s="4" t="s">
        <v>1995</v>
      </c>
      <c r="E7824" s="4" t="s">
        <v>1996</v>
      </c>
    </row>
    <row r="7825" spans="1:5" x14ac:dyDescent="0.2">
      <c r="A7825" s="1">
        <v>7764</v>
      </c>
      <c r="B7825" s="1832">
        <f>'PCTC-OEPP 27-28'!F32</f>
        <v>0</v>
      </c>
      <c r="D7825" s="2" t="str">
        <f t="shared" ref="D7825:D7887" si="129">IF(ISBLANK(B7825),"OK",IF(A7825-B7825=0,"OK","Error?"))</f>
        <v>Error?</v>
      </c>
      <c r="E7825" s="4" t="s">
        <v>1996</v>
      </c>
    </row>
    <row r="7826" spans="1:5" x14ac:dyDescent="0.2">
      <c r="A7826">
        <v>7765</v>
      </c>
      <c r="B7826" s="1832">
        <f>'PCTC-OEPP 27-28'!F34</f>
        <v>0</v>
      </c>
      <c r="D7826" s="2" t="str">
        <f t="shared" si="129"/>
        <v>Error?</v>
      </c>
      <c r="E7826" s="4" t="s">
        <v>1996</v>
      </c>
    </row>
    <row r="7827" spans="1:5" x14ac:dyDescent="0.2">
      <c r="A7827">
        <v>7766</v>
      </c>
      <c r="B7827" s="1832">
        <f>'PCTC-OEPP 27-28'!F35</f>
        <v>0</v>
      </c>
      <c r="D7827" s="2" t="str">
        <f t="shared" si="129"/>
        <v>Error?</v>
      </c>
      <c r="E7827" s="4" t="s">
        <v>1996</v>
      </c>
    </row>
    <row r="7828" spans="1:5" x14ac:dyDescent="0.2">
      <c r="A7828">
        <v>7767</v>
      </c>
      <c r="B7828" s="1832">
        <f>'PCTC-OEPP 27-28'!F36</f>
        <v>0</v>
      </c>
      <c r="D7828" s="2" t="str">
        <f t="shared" si="129"/>
        <v>Error?</v>
      </c>
      <c r="E7828" s="4" t="s">
        <v>1996</v>
      </c>
    </row>
    <row r="7829" spans="1:5" x14ac:dyDescent="0.2">
      <c r="A7829">
        <v>7768</v>
      </c>
      <c r="B7829" s="1832">
        <f>'PCTC-OEPP 27-28'!F37</f>
        <v>0</v>
      </c>
      <c r="D7829" s="2" t="str">
        <f t="shared" si="129"/>
        <v>Error?</v>
      </c>
      <c r="E7829" s="4" t="s">
        <v>1996</v>
      </c>
    </row>
    <row r="7830" spans="1:5" x14ac:dyDescent="0.2">
      <c r="A7830">
        <v>7769</v>
      </c>
      <c r="B7830" s="1832">
        <f>'PCTC-OEPP 27-28'!F38</f>
        <v>0</v>
      </c>
      <c r="D7830" s="2" t="str">
        <f t="shared" si="129"/>
        <v>Error?</v>
      </c>
      <c r="E7830" s="4" t="s">
        <v>1996</v>
      </c>
    </row>
    <row r="7831" spans="1:5" x14ac:dyDescent="0.2">
      <c r="A7831">
        <v>7770</v>
      </c>
      <c r="B7831" s="1832">
        <f>'PCTC-OEPP 27-28'!F52</f>
        <v>1346</v>
      </c>
      <c r="D7831" s="2" t="str">
        <f t="shared" si="129"/>
        <v>Error?</v>
      </c>
      <c r="E7831" s="4" t="s">
        <v>1996</v>
      </c>
    </row>
    <row r="7832" spans="1:5" x14ac:dyDescent="0.2">
      <c r="A7832">
        <v>7771</v>
      </c>
      <c r="B7832" s="1832">
        <f>'PCTC-OEPP 27-28'!F56</f>
        <v>0</v>
      </c>
      <c r="D7832" s="2" t="str">
        <f t="shared" si="129"/>
        <v>Error?</v>
      </c>
      <c r="E7832" s="4" t="s">
        <v>1996</v>
      </c>
    </row>
    <row r="7833" spans="1:5" x14ac:dyDescent="0.2">
      <c r="A7833">
        <v>7772</v>
      </c>
      <c r="B7833" s="1832">
        <f>'PCTC-OEPP 27-28'!F62</f>
        <v>0</v>
      </c>
      <c r="D7833" s="2" t="str">
        <f t="shared" si="129"/>
        <v>Error?</v>
      </c>
      <c r="E7833" s="4" t="s">
        <v>1996</v>
      </c>
    </row>
    <row r="7834" spans="1:5" x14ac:dyDescent="0.2">
      <c r="A7834">
        <v>7773</v>
      </c>
      <c r="B7834" s="1832">
        <f>'PCTC-OEPP 27-28'!F77</f>
        <v>2033019</v>
      </c>
      <c r="D7834" s="2" t="str">
        <f t="shared" si="129"/>
        <v>Error?</v>
      </c>
      <c r="E7834" s="4" t="s">
        <v>1996</v>
      </c>
    </row>
    <row r="7835" spans="1:5" x14ac:dyDescent="0.2">
      <c r="A7835">
        <v>7774</v>
      </c>
      <c r="B7835" s="1832">
        <f>'PCTC-OEPP 27-28'!F78</f>
        <v>17835373</v>
      </c>
      <c r="D7835" s="2" t="str">
        <f t="shared" si="129"/>
        <v>Error?</v>
      </c>
      <c r="E7835" s="4" t="s">
        <v>1996</v>
      </c>
    </row>
    <row r="7836" spans="1:5" x14ac:dyDescent="0.2">
      <c r="A7836" s="126">
        <v>7775</v>
      </c>
      <c r="B7836" s="1832"/>
      <c r="D7836" s="2" t="str">
        <f t="shared" si="129"/>
        <v>OK</v>
      </c>
      <c r="E7836" s="4" t="s">
        <v>1998</v>
      </c>
    </row>
    <row r="7837" spans="1:5" x14ac:dyDescent="0.2">
      <c r="A7837">
        <v>7776</v>
      </c>
      <c r="B7837" s="1832">
        <f>'PCTC-OEPP 27-28'!F80</f>
        <v>11419.023625072026</v>
      </c>
      <c r="D7837" s="2" t="str">
        <f t="shared" si="129"/>
        <v>Error?</v>
      </c>
      <c r="E7837" s="4" t="s">
        <v>1996</v>
      </c>
    </row>
    <row r="7838" spans="1:5" x14ac:dyDescent="0.2">
      <c r="A7838">
        <v>7777</v>
      </c>
      <c r="B7838" s="1832">
        <f>'PCTC-OEPP 27-28'!F96</f>
        <v>31602</v>
      </c>
      <c r="D7838" s="2" t="str">
        <f t="shared" si="129"/>
        <v>Error?</v>
      </c>
      <c r="E7838" s="4" t="s">
        <v>1996</v>
      </c>
    </row>
    <row r="7839" spans="1:5" x14ac:dyDescent="0.2">
      <c r="A7839">
        <v>7778</v>
      </c>
      <c r="B7839" s="1832">
        <f>'PCTC-OEPP 27-28'!F102</f>
        <v>480</v>
      </c>
      <c r="D7839" s="2" t="str">
        <f t="shared" si="129"/>
        <v>Error?</v>
      </c>
      <c r="E7839" s="4" t="s">
        <v>1996</v>
      </c>
    </row>
    <row r="7840" spans="1:5" x14ac:dyDescent="0.2">
      <c r="A7840">
        <v>7779</v>
      </c>
      <c r="B7840" s="1832">
        <f>'PCTC-OEPP 27-28'!F103</f>
        <v>0</v>
      </c>
      <c r="D7840" s="2" t="str">
        <f t="shared" si="129"/>
        <v>Error?</v>
      </c>
      <c r="E7840" s="4" t="s">
        <v>1996</v>
      </c>
    </row>
    <row r="7841" spans="1:5" x14ac:dyDescent="0.2">
      <c r="A7841">
        <v>7780</v>
      </c>
      <c r="B7841" s="1832">
        <f>'PCTC-OEPP 27-28'!F104</f>
        <v>0</v>
      </c>
      <c r="D7841" s="2" t="str">
        <f t="shared" si="129"/>
        <v>Error?</v>
      </c>
      <c r="E7841" s="4" t="s">
        <v>1996</v>
      </c>
    </row>
    <row r="7842" spans="1:5" x14ac:dyDescent="0.2">
      <c r="A7842">
        <v>7781</v>
      </c>
      <c r="B7842" s="1832">
        <f>'PCTC-OEPP 27-28'!F106</f>
        <v>175949</v>
      </c>
      <c r="D7842" s="2" t="str">
        <f t="shared" si="129"/>
        <v>Error?</v>
      </c>
      <c r="E7842" s="4" t="s">
        <v>1996</v>
      </c>
    </row>
    <row r="7843" spans="1:5" x14ac:dyDescent="0.2">
      <c r="A7843">
        <v>7782</v>
      </c>
      <c r="B7843" s="1832">
        <f>'PCTC-OEPP 27-28'!F107</f>
        <v>1497</v>
      </c>
      <c r="D7843" s="2" t="str">
        <f t="shared" si="129"/>
        <v>Error?</v>
      </c>
      <c r="E7843" s="4" t="s">
        <v>1996</v>
      </c>
    </row>
    <row r="7844" spans="1:5" x14ac:dyDescent="0.2">
      <c r="A7844">
        <v>7783</v>
      </c>
      <c r="B7844" s="1832">
        <f>'PCTC-OEPP 27-28'!F108</f>
        <v>0</v>
      </c>
      <c r="D7844" s="2" t="str">
        <f t="shared" si="129"/>
        <v>Error?</v>
      </c>
      <c r="E7844" s="4" t="s">
        <v>1996</v>
      </c>
    </row>
    <row r="7845" spans="1:5" x14ac:dyDescent="0.2">
      <c r="A7845">
        <v>7784</v>
      </c>
      <c r="B7845" s="1832">
        <f>'PCTC-OEPP 27-28'!F110</f>
        <v>0</v>
      </c>
      <c r="D7845" s="2" t="str">
        <f t="shared" si="129"/>
        <v>Error?</v>
      </c>
      <c r="E7845" s="4" t="s">
        <v>1996</v>
      </c>
    </row>
    <row r="7846" spans="1:5" x14ac:dyDescent="0.2">
      <c r="A7846">
        <v>7785</v>
      </c>
      <c r="B7846" s="1832">
        <f>'PCTC-OEPP 27-28'!F111</f>
        <v>0</v>
      </c>
      <c r="D7846" s="2" t="str">
        <f t="shared" si="129"/>
        <v>Error?</v>
      </c>
      <c r="E7846" s="4" t="s">
        <v>1996</v>
      </c>
    </row>
    <row r="7847" spans="1:5" x14ac:dyDescent="0.2">
      <c r="A7847">
        <v>7786</v>
      </c>
      <c r="B7847" s="1832">
        <f>'PCTC-OEPP 27-28'!F112</f>
        <v>1000920</v>
      </c>
      <c r="D7847" s="2" t="str">
        <f t="shared" si="129"/>
        <v>Error?</v>
      </c>
      <c r="E7847" s="4" t="s">
        <v>1996</v>
      </c>
    </row>
    <row r="7848" spans="1:5" x14ac:dyDescent="0.2">
      <c r="A7848">
        <v>7787</v>
      </c>
      <c r="B7848" s="1832">
        <f>'PCTC-OEPP 27-28'!F114</f>
        <v>0</v>
      </c>
      <c r="D7848" s="2" t="str">
        <f t="shared" si="129"/>
        <v>Error?</v>
      </c>
      <c r="E7848" s="4" t="s">
        <v>1996</v>
      </c>
    </row>
    <row r="7849" spans="1:5" x14ac:dyDescent="0.2">
      <c r="A7849">
        <v>7788</v>
      </c>
      <c r="B7849" s="1832">
        <f>'PCTC-OEPP 27-28'!F115</f>
        <v>0</v>
      </c>
      <c r="D7849" s="2" t="str">
        <f t="shared" si="129"/>
        <v>Error?</v>
      </c>
      <c r="E7849" s="4" t="s">
        <v>1996</v>
      </c>
    </row>
    <row r="7850" spans="1:5" x14ac:dyDescent="0.2">
      <c r="A7850">
        <v>7789</v>
      </c>
      <c r="B7850" s="1832">
        <f>'PCTC-OEPP 27-28'!F116</f>
        <v>0</v>
      </c>
      <c r="D7850" s="2" t="str">
        <f t="shared" si="129"/>
        <v>Error?</v>
      </c>
      <c r="E7850" s="4" t="s">
        <v>1996</v>
      </c>
    </row>
    <row r="7851" spans="1:5" x14ac:dyDescent="0.2">
      <c r="A7851">
        <v>7790</v>
      </c>
      <c r="B7851" s="1832">
        <f>'PCTC-OEPP 27-28'!F117</f>
        <v>0</v>
      </c>
      <c r="D7851" s="2" t="str">
        <f t="shared" si="129"/>
        <v>Error?</v>
      </c>
      <c r="E7851" s="4" t="s">
        <v>1996</v>
      </c>
    </row>
    <row r="7852" spans="1:5" x14ac:dyDescent="0.2">
      <c r="A7852">
        <v>7791</v>
      </c>
      <c r="B7852" s="1832">
        <f>'PCTC-OEPP 27-28'!F118</f>
        <v>0</v>
      </c>
      <c r="D7852" s="2" t="str">
        <f t="shared" si="129"/>
        <v>Error?</v>
      </c>
      <c r="E7852" s="4" t="s">
        <v>1996</v>
      </c>
    </row>
    <row r="7853" spans="1:5" x14ac:dyDescent="0.2">
      <c r="A7853">
        <v>7792</v>
      </c>
      <c r="B7853" s="1832">
        <f>'PCTC-OEPP 27-28'!F119</f>
        <v>0</v>
      </c>
      <c r="D7853" s="2" t="str">
        <f t="shared" si="129"/>
        <v>Error?</v>
      </c>
      <c r="E7853" s="4" t="s">
        <v>1996</v>
      </c>
    </row>
    <row r="7854" spans="1:5" x14ac:dyDescent="0.2">
      <c r="A7854">
        <v>7793</v>
      </c>
      <c r="B7854" s="1832">
        <f>'PCTC-OEPP 27-28'!F120</f>
        <v>0</v>
      </c>
      <c r="D7854" s="2" t="str">
        <f t="shared" si="129"/>
        <v>Error?</v>
      </c>
      <c r="E7854" s="4" t="s">
        <v>1996</v>
      </c>
    </row>
    <row r="7855" spans="1:5" x14ac:dyDescent="0.2">
      <c r="A7855">
        <v>7794</v>
      </c>
      <c r="B7855" s="1832">
        <f>'PCTC-OEPP 27-28'!F122</f>
        <v>1157</v>
      </c>
      <c r="D7855" s="2" t="str">
        <f t="shared" si="129"/>
        <v>Error?</v>
      </c>
      <c r="E7855" s="4" t="s">
        <v>1996</v>
      </c>
    </row>
    <row r="7856" spans="1:5" x14ac:dyDescent="0.2">
      <c r="A7856">
        <v>7795</v>
      </c>
      <c r="B7856" s="1832">
        <f>'PCTC-OEPP 27-28'!F124</f>
        <v>0</v>
      </c>
      <c r="D7856" s="2" t="str">
        <f t="shared" si="129"/>
        <v>Error?</v>
      </c>
      <c r="E7856" s="4" t="s">
        <v>1996</v>
      </c>
    </row>
    <row r="7857" spans="1:5" x14ac:dyDescent="0.2">
      <c r="A7857">
        <v>7796</v>
      </c>
      <c r="B7857" s="1832">
        <f>'PCTC-OEPP 27-28'!F125</f>
        <v>0</v>
      </c>
      <c r="D7857" s="2" t="str">
        <f t="shared" si="129"/>
        <v>Error?</v>
      </c>
      <c r="E7857" s="4" t="s">
        <v>1996</v>
      </c>
    </row>
    <row r="7858" spans="1:5" x14ac:dyDescent="0.2">
      <c r="A7858">
        <v>7797</v>
      </c>
      <c r="B7858" s="1832">
        <f>'PCTC-OEPP 27-28'!F126</f>
        <v>476645</v>
      </c>
      <c r="D7858" s="2" t="str">
        <f t="shared" si="129"/>
        <v>Error?</v>
      </c>
      <c r="E7858" s="4" t="s">
        <v>1996</v>
      </c>
    </row>
    <row r="7859" spans="1:5" x14ac:dyDescent="0.2">
      <c r="A7859">
        <v>7798</v>
      </c>
      <c r="B7859" s="1832">
        <f>'PCTC-OEPP 27-28'!F127</f>
        <v>510346</v>
      </c>
      <c r="D7859" s="2" t="str">
        <f t="shared" si="129"/>
        <v>Error?</v>
      </c>
      <c r="E7859" s="4" t="s">
        <v>1996</v>
      </c>
    </row>
    <row r="7860" spans="1:5" x14ac:dyDescent="0.2">
      <c r="A7860">
        <v>7799</v>
      </c>
      <c r="B7860" s="1832">
        <f>'PCTC-OEPP 27-28'!F128</f>
        <v>0</v>
      </c>
      <c r="D7860" s="2" t="str">
        <f t="shared" si="129"/>
        <v>Error?</v>
      </c>
      <c r="E7860" s="4" t="s">
        <v>1996</v>
      </c>
    </row>
    <row r="7861" spans="1:5" x14ac:dyDescent="0.2">
      <c r="A7861">
        <v>7800</v>
      </c>
      <c r="B7861" s="1832">
        <f>'PCTC-OEPP 27-28'!F129</f>
        <v>199098</v>
      </c>
      <c r="D7861" s="2" t="str">
        <f t="shared" si="129"/>
        <v>Error?</v>
      </c>
      <c r="E7861" s="4" t="s">
        <v>1996</v>
      </c>
    </row>
    <row r="7862" spans="1:5" x14ac:dyDescent="0.2">
      <c r="A7862">
        <v>7801</v>
      </c>
      <c r="B7862" s="1832">
        <f>'PCTC-OEPP 27-28'!F130</f>
        <v>0</v>
      </c>
      <c r="D7862" s="2" t="str">
        <f t="shared" si="129"/>
        <v>Error?</v>
      </c>
      <c r="E7862" s="4" t="s">
        <v>1996</v>
      </c>
    </row>
    <row r="7863" spans="1:5" x14ac:dyDescent="0.2">
      <c r="A7863">
        <v>7802</v>
      </c>
      <c r="B7863" s="1832">
        <f>'PCTC-OEPP 27-28'!F131</f>
        <v>0</v>
      </c>
      <c r="D7863" s="2" t="str">
        <f t="shared" si="129"/>
        <v>Error?</v>
      </c>
      <c r="E7863" s="4" t="s">
        <v>1996</v>
      </c>
    </row>
    <row r="7864" spans="1:5" x14ac:dyDescent="0.2">
      <c r="A7864">
        <v>7803</v>
      </c>
      <c r="B7864" s="1832">
        <f>'PCTC-OEPP 27-28'!F132</f>
        <v>0</v>
      </c>
      <c r="D7864" s="2" t="str">
        <f t="shared" si="129"/>
        <v>Error?</v>
      </c>
      <c r="E7864" s="4" t="s">
        <v>1996</v>
      </c>
    </row>
    <row r="7865" spans="1:5" x14ac:dyDescent="0.2">
      <c r="A7865">
        <v>7804</v>
      </c>
      <c r="B7865" s="1832">
        <f>'PCTC-OEPP 27-28'!F133</f>
        <v>0</v>
      </c>
      <c r="D7865" s="2" t="str">
        <f t="shared" si="129"/>
        <v>Error?</v>
      </c>
      <c r="E7865" s="4" t="s">
        <v>1996</v>
      </c>
    </row>
    <row r="7866" spans="1:5" x14ac:dyDescent="0.2">
      <c r="A7866">
        <v>7805</v>
      </c>
      <c r="B7866" s="1832">
        <f>'PCTC-OEPP 27-28'!F158</f>
        <v>0</v>
      </c>
      <c r="D7866" s="2" t="str">
        <f t="shared" si="129"/>
        <v>Error?</v>
      </c>
      <c r="E7866" s="4" t="s">
        <v>1996</v>
      </c>
    </row>
    <row r="7867" spans="1:5" x14ac:dyDescent="0.2">
      <c r="A7867">
        <v>7806</v>
      </c>
      <c r="B7867" s="1832">
        <f>'PCTC-OEPP 27-28'!F160</f>
        <v>0</v>
      </c>
      <c r="D7867" s="2" t="str">
        <f t="shared" si="129"/>
        <v>Error?</v>
      </c>
      <c r="E7867" s="4" t="s">
        <v>1996</v>
      </c>
    </row>
    <row r="7868" spans="1:5" x14ac:dyDescent="0.2">
      <c r="A7868">
        <v>7807</v>
      </c>
      <c r="B7868" s="1832">
        <f>'PCTC-OEPP 27-28'!F161</f>
        <v>0</v>
      </c>
      <c r="D7868" s="2" t="str">
        <f t="shared" si="129"/>
        <v>Error?</v>
      </c>
      <c r="E7868" s="4" t="s">
        <v>1996</v>
      </c>
    </row>
    <row r="7869" spans="1:5" x14ac:dyDescent="0.2">
      <c r="A7869">
        <v>7808</v>
      </c>
      <c r="B7869" s="1832">
        <f>'PCTC-OEPP 27-28'!F162</f>
        <v>0</v>
      </c>
      <c r="D7869" s="2" t="str">
        <f t="shared" si="129"/>
        <v>Error?</v>
      </c>
      <c r="E7869" s="4" t="s">
        <v>1996</v>
      </c>
    </row>
    <row r="7870" spans="1:5" x14ac:dyDescent="0.2">
      <c r="A7870">
        <v>7809</v>
      </c>
      <c r="B7870" s="1832">
        <f>'PCTC-OEPP 27-28'!F163</f>
        <v>0</v>
      </c>
      <c r="D7870" s="2" t="str">
        <f t="shared" si="129"/>
        <v>Error?</v>
      </c>
      <c r="E7870" s="4" t="s">
        <v>1996</v>
      </c>
    </row>
    <row r="7871" spans="1:5" x14ac:dyDescent="0.2">
      <c r="A7871">
        <v>7810</v>
      </c>
      <c r="B7871" s="1832">
        <f>'PCTC-OEPP 27-28'!F164</f>
        <v>0</v>
      </c>
      <c r="D7871" s="2" t="str">
        <f t="shared" si="129"/>
        <v>Error?</v>
      </c>
      <c r="E7871" s="4" t="s">
        <v>1996</v>
      </c>
    </row>
    <row r="7872" spans="1:5" x14ac:dyDescent="0.2">
      <c r="A7872">
        <v>7811</v>
      </c>
      <c r="B7872" s="1832">
        <f>'PCTC-OEPP 27-28'!F165</f>
        <v>56613</v>
      </c>
      <c r="D7872" s="2" t="str">
        <f t="shared" si="129"/>
        <v>Error?</v>
      </c>
      <c r="E7872" s="4" t="s">
        <v>1996</v>
      </c>
    </row>
    <row r="7873" spans="1:5" x14ac:dyDescent="0.2">
      <c r="A7873">
        <v>7812</v>
      </c>
      <c r="B7873" s="1832">
        <f>'PCTC-OEPP 27-28'!F166</f>
        <v>0</v>
      </c>
      <c r="D7873" s="2" t="str">
        <f t="shared" si="129"/>
        <v>Error?</v>
      </c>
      <c r="E7873" s="4" t="s">
        <v>1996</v>
      </c>
    </row>
    <row r="7874" spans="1:5" x14ac:dyDescent="0.2">
      <c r="A7874">
        <v>7813</v>
      </c>
      <c r="B7874" s="1832">
        <f>'PCTC-OEPP 27-28'!F169</f>
        <v>32750</v>
      </c>
      <c r="D7874" s="2" t="str">
        <f t="shared" si="129"/>
        <v>Error?</v>
      </c>
      <c r="E7874" s="4" t="s">
        <v>1996</v>
      </c>
    </row>
    <row r="7875" spans="1:5" x14ac:dyDescent="0.2">
      <c r="A7875">
        <v>7814</v>
      </c>
      <c r="B7875" s="1832">
        <f>'PCTC-OEPP 27-28'!F170</f>
        <v>93207</v>
      </c>
      <c r="D7875" s="2" t="str">
        <f t="shared" si="129"/>
        <v>Error?</v>
      </c>
      <c r="E7875" s="4" t="s">
        <v>1996</v>
      </c>
    </row>
    <row r="7876" spans="1:5" x14ac:dyDescent="0.2">
      <c r="A7876">
        <v>7815</v>
      </c>
      <c r="B7876" s="1832">
        <f>'PCTC-OEPP 27-28'!F171</f>
        <v>0</v>
      </c>
      <c r="D7876" s="2" t="str">
        <f t="shared" si="129"/>
        <v>Error?</v>
      </c>
      <c r="E7876" s="4" t="s">
        <v>1996</v>
      </c>
    </row>
    <row r="7877" spans="1:5" x14ac:dyDescent="0.2">
      <c r="A7877">
        <v>7816</v>
      </c>
      <c r="B7877" s="1832">
        <f>'PCTC-OEPP 27-28'!F175</f>
        <v>3423542.12</v>
      </c>
      <c r="D7877" s="2" t="str">
        <f t="shared" si="129"/>
        <v>Error?</v>
      </c>
      <c r="E7877" s="4" t="s">
        <v>1996</v>
      </c>
    </row>
    <row r="7878" spans="1:5" x14ac:dyDescent="0.2">
      <c r="A7878">
        <v>7817</v>
      </c>
      <c r="B7878" s="1832">
        <f>'PCTC-OEPP 27-28'!F176</f>
        <v>14411830.879999999</v>
      </c>
      <c r="D7878" s="2" t="str">
        <f t="shared" si="129"/>
        <v>Error?</v>
      </c>
      <c r="E7878" s="4" t="s">
        <v>1996</v>
      </c>
    </row>
    <row r="7879" spans="1:5" x14ac:dyDescent="0.2">
      <c r="A7879">
        <v>7818</v>
      </c>
      <c r="B7879" s="1832">
        <f>'PCTC-OEPP 27-28'!F178</f>
        <v>15543859.879999999</v>
      </c>
      <c r="D7879" s="2" t="str">
        <f t="shared" si="129"/>
        <v>Error?</v>
      </c>
      <c r="E7879" s="4" t="s">
        <v>1996</v>
      </c>
    </row>
    <row r="7880" spans="1:5" x14ac:dyDescent="0.2">
      <c r="A7880">
        <v>7819</v>
      </c>
      <c r="B7880" s="1832">
        <f>'PCTC-OEPP 27-28'!F180</f>
        <v>9951.8918496702718</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28515625" defaultRowHeight="12.75" x14ac:dyDescent="0.2"/>
  <cols>
    <col min="1" max="1" width="7.7109375" style="959" customWidth="1"/>
    <col min="2" max="2" width="2.28515625" style="955" customWidth="1"/>
    <col min="3" max="3" width="9.28515625" style="959"/>
    <col min="4" max="4" width="13" style="959" customWidth="1"/>
    <col min="5" max="5" width="16" style="959" customWidth="1"/>
    <col min="6" max="6" width="4.28515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7109375" style="959" customWidth="1"/>
    <col min="13" max="13" width="2.7109375" style="959" customWidth="1"/>
    <col min="14" max="14" width="13.28515625" style="959" customWidth="1"/>
    <col min="15" max="15" width="7.28515625" style="959" customWidth="1"/>
    <col min="16" max="16" width="7" style="959" customWidth="1"/>
    <col min="17" max="19" width="9.7109375" style="959" customWidth="1"/>
    <col min="20" max="16384" width="9.28515625" style="959"/>
  </cols>
  <sheetData>
    <row r="1" spans="1:29" x14ac:dyDescent="0.2">
      <c r="A1" s="954"/>
      <c r="C1" s="954"/>
      <c r="D1" s="954"/>
      <c r="E1" s="954"/>
      <c r="F1" s="956"/>
      <c r="G1" s="956"/>
      <c r="H1" s="954"/>
      <c r="I1" s="954"/>
      <c r="J1" s="954"/>
      <c r="K1" s="954"/>
      <c r="L1" s="957"/>
      <c r="M1" s="958"/>
    </row>
    <row r="2" spans="1:29" ht="13.5" customHeight="1" x14ac:dyDescent="0.2">
      <c r="A2" s="2658" t="s">
        <v>1181</v>
      </c>
      <c r="B2" s="2658"/>
      <c r="C2" s="2658"/>
      <c r="D2" s="2658"/>
      <c r="E2" s="2658"/>
      <c r="F2" s="2658"/>
      <c r="G2" s="2658"/>
      <c r="H2" s="2658"/>
      <c r="I2" s="2658"/>
      <c r="J2" s="2658"/>
      <c r="K2" s="2658"/>
      <c r="L2" s="2658"/>
    </row>
    <row r="3" spans="1:29" ht="13.5" customHeight="1" x14ac:dyDescent="0.2">
      <c r="A3" s="2644" t="s">
        <v>1180</v>
      </c>
      <c r="B3" s="2644"/>
      <c r="C3" s="2644"/>
      <c r="D3" s="2644"/>
      <c r="E3" s="2644"/>
      <c r="F3" s="2644"/>
      <c r="G3" s="2644"/>
      <c r="H3" s="2644"/>
      <c r="I3" s="2644"/>
      <c r="J3" s="2644"/>
      <c r="K3" s="2644"/>
      <c r="L3" s="2644"/>
    </row>
    <row r="4" spans="1:29" ht="13.5" customHeight="1" x14ac:dyDescent="0.2">
      <c r="A4" s="2675" t="str">
        <f>"Year Ending June 30, "&amp;'AFR20'!E2</f>
        <v>Year Ending June 30, 2020</v>
      </c>
      <c r="B4" s="2676"/>
      <c r="C4" s="2676"/>
      <c r="D4" s="2676"/>
      <c r="E4" s="2676"/>
      <c r="F4" s="2676"/>
      <c r="G4" s="2676"/>
      <c r="H4" s="2676"/>
      <c r="I4" s="2676"/>
      <c r="J4" s="2676"/>
      <c r="K4" s="2676"/>
      <c r="L4" s="26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38" t="str">
        <f>COVER!A17</f>
        <v>East Peoria SD 86</v>
      </c>
      <c r="B7" s="2639"/>
      <c r="C7" s="2639"/>
      <c r="D7" s="2677"/>
      <c r="E7" s="2678">
        <f>COVER!A13</f>
        <v>53090086002</v>
      </c>
      <c r="F7" s="2679"/>
      <c r="G7" s="2645" t="str">
        <f>COVER!T23</f>
        <v>066-005027</v>
      </c>
      <c r="H7" s="2646"/>
      <c r="I7" s="2646"/>
      <c r="J7" s="2646"/>
      <c r="K7" s="2646"/>
      <c r="L7" s="26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48"/>
      <c r="B9" s="2649"/>
      <c r="C9" s="2649"/>
      <c r="D9" s="2649"/>
      <c r="E9" s="2649"/>
      <c r="F9" s="2650"/>
      <c r="G9" s="2651" t="str">
        <f>COVER!T13</f>
        <v>Gorenz and Associates, Ltd.</v>
      </c>
      <c r="H9" s="2652"/>
      <c r="I9" s="2652"/>
      <c r="J9" s="2652"/>
      <c r="K9" s="2652"/>
      <c r="L9" s="2653"/>
    </row>
    <row r="10" spans="1:29" ht="13.5" customHeight="1" x14ac:dyDescent="0.2">
      <c r="A10" s="2635" t="str">
        <f>COVER!A38</f>
        <v>Tony Ingold</v>
      </c>
      <c r="B10" s="2636"/>
      <c r="C10" s="2636"/>
      <c r="D10" s="2636"/>
      <c r="E10" s="2636"/>
      <c r="F10" s="2637"/>
      <c r="G10" s="2651" t="str">
        <f>COVER!T17</f>
        <v>4200 N Knoxville Ave.</v>
      </c>
      <c r="H10" s="2664"/>
      <c r="I10" s="2664"/>
      <c r="J10" s="2664"/>
      <c r="K10" s="2664"/>
      <c r="L10" s="2665"/>
    </row>
    <row r="11" spans="1:29" ht="13.5" customHeight="1" x14ac:dyDescent="0.2">
      <c r="A11" s="963" t="s">
        <v>1502</v>
      </c>
      <c r="B11" s="964"/>
      <c r="C11" s="965"/>
      <c r="D11" s="970"/>
      <c r="E11" s="965"/>
      <c r="F11" s="969"/>
      <c r="G11" s="2651" t="str">
        <f>COVER!T19</f>
        <v>Peoria</v>
      </c>
      <c r="H11" s="2664"/>
      <c r="I11" s="2664"/>
      <c r="J11" s="2664"/>
      <c r="K11" s="2664"/>
      <c r="L11" s="2665"/>
    </row>
    <row r="12" spans="1:29" ht="13.5" customHeight="1" x14ac:dyDescent="0.2">
      <c r="A12" s="2669" t="s">
        <v>1501</v>
      </c>
      <c r="B12" s="2670"/>
      <c r="C12" s="2670"/>
      <c r="D12" s="2670"/>
      <c r="E12" s="2670"/>
      <c r="F12" s="2671"/>
      <c r="G12" s="2666"/>
      <c r="H12" s="2667"/>
      <c r="I12" s="2667"/>
      <c r="J12" s="2667"/>
      <c r="K12" s="2667"/>
      <c r="L12" s="2668"/>
    </row>
    <row r="13" spans="1:29" ht="13.5" customHeight="1" x14ac:dyDescent="0.2">
      <c r="A13" s="2651"/>
      <c r="B13" s="2664"/>
      <c r="C13" s="2664"/>
      <c r="D13" s="2664"/>
      <c r="E13" s="2664"/>
      <c r="F13" s="2665"/>
      <c r="G13" s="2659" t="s">
        <v>1503</v>
      </c>
      <c r="H13" s="2660"/>
      <c r="I13" s="2672" t="str">
        <f>COVER!T25</f>
        <v>tcustis@gorenzcpa.com</v>
      </c>
      <c r="J13" s="2673"/>
      <c r="K13" s="2673"/>
      <c r="L13" s="2674"/>
    </row>
    <row r="14" spans="1:29" ht="13.5" customHeight="1" x14ac:dyDescent="0.2">
      <c r="A14" s="2651" t="str">
        <f>COVER!A19</f>
        <v>601 Taylor Street</v>
      </c>
      <c r="B14" s="2664"/>
      <c r="C14" s="2664"/>
      <c r="D14" s="2664"/>
      <c r="E14" s="2664"/>
      <c r="F14" s="2665"/>
      <c r="G14" s="974" t="s">
        <v>1175</v>
      </c>
      <c r="H14" s="972"/>
      <c r="I14" s="972"/>
      <c r="J14" s="972"/>
      <c r="K14" s="972"/>
      <c r="L14" s="973"/>
    </row>
    <row r="15" spans="1:29" ht="13.5" customHeight="1" x14ac:dyDescent="0.2">
      <c r="A15" s="2651" t="str">
        <f>COVER!A21</f>
        <v>East Peoria</v>
      </c>
      <c r="B15" s="2664"/>
      <c r="C15" s="2664"/>
      <c r="D15" s="2664"/>
      <c r="E15" s="2664"/>
      <c r="F15" s="2665"/>
      <c r="G15" s="2661" t="str">
        <f>COVER!T15</f>
        <v>Tim C. Custis, CPA</v>
      </c>
      <c r="H15" s="2662"/>
      <c r="I15" s="2662"/>
      <c r="J15" s="2662"/>
      <c r="K15" s="2662"/>
      <c r="L15" s="2663"/>
    </row>
    <row r="16" spans="1:29" ht="12.4" customHeight="1" x14ac:dyDescent="0.2">
      <c r="A16" s="2641" t="str">
        <f>COVER!A25</f>
        <v>61611-2693</v>
      </c>
      <c r="B16" s="2642"/>
      <c r="C16" s="2642"/>
      <c r="D16" s="2642"/>
      <c r="E16" s="2642"/>
      <c r="F16" s="2643"/>
      <c r="G16" s="2654"/>
      <c r="H16" s="2655"/>
      <c r="I16" s="2655"/>
      <c r="J16" s="2655"/>
      <c r="K16" s="2655"/>
      <c r="L16" s="2656"/>
    </row>
    <row r="17" spans="1:13" ht="12.4" customHeight="1" x14ac:dyDescent="0.2">
      <c r="A17" s="2657"/>
      <c r="B17" s="2642"/>
      <c r="C17" s="2642"/>
      <c r="D17" s="2642"/>
      <c r="E17" s="2642"/>
      <c r="F17" s="2643"/>
      <c r="G17" s="974" t="s">
        <v>1174</v>
      </c>
      <c r="H17" s="972"/>
      <c r="I17" s="972"/>
      <c r="J17" s="972"/>
      <c r="K17" s="976" t="s">
        <v>1173</v>
      </c>
      <c r="L17" s="969"/>
      <c r="M17" s="962"/>
    </row>
    <row r="18" spans="1:13" ht="12.4" customHeight="1" x14ac:dyDescent="0.2">
      <c r="A18" s="2635"/>
      <c r="B18" s="2636"/>
      <c r="C18" s="2636"/>
      <c r="D18" s="2636"/>
      <c r="E18" s="2636"/>
      <c r="F18" s="2637"/>
      <c r="G18" s="2638" t="str">
        <f>COVER!T21</f>
        <v>309-685-7621</v>
      </c>
      <c r="H18" s="2639"/>
      <c r="I18" s="2639"/>
      <c r="J18" s="2639"/>
      <c r="K18" s="2638" t="str">
        <f>COVER!X21</f>
        <v>309-685-4758</v>
      </c>
      <c r="L18" s="2640"/>
    </row>
    <row r="19" spans="1:13" ht="12.4" customHeight="1" x14ac:dyDescent="0.2">
      <c r="A19" s="977"/>
      <c r="C19" s="977"/>
      <c r="D19" s="977"/>
      <c r="E19" s="977"/>
      <c r="F19" s="977"/>
      <c r="G19" s="977"/>
      <c r="H19" s="977"/>
      <c r="I19" s="977"/>
      <c r="J19" s="977"/>
      <c r="K19" s="977"/>
      <c r="L19" s="977"/>
    </row>
    <row r="20" spans="1:13" ht="12.4" customHeight="1" x14ac:dyDescent="0.2">
      <c r="A20" s="977"/>
      <c r="C20" s="977"/>
      <c r="D20" s="977"/>
      <c r="E20" s="977"/>
      <c r="F20" s="977"/>
      <c r="G20" s="977"/>
      <c r="H20" s="977"/>
      <c r="I20" s="977"/>
      <c r="J20" s="977" t="s">
        <v>1159</v>
      </c>
      <c r="K20" s="955" t="s">
        <v>1159</v>
      </c>
    </row>
    <row r="21" spans="1:13" ht="12.4" customHeight="1" x14ac:dyDescent="0.2">
      <c r="A21" s="978" t="s">
        <v>1676</v>
      </c>
    </row>
    <row r="22" spans="1:13" ht="12.4" customHeight="1" x14ac:dyDescent="0.2">
      <c r="A22" s="979"/>
    </row>
    <row r="23" spans="1:13" ht="12.4" customHeight="1" x14ac:dyDescent="0.2">
      <c r="A23" s="979"/>
      <c r="B23" s="980" t="s">
        <v>2049</v>
      </c>
      <c r="C23" s="981" t="s">
        <v>1172</v>
      </c>
    </row>
    <row r="24" spans="1:13" ht="10.15" customHeight="1" x14ac:dyDescent="0.2">
      <c r="A24" s="979"/>
      <c r="C24" s="981" t="s">
        <v>1171</v>
      </c>
    </row>
    <row r="25" spans="1:13" ht="9" customHeight="1" x14ac:dyDescent="0.2">
      <c r="B25" s="982" t="s">
        <v>1159</v>
      </c>
      <c r="C25" s="983"/>
    </row>
    <row r="26" spans="1:13" s="977" customFormat="1" ht="12.4" customHeight="1" x14ac:dyDescent="0.2">
      <c r="B26" s="980" t="s">
        <v>2049</v>
      </c>
      <c r="C26" s="981" t="s">
        <v>1677</v>
      </c>
    </row>
    <row r="27" spans="1:13" s="977" customFormat="1" ht="9" customHeight="1" x14ac:dyDescent="0.2">
      <c r="B27" s="982"/>
      <c r="C27" s="981"/>
    </row>
    <row r="28" spans="1:13" s="977" customFormat="1" ht="12.4" customHeight="1" x14ac:dyDescent="0.2">
      <c r="A28" s="984"/>
      <c r="B28" s="980" t="s">
        <v>2049</v>
      </c>
      <c r="C28" s="981" t="s">
        <v>1678</v>
      </c>
    </row>
    <row r="29" spans="1:13" s="977" customFormat="1" ht="9" customHeight="1" x14ac:dyDescent="0.2">
      <c r="A29" s="984"/>
      <c r="B29" s="982"/>
      <c r="C29" s="981"/>
    </row>
    <row r="30" spans="1:13" s="977" customFormat="1" ht="12.4" customHeight="1" x14ac:dyDescent="0.2">
      <c r="B30" s="980" t="s">
        <v>2049</v>
      </c>
      <c r="C30" s="981" t="s">
        <v>1545</v>
      </c>
      <c r="D30" s="975"/>
      <c r="E30" s="975"/>
    </row>
    <row r="31" spans="1:13" s="977" customFormat="1" ht="9" customHeight="1" x14ac:dyDescent="0.2">
      <c r="B31" s="982"/>
      <c r="C31" s="981"/>
      <c r="D31" s="975"/>
      <c r="E31" s="975"/>
    </row>
    <row r="32" spans="1:13" s="977" customFormat="1" ht="12.4" customHeight="1" x14ac:dyDescent="0.2">
      <c r="B32" s="980" t="s">
        <v>2049</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2049</v>
      </c>
      <c r="C35" s="981" t="s">
        <v>1547</v>
      </c>
    </row>
    <row r="36" spans="1:8" s="977" customFormat="1" ht="10.9" customHeight="1" x14ac:dyDescent="0.2">
      <c r="B36" s="982"/>
      <c r="C36" s="985" t="s">
        <v>1548</v>
      </c>
    </row>
    <row r="37" spans="1:8" ht="9" customHeight="1" x14ac:dyDescent="0.2">
      <c r="B37" s="982"/>
      <c r="C37" s="985"/>
    </row>
    <row r="38" spans="1:8" s="977" customFormat="1" ht="12.4" customHeight="1" x14ac:dyDescent="0.2">
      <c r="B38" s="980" t="s">
        <v>2049</v>
      </c>
      <c r="C38" s="981" t="s">
        <v>1549</v>
      </c>
    </row>
    <row r="39" spans="1:8" ht="9" customHeight="1" x14ac:dyDescent="0.2">
      <c r="B39" s="982"/>
      <c r="C39" s="985"/>
    </row>
    <row r="40" spans="1:8" s="977" customFormat="1" ht="13.5" customHeight="1" x14ac:dyDescent="0.2">
      <c r="B40" s="980" t="s">
        <v>2049</v>
      </c>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3.1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4" customHeight="1" x14ac:dyDescent="0.2">
      <c r="B46" s="980" t="s">
        <v>2049</v>
      </c>
      <c r="C46" s="988" t="s">
        <v>1551</v>
      </c>
      <c r="D46" s="975"/>
      <c r="E46" s="975"/>
      <c r="F46" s="975"/>
      <c r="G46" s="975"/>
      <c r="H46" s="975"/>
    </row>
    <row r="47" spans="1:8" ht="9" customHeight="1" x14ac:dyDescent="0.2"/>
    <row r="48" spans="1:8" ht="12.4" customHeight="1" x14ac:dyDescent="0.2">
      <c r="B48" s="1541"/>
      <c r="C48" s="989" t="s">
        <v>1552</v>
      </c>
    </row>
    <row r="49" spans="1:12" ht="9" customHeight="1" x14ac:dyDescent="0.2"/>
    <row r="50" spans="1:12" ht="6" customHeight="1" x14ac:dyDescent="0.2">
      <c r="C50" s="989"/>
    </row>
    <row r="51" spans="1:12" ht="12.4" customHeight="1" x14ac:dyDescent="0.2">
      <c r="A51" s="987"/>
    </row>
    <row r="52" spans="1:12" ht="12.4" customHeight="1" x14ac:dyDescent="0.2"/>
    <row r="53" spans="1:12" ht="12.4" customHeight="1" x14ac:dyDescent="0.2"/>
    <row r="54" spans="1:12" ht="12.4" customHeight="1" x14ac:dyDescent="0.2"/>
    <row r="55" spans="1:12" ht="12.4"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28515625" style="998" customWidth="1"/>
    <col min="6" max="16384" width="10.7109375" style="998"/>
  </cols>
  <sheetData>
    <row r="1" spans="1:11" s="991" customFormat="1" ht="12.75" x14ac:dyDescent="0.2">
      <c r="A1" s="2680" t="str">
        <f>'Single Audit Cover'!A7</f>
        <v>East Peoria SD 86</v>
      </c>
      <c r="B1" s="2681"/>
      <c r="C1" s="2681"/>
      <c r="D1" s="2681"/>
    </row>
    <row r="2" spans="1:11" s="991" customFormat="1" ht="12.75" x14ac:dyDescent="0.2">
      <c r="A2" s="2682">
        <f>'Single Audit Cover'!E7</f>
        <v>53090086002</v>
      </c>
      <c r="B2" s="2683"/>
      <c r="C2" s="2683"/>
      <c r="D2" s="2683"/>
    </row>
    <row r="3" spans="1:11" s="991" customFormat="1" ht="12.75" x14ac:dyDescent="0.2">
      <c r="A3" s="2680" t="s">
        <v>1496</v>
      </c>
      <c r="B3" s="2681"/>
      <c r="C3" s="2681"/>
      <c r="D3" s="268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85" t="str">
        <f>'Single Audit Cover'!A7</f>
        <v>East Peoria SD 86</v>
      </c>
      <c r="B1" s="2685"/>
      <c r="C1" s="2685"/>
      <c r="D1" s="2685"/>
      <c r="E1" s="2685"/>
    </row>
    <row r="2" spans="1:5" x14ac:dyDescent="0.2">
      <c r="A2" s="2686">
        <f>'Single Audit Cover'!E7</f>
        <v>53090086002</v>
      </c>
      <c r="B2" s="2686"/>
      <c r="C2" s="2686"/>
      <c r="D2" s="2686"/>
      <c r="E2" s="2686"/>
    </row>
    <row r="3" spans="1:5" ht="4.5" customHeight="1" x14ac:dyDescent="0.2"/>
    <row r="4" spans="1:5" x14ac:dyDescent="0.2">
      <c r="A4" s="2685" t="s">
        <v>1234</v>
      </c>
      <c r="B4" s="2685"/>
      <c r="C4" s="2685"/>
      <c r="D4" s="2685"/>
      <c r="E4" s="2685"/>
    </row>
    <row r="5" spans="1:5" x14ac:dyDescent="0.2">
      <c r="A5" s="2688" t="str">
        <f>'Single Audit Cover'!A4</f>
        <v>Year Ending June 30, 2020</v>
      </c>
      <c r="B5" s="2688"/>
      <c r="C5" s="2688"/>
      <c r="D5" s="2688"/>
      <c r="E5" s="2688"/>
    </row>
    <row r="6" spans="1:5" x14ac:dyDescent="0.2">
      <c r="A6" s="2685" t="s">
        <v>1233</v>
      </c>
      <c r="B6" s="2685"/>
      <c r="C6" s="2685"/>
      <c r="D6" s="2685"/>
      <c r="E6" s="2685"/>
    </row>
    <row r="8" spans="1:5" x14ac:dyDescent="0.2">
      <c r="A8" s="1036" t="s">
        <v>1232</v>
      </c>
    </row>
    <row r="10" spans="1:5" x14ac:dyDescent="0.2">
      <c r="A10" s="1037" t="s">
        <v>1231</v>
      </c>
      <c r="B10" s="1038" t="s">
        <v>1230</v>
      </c>
      <c r="C10" s="1038"/>
      <c r="D10" s="1039">
        <f>SUM('Acct Summary 7-8'!C7:K7)</f>
        <v>1416930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60626</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-93207</v>
      </c>
    </row>
    <row r="19" spans="1:4" ht="13.5" thickBot="1" x14ac:dyDescent="0.25">
      <c r="A19" s="1041" t="s">
        <v>1224</v>
      </c>
      <c r="D19" s="1042">
        <f>SUM(D10:D17)</f>
        <v>1384349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87" t="s">
        <v>2185</v>
      </c>
      <c r="B24" s="2687"/>
      <c r="D24" s="1044">
        <v>-60626</v>
      </c>
    </row>
    <row r="25" spans="1:4" x14ac:dyDescent="0.2">
      <c r="A25" s="2684"/>
      <c r="B25" s="2684"/>
      <c r="D25" s="1044"/>
    </row>
    <row r="26" spans="1:4" x14ac:dyDescent="0.2">
      <c r="A26" s="2684"/>
      <c r="B26" s="2684"/>
      <c r="D26" s="1044"/>
    </row>
    <row r="27" spans="1:4" x14ac:dyDescent="0.2">
      <c r="A27" s="2684"/>
      <c r="B27" s="2684"/>
      <c r="D27" s="1044"/>
    </row>
    <row r="28" spans="1:4" x14ac:dyDescent="0.2">
      <c r="A28" s="2684"/>
      <c r="B28" s="2684"/>
      <c r="D28" s="1044"/>
    </row>
    <row r="29" spans="1:4" x14ac:dyDescent="0.2">
      <c r="A29" s="2684"/>
      <c r="B29" s="2684"/>
      <c r="D29" s="1044"/>
    </row>
    <row r="30" spans="1:4" x14ac:dyDescent="0.2">
      <c r="A30" s="2684"/>
      <c r="B30" s="2684"/>
      <c r="D30" s="1044"/>
    </row>
    <row r="32" spans="1:4" x14ac:dyDescent="0.2">
      <c r="A32" s="1036" t="s">
        <v>1222</v>
      </c>
      <c r="D32" s="1039">
        <f>SUM(D19:D30)</f>
        <v>1323723</v>
      </c>
    </row>
    <row r="33" spans="1:4" x14ac:dyDescent="0.2">
      <c r="D33" s="1045"/>
    </row>
    <row r="34" spans="1:4" x14ac:dyDescent="0.2">
      <c r="A34" s="295" t="s">
        <v>1221</v>
      </c>
    </row>
    <row r="35" spans="1:4" x14ac:dyDescent="0.2">
      <c r="A35" s="295" t="s">
        <v>1220</v>
      </c>
      <c r="B35" s="1034" t="s">
        <v>1219</v>
      </c>
      <c r="D35" s="1046">
        <f>SEFA20!G95</f>
        <v>1323723</v>
      </c>
    </row>
    <row r="37" spans="1:4" x14ac:dyDescent="0.2">
      <c r="A37" s="1036" t="s">
        <v>1218</v>
      </c>
    </row>
    <row r="39" spans="1:4" ht="13.35" customHeight="1" x14ac:dyDescent="0.2">
      <c r="A39" s="1043" t="s">
        <v>1217</v>
      </c>
    </row>
    <row r="40" spans="1:4" x14ac:dyDescent="0.2">
      <c r="A40" s="2684"/>
      <c r="B40" s="2684"/>
      <c r="D40" s="1044"/>
    </row>
    <row r="41" spans="1:4" x14ac:dyDescent="0.2">
      <c r="A41" s="2684"/>
      <c r="B41" s="2684"/>
      <c r="D41" s="1047"/>
    </row>
    <row r="42" spans="1:4" x14ac:dyDescent="0.2">
      <c r="A42" s="2684"/>
      <c r="B42" s="2684"/>
      <c r="D42" s="1047"/>
    </row>
    <row r="43" spans="1:4" x14ac:dyDescent="0.2">
      <c r="A43" s="2684"/>
      <c r="B43" s="2684"/>
      <c r="D43" s="1047"/>
    </row>
    <row r="44" spans="1:4" x14ac:dyDescent="0.2">
      <c r="A44" s="2684"/>
      <c r="B44" s="2684"/>
      <c r="D44" s="1047"/>
    </row>
    <row r="45" spans="1:4" x14ac:dyDescent="0.2">
      <c r="A45" s="2684"/>
      <c r="B45" s="2684"/>
      <c r="D45" s="1047"/>
    </row>
    <row r="47" spans="1:4" x14ac:dyDescent="0.2">
      <c r="B47" s="1048" t="s">
        <v>1216</v>
      </c>
      <c r="C47" s="1048"/>
      <c r="D47" s="1049">
        <f>SUM(D35:D45)</f>
        <v>1323723</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5A44-4950-443C-8E26-36E684BA5429}">
  <sheetPr transitionEvaluation="1"/>
  <dimension ref="A1:R113"/>
  <sheetViews>
    <sheetView showGridLines="0" zoomScale="85" zoomScaleNormal="85" zoomScaleSheetLayoutView="75" workbookViewId="0">
      <pane xSplit="2" ySplit="11" topLeftCell="C12" activePane="bottomRight" state="frozen"/>
      <selection activeCell="T21" sqref="T21"/>
      <selection pane="topRight" activeCell="T21" sqref="T21"/>
      <selection pane="bottomLeft" activeCell="T21" sqref="T21"/>
      <selection pane="bottomRight" activeCell="C12" sqref="C12"/>
    </sheetView>
  </sheetViews>
  <sheetFormatPr defaultColWidth="16.5703125" defaultRowHeight="12" x14ac:dyDescent="0.2"/>
  <cols>
    <col min="1" max="1" width="4.7109375" style="2057" customWidth="1"/>
    <col min="2" max="2" width="50" style="2057" customWidth="1"/>
    <col min="3" max="3" width="9.7109375" style="2057" customWidth="1"/>
    <col min="4" max="4" width="13" style="2057" customWidth="1"/>
    <col min="5" max="5" width="3.85546875" style="2057" bestFit="1" customWidth="1"/>
    <col min="6" max="6" width="12.85546875" style="2057" customWidth="1"/>
    <col min="7" max="7" width="13.85546875" style="2057" customWidth="1"/>
    <col min="8" max="8" width="13.140625" style="2057" bestFit="1" customWidth="1"/>
    <col min="9" max="9" width="12" style="2057" customWidth="1"/>
    <col min="10" max="10" width="1.7109375" style="2057" customWidth="1"/>
    <col min="11" max="11" width="12" style="2057" customWidth="1"/>
    <col min="12" max="12" width="4.5703125" style="2057" bestFit="1" customWidth="1"/>
    <col min="13" max="13" width="13.140625" style="2057" bestFit="1" customWidth="1"/>
    <col min="14" max="14" width="12.28515625" style="2057" bestFit="1" customWidth="1"/>
    <col min="15" max="250" width="16.5703125" style="2057"/>
    <col min="251" max="251" width="4.7109375" style="2057" customWidth="1"/>
    <col min="252" max="252" width="50" style="2057" customWidth="1"/>
    <col min="253" max="253" width="9.7109375" style="2057" customWidth="1"/>
    <col min="254" max="254" width="13" style="2057" customWidth="1"/>
    <col min="255" max="255" width="3.85546875" style="2057" bestFit="1" customWidth="1"/>
    <col min="256" max="256" width="12.85546875" style="2057" customWidth="1"/>
    <col min="257" max="257" width="13.85546875" style="2057" customWidth="1"/>
    <col min="258" max="258" width="13.140625" style="2057" bestFit="1" customWidth="1"/>
    <col min="259" max="259" width="12" style="2057" customWidth="1"/>
    <col min="260" max="260" width="1.7109375" style="2057" customWidth="1"/>
    <col min="261" max="261" width="12" style="2057" customWidth="1"/>
    <col min="262" max="262" width="4.5703125" style="2057" bestFit="1" customWidth="1"/>
    <col min="263" max="263" width="13.140625" style="2057" bestFit="1" customWidth="1"/>
    <col min="264" max="264" width="12.28515625" style="2057" bestFit="1" customWidth="1"/>
    <col min="265" max="506" width="16.5703125" style="2057"/>
    <col min="507" max="507" width="4.7109375" style="2057" customWidth="1"/>
    <col min="508" max="508" width="50" style="2057" customWidth="1"/>
    <col min="509" max="509" width="9.7109375" style="2057" customWidth="1"/>
    <col min="510" max="510" width="13" style="2057" customWidth="1"/>
    <col min="511" max="511" width="3.85546875" style="2057" bestFit="1" customWidth="1"/>
    <col min="512" max="512" width="12.85546875" style="2057" customWidth="1"/>
    <col min="513" max="513" width="13.85546875" style="2057" customWidth="1"/>
    <col min="514" max="514" width="13.140625" style="2057" bestFit="1" customWidth="1"/>
    <col min="515" max="515" width="12" style="2057" customWidth="1"/>
    <col min="516" max="516" width="1.7109375" style="2057" customWidth="1"/>
    <col min="517" max="517" width="12" style="2057" customWidth="1"/>
    <col min="518" max="518" width="4.5703125" style="2057" bestFit="1" customWidth="1"/>
    <col min="519" max="519" width="13.140625" style="2057" bestFit="1" customWidth="1"/>
    <col min="520" max="520" width="12.28515625" style="2057" bestFit="1" customWidth="1"/>
    <col min="521" max="762" width="16.5703125" style="2057"/>
    <col min="763" max="763" width="4.7109375" style="2057" customWidth="1"/>
    <col min="764" max="764" width="50" style="2057" customWidth="1"/>
    <col min="765" max="765" width="9.7109375" style="2057" customWidth="1"/>
    <col min="766" max="766" width="13" style="2057" customWidth="1"/>
    <col min="767" max="767" width="3.85546875" style="2057" bestFit="1" customWidth="1"/>
    <col min="768" max="768" width="12.85546875" style="2057" customWidth="1"/>
    <col min="769" max="769" width="13.85546875" style="2057" customWidth="1"/>
    <col min="770" max="770" width="13.140625" style="2057" bestFit="1" customWidth="1"/>
    <col min="771" max="771" width="12" style="2057" customWidth="1"/>
    <col min="772" max="772" width="1.7109375" style="2057" customWidth="1"/>
    <col min="773" max="773" width="12" style="2057" customWidth="1"/>
    <col min="774" max="774" width="4.5703125" style="2057" bestFit="1" customWidth="1"/>
    <col min="775" max="775" width="13.140625" style="2057" bestFit="1" customWidth="1"/>
    <col min="776" max="776" width="12.28515625" style="2057" bestFit="1" customWidth="1"/>
    <col min="777" max="1018" width="16.5703125" style="2057"/>
    <col min="1019" max="1019" width="4.7109375" style="2057" customWidth="1"/>
    <col min="1020" max="1020" width="50" style="2057" customWidth="1"/>
    <col min="1021" max="1021" width="9.7109375" style="2057" customWidth="1"/>
    <col min="1022" max="1022" width="13" style="2057" customWidth="1"/>
    <col min="1023" max="1023" width="3.85546875" style="2057" bestFit="1" customWidth="1"/>
    <col min="1024" max="1024" width="12.85546875" style="2057" customWidth="1"/>
    <col min="1025" max="1025" width="13.85546875" style="2057" customWidth="1"/>
    <col min="1026" max="1026" width="13.140625" style="2057" bestFit="1" customWidth="1"/>
    <col min="1027" max="1027" width="12" style="2057" customWidth="1"/>
    <col min="1028" max="1028" width="1.7109375" style="2057" customWidth="1"/>
    <col min="1029" max="1029" width="12" style="2057" customWidth="1"/>
    <col min="1030" max="1030" width="4.5703125" style="2057" bestFit="1" customWidth="1"/>
    <col min="1031" max="1031" width="13.140625" style="2057" bestFit="1" customWidth="1"/>
    <col min="1032" max="1032" width="12.28515625" style="2057" bestFit="1" customWidth="1"/>
    <col min="1033" max="1274" width="16.5703125" style="2057"/>
    <col min="1275" max="1275" width="4.7109375" style="2057" customWidth="1"/>
    <col min="1276" max="1276" width="50" style="2057" customWidth="1"/>
    <col min="1277" max="1277" width="9.7109375" style="2057" customWidth="1"/>
    <col min="1278" max="1278" width="13" style="2057" customWidth="1"/>
    <col min="1279" max="1279" width="3.85546875" style="2057" bestFit="1" customWidth="1"/>
    <col min="1280" max="1280" width="12.85546875" style="2057" customWidth="1"/>
    <col min="1281" max="1281" width="13.85546875" style="2057" customWidth="1"/>
    <col min="1282" max="1282" width="13.140625" style="2057" bestFit="1" customWidth="1"/>
    <col min="1283" max="1283" width="12" style="2057" customWidth="1"/>
    <col min="1284" max="1284" width="1.7109375" style="2057" customWidth="1"/>
    <col min="1285" max="1285" width="12" style="2057" customWidth="1"/>
    <col min="1286" max="1286" width="4.5703125" style="2057" bestFit="1" customWidth="1"/>
    <col min="1287" max="1287" width="13.140625" style="2057" bestFit="1" customWidth="1"/>
    <col min="1288" max="1288" width="12.28515625" style="2057" bestFit="1" customWidth="1"/>
    <col min="1289" max="1530" width="16.5703125" style="2057"/>
    <col min="1531" max="1531" width="4.7109375" style="2057" customWidth="1"/>
    <col min="1532" max="1532" width="50" style="2057" customWidth="1"/>
    <col min="1533" max="1533" width="9.7109375" style="2057" customWidth="1"/>
    <col min="1534" max="1534" width="13" style="2057" customWidth="1"/>
    <col min="1535" max="1535" width="3.85546875" style="2057" bestFit="1" customWidth="1"/>
    <col min="1536" max="1536" width="12.85546875" style="2057" customWidth="1"/>
    <col min="1537" max="1537" width="13.85546875" style="2057" customWidth="1"/>
    <col min="1538" max="1538" width="13.140625" style="2057" bestFit="1" customWidth="1"/>
    <col min="1539" max="1539" width="12" style="2057" customWidth="1"/>
    <col min="1540" max="1540" width="1.7109375" style="2057" customWidth="1"/>
    <col min="1541" max="1541" width="12" style="2057" customWidth="1"/>
    <col min="1542" max="1542" width="4.5703125" style="2057" bestFit="1" customWidth="1"/>
    <col min="1543" max="1543" width="13.140625" style="2057" bestFit="1" customWidth="1"/>
    <col min="1544" max="1544" width="12.28515625" style="2057" bestFit="1" customWidth="1"/>
    <col min="1545" max="1786" width="16.5703125" style="2057"/>
    <col min="1787" max="1787" width="4.7109375" style="2057" customWidth="1"/>
    <col min="1788" max="1788" width="50" style="2057" customWidth="1"/>
    <col min="1789" max="1789" width="9.7109375" style="2057" customWidth="1"/>
    <col min="1790" max="1790" width="13" style="2057" customWidth="1"/>
    <col min="1791" max="1791" width="3.85546875" style="2057" bestFit="1" customWidth="1"/>
    <col min="1792" max="1792" width="12.85546875" style="2057" customWidth="1"/>
    <col min="1793" max="1793" width="13.85546875" style="2057" customWidth="1"/>
    <col min="1794" max="1794" width="13.140625" style="2057" bestFit="1" customWidth="1"/>
    <col min="1795" max="1795" width="12" style="2057" customWidth="1"/>
    <col min="1796" max="1796" width="1.7109375" style="2057" customWidth="1"/>
    <col min="1797" max="1797" width="12" style="2057" customWidth="1"/>
    <col min="1798" max="1798" width="4.5703125" style="2057" bestFit="1" customWidth="1"/>
    <col min="1799" max="1799" width="13.140625" style="2057" bestFit="1" customWidth="1"/>
    <col min="1800" max="1800" width="12.28515625" style="2057" bestFit="1" customWidth="1"/>
    <col min="1801" max="2042" width="16.5703125" style="2057"/>
    <col min="2043" max="2043" width="4.7109375" style="2057" customWidth="1"/>
    <col min="2044" max="2044" width="50" style="2057" customWidth="1"/>
    <col min="2045" max="2045" width="9.7109375" style="2057" customWidth="1"/>
    <col min="2046" max="2046" width="13" style="2057" customWidth="1"/>
    <col min="2047" max="2047" width="3.85546875" style="2057" bestFit="1" customWidth="1"/>
    <col min="2048" max="2048" width="12.85546875" style="2057" customWidth="1"/>
    <col min="2049" max="2049" width="13.85546875" style="2057" customWidth="1"/>
    <col min="2050" max="2050" width="13.140625" style="2057" bestFit="1" customWidth="1"/>
    <col min="2051" max="2051" width="12" style="2057" customWidth="1"/>
    <col min="2052" max="2052" width="1.7109375" style="2057" customWidth="1"/>
    <col min="2053" max="2053" width="12" style="2057" customWidth="1"/>
    <col min="2054" max="2054" width="4.5703125" style="2057" bestFit="1" customWidth="1"/>
    <col min="2055" max="2055" width="13.140625" style="2057" bestFit="1" customWidth="1"/>
    <col min="2056" max="2056" width="12.28515625" style="2057" bestFit="1" customWidth="1"/>
    <col min="2057" max="2298" width="16.5703125" style="2057"/>
    <col min="2299" max="2299" width="4.7109375" style="2057" customWidth="1"/>
    <col min="2300" max="2300" width="50" style="2057" customWidth="1"/>
    <col min="2301" max="2301" width="9.7109375" style="2057" customWidth="1"/>
    <col min="2302" max="2302" width="13" style="2057" customWidth="1"/>
    <col min="2303" max="2303" width="3.85546875" style="2057" bestFit="1" customWidth="1"/>
    <col min="2304" max="2304" width="12.85546875" style="2057" customWidth="1"/>
    <col min="2305" max="2305" width="13.85546875" style="2057" customWidth="1"/>
    <col min="2306" max="2306" width="13.140625" style="2057" bestFit="1" customWidth="1"/>
    <col min="2307" max="2307" width="12" style="2057" customWidth="1"/>
    <col min="2308" max="2308" width="1.7109375" style="2057" customWidth="1"/>
    <col min="2309" max="2309" width="12" style="2057" customWidth="1"/>
    <col min="2310" max="2310" width="4.5703125" style="2057" bestFit="1" customWidth="1"/>
    <col min="2311" max="2311" width="13.140625" style="2057" bestFit="1" customWidth="1"/>
    <col min="2312" max="2312" width="12.28515625" style="2057" bestFit="1" customWidth="1"/>
    <col min="2313" max="2554" width="16.5703125" style="2057"/>
    <col min="2555" max="2555" width="4.7109375" style="2057" customWidth="1"/>
    <col min="2556" max="2556" width="50" style="2057" customWidth="1"/>
    <col min="2557" max="2557" width="9.7109375" style="2057" customWidth="1"/>
    <col min="2558" max="2558" width="13" style="2057" customWidth="1"/>
    <col min="2559" max="2559" width="3.85546875" style="2057" bestFit="1" customWidth="1"/>
    <col min="2560" max="2560" width="12.85546875" style="2057" customWidth="1"/>
    <col min="2561" max="2561" width="13.85546875" style="2057" customWidth="1"/>
    <col min="2562" max="2562" width="13.140625" style="2057" bestFit="1" customWidth="1"/>
    <col min="2563" max="2563" width="12" style="2057" customWidth="1"/>
    <col min="2564" max="2564" width="1.7109375" style="2057" customWidth="1"/>
    <col min="2565" max="2565" width="12" style="2057" customWidth="1"/>
    <col min="2566" max="2566" width="4.5703125" style="2057" bestFit="1" customWidth="1"/>
    <col min="2567" max="2567" width="13.140625" style="2057" bestFit="1" customWidth="1"/>
    <col min="2568" max="2568" width="12.28515625" style="2057" bestFit="1" customWidth="1"/>
    <col min="2569" max="2810" width="16.5703125" style="2057"/>
    <col min="2811" max="2811" width="4.7109375" style="2057" customWidth="1"/>
    <col min="2812" max="2812" width="50" style="2057" customWidth="1"/>
    <col min="2813" max="2813" width="9.7109375" style="2057" customWidth="1"/>
    <col min="2814" max="2814" width="13" style="2057" customWidth="1"/>
    <col min="2815" max="2815" width="3.85546875" style="2057" bestFit="1" customWidth="1"/>
    <col min="2816" max="2816" width="12.85546875" style="2057" customWidth="1"/>
    <col min="2817" max="2817" width="13.85546875" style="2057" customWidth="1"/>
    <col min="2818" max="2818" width="13.140625" style="2057" bestFit="1" customWidth="1"/>
    <col min="2819" max="2819" width="12" style="2057" customWidth="1"/>
    <col min="2820" max="2820" width="1.7109375" style="2057" customWidth="1"/>
    <col min="2821" max="2821" width="12" style="2057" customWidth="1"/>
    <col min="2822" max="2822" width="4.5703125" style="2057" bestFit="1" customWidth="1"/>
    <col min="2823" max="2823" width="13.140625" style="2057" bestFit="1" customWidth="1"/>
    <col min="2824" max="2824" width="12.28515625" style="2057" bestFit="1" customWidth="1"/>
    <col min="2825" max="3066" width="16.5703125" style="2057"/>
    <col min="3067" max="3067" width="4.7109375" style="2057" customWidth="1"/>
    <col min="3068" max="3068" width="50" style="2057" customWidth="1"/>
    <col min="3069" max="3069" width="9.7109375" style="2057" customWidth="1"/>
    <col min="3070" max="3070" width="13" style="2057" customWidth="1"/>
    <col min="3071" max="3071" width="3.85546875" style="2057" bestFit="1" customWidth="1"/>
    <col min="3072" max="3072" width="12.85546875" style="2057" customWidth="1"/>
    <col min="3073" max="3073" width="13.85546875" style="2057" customWidth="1"/>
    <col min="3074" max="3074" width="13.140625" style="2057" bestFit="1" customWidth="1"/>
    <col min="3075" max="3075" width="12" style="2057" customWidth="1"/>
    <col min="3076" max="3076" width="1.7109375" style="2057" customWidth="1"/>
    <col min="3077" max="3077" width="12" style="2057" customWidth="1"/>
    <col min="3078" max="3078" width="4.5703125" style="2057" bestFit="1" customWidth="1"/>
    <col min="3079" max="3079" width="13.140625" style="2057" bestFit="1" customWidth="1"/>
    <col min="3080" max="3080" width="12.28515625" style="2057" bestFit="1" customWidth="1"/>
    <col min="3081" max="3322" width="16.5703125" style="2057"/>
    <col min="3323" max="3323" width="4.7109375" style="2057" customWidth="1"/>
    <col min="3324" max="3324" width="50" style="2057" customWidth="1"/>
    <col min="3325" max="3325" width="9.7109375" style="2057" customWidth="1"/>
    <col min="3326" max="3326" width="13" style="2057" customWidth="1"/>
    <col min="3327" max="3327" width="3.85546875" style="2057" bestFit="1" customWidth="1"/>
    <col min="3328" max="3328" width="12.85546875" style="2057" customWidth="1"/>
    <col min="3329" max="3329" width="13.85546875" style="2057" customWidth="1"/>
    <col min="3330" max="3330" width="13.140625" style="2057" bestFit="1" customWidth="1"/>
    <col min="3331" max="3331" width="12" style="2057" customWidth="1"/>
    <col min="3332" max="3332" width="1.7109375" style="2057" customWidth="1"/>
    <col min="3333" max="3333" width="12" style="2057" customWidth="1"/>
    <col min="3334" max="3334" width="4.5703125" style="2057" bestFit="1" customWidth="1"/>
    <col min="3335" max="3335" width="13.140625" style="2057" bestFit="1" customWidth="1"/>
    <col min="3336" max="3336" width="12.28515625" style="2057" bestFit="1" customWidth="1"/>
    <col min="3337" max="3578" width="16.5703125" style="2057"/>
    <col min="3579" max="3579" width="4.7109375" style="2057" customWidth="1"/>
    <col min="3580" max="3580" width="50" style="2057" customWidth="1"/>
    <col min="3581" max="3581" width="9.7109375" style="2057" customWidth="1"/>
    <col min="3582" max="3582" width="13" style="2057" customWidth="1"/>
    <col min="3583" max="3583" width="3.85546875" style="2057" bestFit="1" customWidth="1"/>
    <col min="3584" max="3584" width="12.85546875" style="2057" customWidth="1"/>
    <col min="3585" max="3585" width="13.85546875" style="2057" customWidth="1"/>
    <col min="3586" max="3586" width="13.140625" style="2057" bestFit="1" customWidth="1"/>
    <col min="3587" max="3587" width="12" style="2057" customWidth="1"/>
    <col min="3588" max="3588" width="1.7109375" style="2057" customWidth="1"/>
    <col min="3589" max="3589" width="12" style="2057" customWidth="1"/>
    <col min="3590" max="3590" width="4.5703125" style="2057" bestFit="1" customWidth="1"/>
    <col min="3591" max="3591" width="13.140625" style="2057" bestFit="1" customWidth="1"/>
    <col min="3592" max="3592" width="12.28515625" style="2057" bestFit="1" customWidth="1"/>
    <col min="3593" max="3834" width="16.5703125" style="2057"/>
    <col min="3835" max="3835" width="4.7109375" style="2057" customWidth="1"/>
    <col min="3836" max="3836" width="50" style="2057" customWidth="1"/>
    <col min="3837" max="3837" width="9.7109375" style="2057" customWidth="1"/>
    <col min="3838" max="3838" width="13" style="2057" customWidth="1"/>
    <col min="3839" max="3839" width="3.85546875" style="2057" bestFit="1" customWidth="1"/>
    <col min="3840" max="3840" width="12.85546875" style="2057" customWidth="1"/>
    <col min="3841" max="3841" width="13.85546875" style="2057" customWidth="1"/>
    <col min="3842" max="3842" width="13.140625" style="2057" bestFit="1" customWidth="1"/>
    <col min="3843" max="3843" width="12" style="2057" customWidth="1"/>
    <col min="3844" max="3844" width="1.7109375" style="2057" customWidth="1"/>
    <col min="3845" max="3845" width="12" style="2057" customWidth="1"/>
    <col min="3846" max="3846" width="4.5703125" style="2057" bestFit="1" customWidth="1"/>
    <col min="3847" max="3847" width="13.140625" style="2057" bestFit="1" customWidth="1"/>
    <col min="3848" max="3848" width="12.28515625" style="2057" bestFit="1" customWidth="1"/>
    <col min="3849" max="4090" width="16.5703125" style="2057"/>
    <col min="4091" max="4091" width="4.7109375" style="2057" customWidth="1"/>
    <col min="4092" max="4092" width="50" style="2057" customWidth="1"/>
    <col min="4093" max="4093" width="9.7109375" style="2057" customWidth="1"/>
    <col min="4094" max="4094" width="13" style="2057" customWidth="1"/>
    <col min="4095" max="4095" width="3.85546875" style="2057" bestFit="1" customWidth="1"/>
    <col min="4096" max="4096" width="12.85546875" style="2057" customWidth="1"/>
    <col min="4097" max="4097" width="13.85546875" style="2057" customWidth="1"/>
    <col min="4098" max="4098" width="13.140625" style="2057" bestFit="1" customWidth="1"/>
    <col min="4099" max="4099" width="12" style="2057" customWidth="1"/>
    <col min="4100" max="4100" width="1.7109375" style="2057" customWidth="1"/>
    <col min="4101" max="4101" width="12" style="2057" customWidth="1"/>
    <col min="4102" max="4102" width="4.5703125" style="2057" bestFit="1" customWidth="1"/>
    <col min="4103" max="4103" width="13.140625" style="2057" bestFit="1" customWidth="1"/>
    <col min="4104" max="4104" width="12.28515625" style="2057" bestFit="1" customWidth="1"/>
    <col min="4105" max="4346" width="16.5703125" style="2057"/>
    <col min="4347" max="4347" width="4.7109375" style="2057" customWidth="1"/>
    <col min="4348" max="4348" width="50" style="2057" customWidth="1"/>
    <col min="4349" max="4349" width="9.7109375" style="2057" customWidth="1"/>
    <col min="4350" max="4350" width="13" style="2057" customWidth="1"/>
    <col min="4351" max="4351" width="3.85546875" style="2057" bestFit="1" customWidth="1"/>
    <col min="4352" max="4352" width="12.85546875" style="2057" customWidth="1"/>
    <col min="4353" max="4353" width="13.85546875" style="2057" customWidth="1"/>
    <col min="4354" max="4354" width="13.140625" style="2057" bestFit="1" customWidth="1"/>
    <col min="4355" max="4355" width="12" style="2057" customWidth="1"/>
    <col min="4356" max="4356" width="1.7109375" style="2057" customWidth="1"/>
    <col min="4357" max="4357" width="12" style="2057" customWidth="1"/>
    <col min="4358" max="4358" width="4.5703125" style="2057" bestFit="1" customWidth="1"/>
    <col min="4359" max="4359" width="13.140625" style="2057" bestFit="1" customWidth="1"/>
    <col min="4360" max="4360" width="12.28515625" style="2057" bestFit="1" customWidth="1"/>
    <col min="4361" max="4602" width="16.5703125" style="2057"/>
    <col min="4603" max="4603" width="4.7109375" style="2057" customWidth="1"/>
    <col min="4604" max="4604" width="50" style="2057" customWidth="1"/>
    <col min="4605" max="4605" width="9.7109375" style="2057" customWidth="1"/>
    <col min="4606" max="4606" width="13" style="2057" customWidth="1"/>
    <col min="4607" max="4607" width="3.85546875" style="2057" bestFit="1" customWidth="1"/>
    <col min="4608" max="4608" width="12.85546875" style="2057" customWidth="1"/>
    <col min="4609" max="4609" width="13.85546875" style="2057" customWidth="1"/>
    <col min="4610" max="4610" width="13.140625" style="2057" bestFit="1" customWidth="1"/>
    <col min="4611" max="4611" width="12" style="2057" customWidth="1"/>
    <col min="4612" max="4612" width="1.7109375" style="2057" customWidth="1"/>
    <col min="4613" max="4613" width="12" style="2057" customWidth="1"/>
    <col min="4614" max="4614" width="4.5703125" style="2057" bestFit="1" customWidth="1"/>
    <col min="4615" max="4615" width="13.140625" style="2057" bestFit="1" customWidth="1"/>
    <col min="4616" max="4616" width="12.28515625" style="2057" bestFit="1" customWidth="1"/>
    <col min="4617" max="4858" width="16.5703125" style="2057"/>
    <col min="4859" max="4859" width="4.7109375" style="2057" customWidth="1"/>
    <col min="4860" max="4860" width="50" style="2057" customWidth="1"/>
    <col min="4861" max="4861" width="9.7109375" style="2057" customWidth="1"/>
    <col min="4862" max="4862" width="13" style="2057" customWidth="1"/>
    <col min="4863" max="4863" width="3.85546875" style="2057" bestFit="1" customWidth="1"/>
    <col min="4864" max="4864" width="12.85546875" style="2057" customWidth="1"/>
    <col min="4865" max="4865" width="13.85546875" style="2057" customWidth="1"/>
    <col min="4866" max="4866" width="13.140625" style="2057" bestFit="1" customWidth="1"/>
    <col min="4867" max="4867" width="12" style="2057" customWidth="1"/>
    <col min="4868" max="4868" width="1.7109375" style="2057" customWidth="1"/>
    <col min="4869" max="4869" width="12" style="2057" customWidth="1"/>
    <col min="4870" max="4870" width="4.5703125" style="2057" bestFit="1" customWidth="1"/>
    <col min="4871" max="4871" width="13.140625" style="2057" bestFit="1" customWidth="1"/>
    <col min="4872" max="4872" width="12.28515625" style="2057" bestFit="1" customWidth="1"/>
    <col min="4873" max="5114" width="16.5703125" style="2057"/>
    <col min="5115" max="5115" width="4.7109375" style="2057" customWidth="1"/>
    <col min="5116" max="5116" width="50" style="2057" customWidth="1"/>
    <col min="5117" max="5117" width="9.7109375" style="2057" customWidth="1"/>
    <col min="5118" max="5118" width="13" style="2057" customWidth="1"/>
    <col min="5119" max="5119" width="3.85546875" style="2057" bestFit="1" customWidth="1"/>
    <col min="5120" max="5120" width="12.85546875" style="2057" customWidth="1"/>
    <col min="5121" max="5121" width="13.85546875" style="2057" customWidth="1"/>
    <col min="5122" max="5122" width="13.140625" style="2057" bestFit="1" customWidth="1"/>
    <col min="5123" max="5123" width="12" style="2057" customWidth="1"/>
    <col min="5124" max="5124" width="1.7109375" style="2057" customWidth="1"/>
    <col min="5125" max="5125" width="12" style="2057" customWidth="1"/>
    <col min="5126" max="5126" width="4.5703125" style="2057" bestFit="1" customWidth="1"/>
    <col min="5127" max="5127" width="13.140625" style="2057" bestFit="1" customWidth="1"/>
    <col min="5128" max="5128" width="12.28515625" style="2057" bestFit="1" customWidth="1"/>
    <col min="5129" max="5370" width="16.5703125" style="2057"/>
    <col min="5371" max="5371" width="4.7109375" style="2057" customWidth="1"/>
    <col min="5372" max="5372" width="50" style="2057" customWidth="1"/>
    <col min="5373" max="5373" width="9.7109375" style="2057" customWidth="1"/>
    <col min="5374" max="5374" width="13" style="2057" customWidth="1"/>
    <col min="5375" max="5375" width="3.85546875" style="2057" bestFit="1" customWidth="1"/>
    <col min="5376" max="5376" width="12.85546875" style="2057" customWidth="1"/>
    <col min="5377" max="5377" width="13.85546875" style="2057" customWidth="1"/>
    <col min="5378" max="5378" width="13.140625" style="2057" bestFit="1" customWidth="1"/>
    <col min="5379" max="5379" width="12" style="2057" customWidth="1"/>
    <col min="5380" max="5380" width="1.7109375" style="2057" customWidth="1"/>
    <col min="5381" max="5381" width="12" style="2057" customWidth="1"/>
    <col min="5382" max="5382" width="4.5703125" style="2057" bestFit="1" customWidth="1"/>
    <col min="5383" max="5383" width="13.140625" style="2057" bestFit="1" customWidth="1"/>
    <col min="5384" max="5384" width="12.28515625" style="2057" bestFit="1" customWidth="1"/>
    <col min="5385" max="5626" width="16.5703125" style="2057"/>
    <col min="5627" max="5627" width="4.7109375" style="2057" customWidth="1"/>
    <col min="5628" max="5628" width="50" style="2057" customWidth="1"/>
    <col min="5629" max="5629" width="9.7109375" style="2057" customWidth="1"/>
    <col min="5630" max="5630" width="13" style="2057" customWidth="1"/>
    <col min="5631" max="5631" width="3.85546875" style="2057" bestFit="1" customWidth="1"/>
    <col min="5632" max="5632" width="12.85546875" style="2057" customWidth="1"/>
    <col min="5633" max="5633" width="13.85546875" style="2057" customWidth="1"/>
    <col min="5634" max="5634" width="13.140625" style="2057" bestFit="1" customWidth="1"/>
    <col min="5635" max="5635" width="12" style="2057" customWidth="1"/>
    <col min="5636" max="5636" width="1.7109375" style="2057" customWidth="1"/>
    <col min="5637" max="5637" width="12" style="2057" customWidth="1"/>
    <col min="5638" max="5638" width="4.5703125" style="2057" bestFit="1" customWidth="1"/>
    <col min="5639" max="5639" width="13.140625" style="2057" bestFit="1" customWidth="1"/>
    <col min="5640" max="5640" width="12.28515625" style="2057" bestFit="1" customWidth="1"/>
    <col min="5641" max="5882" width="16.5703125" style="2057"/>
    <col min="5883" max="5883" width="4.7109375" style="2057" customWidth="1"/>
    <col min="5884" max="5884" width="50" style="2057" customWidth="1"/>
    <col min="5885" max="5885" width="9.7109375" style="2057" customWidth="1"/>
    <col min="5886" max="5886" width="13" style="2057" customWidth="1"/>
    <col min="5887" max="5887" width="3.85546875" style="2057" bestFit="1" customWidth="1"/>
    <col min="5888" max="5888" width="12.85546875" style="2057" customWidth="1"/>
    <col min="5889" max="5889" width="13.85546875" style="2057" customWidth="1"/>
    <col min="5890" max="5890" width="13.140625" style="2057" bestFit="1" customWidth="1"/>
    <col min="5891" max="5891" width="12" style="2057" customWidth="1"/>
    <col min="5892" max="5892" width="1.7109375" style="2057" customWidth="1"/>
    <col min="5893" max="5893" width="12" style="2057" customWidth="1"/>
    <col min="5894" max="5894" width="4.5703125" style="2057" bestFit="1" customWidth="1"/>
    <col min="5895" max="5895" width="13.140625" style="2057" bestFit="1" customWidth="1"/>
    <col min="5896" max="5896" width="12.28515625" style="2057" bestFit="1" customWidth="1"/>
    <col min="5897" max="6138" width="16.5703125" style="2057"/>
    <col min="6139" max="6139" width="4.7109375" style="2057" customWidth="1"/>
    <col min="6140" max="6140" width="50" style="2057" customWidth="1"/>
    <col min="6141" max="6141" width="9.7109375" style="2057" customWidth="1"/>
    <col min="6142" max="6142" width="13" style="2057" customWidth="1"/>
    <col min="6143" max="6143" width="3.85546875" style="2057" bestFit="1" customWidth="1"/>
    <col min="6144" max="6144" width="12.85546875" style="2057" customWidth="1"/>
    <col min="6145" max="6145" width="13.85546875" style="2057" customWidth="1"/>
    <col min="6146" max="6146" width="13.140625" style="2057" bestFit="1" customWidth="1"/>
    <col min="6147" max="6147" width="12" style="2057" customWidth="1"/>
    <col min="6148" max="6148" width="1.7109375" style="2057" customWidth="1"/>
    <col min="6149" max="6149" width="12" style="2057" customWidth="1"/>
    <col min="6150" max="6150" width="4.5703125" style="2057" bestFit="1" customWidth="1"/>
    <col min="6151" max="6151" width="13.140625" style="2057" bestFit="1" customWidth="1"/>
    <col min="6152" max="6152" width="12.28515625" style="2057" bestFit="1" customWidth="1"/>
    <col min="6153" max="6394" width="16.5703125" style="2057"/>
    <col min="6395" max="6395" width="4.7109375" style="2057" customWidth="1"/>
    <col min="6396" max="6396" width="50" style="2057" customWidth="1"/>
    <col min="6397" max="6397" width="9.7109375" style="2057" customWidth="1"/>
    <col min="6398" max="6398" width="13" style="2057" customWidth="1"/>
    <col min="6399" max="6399" width="3.85546875" style="2057" bestFit="1" customWidth="1"/>
    <col min="6400" max="6400" width="12.85546875" style="2057" customWidth="1"/>
    <col min="6401" max="6401" width="13.85546875" style="2057" customWidth="1"/>
    <col min="6402" max="6402" width="13.140625" style="2057" bestFit="1" customWidth="1"/>
    <col min="6403" max="6403" width="12" style="2057" customWidth="1"/>
    <col min="6404" max="6404" width="1.7109375" style="2057" customWidth="1"/>
    <col min="6405" max="6405" width="12" style="2057" customWidth="1"/>
    <col min="6406" max="6406" width="4.5703125" style="2057" bestFit="1" customWidth="1"/>
    <col min="6407" max="6407" width="13.140625" style="2057" bestFit="1" customWidth="1"/>
    <col min="6408" max="6408" width="12.28515625" style="2057" bestFit="1" customWidth="1"/>
    <col min="6409" max="6650" width="16.5703125" style="2057"/>
    <col min="6651" max="6651" width="4.7109375" style="2057" customWidth="1"/>
    <col min="6652" max="6652" width="50" style="2057" customWidth="1"/>
    <col min="6653" max="6653" width="9.7109375" style="2057" customWidth="1"/>
    <col min="6654" max="6654" width="13" style="2057" customWidth="1"/>
    <col min="6655" max="6655" width="3.85546875" style="2057" bestFit="1" customWidth="1"/>
    <col min="6656" max="6656" width="12.85546875" style="2057" customWidth="1"/>
    <col min="6657" max="6657" width="13.85546875" style="2057" customWidth="1"/>
    <col min="6658" max="6658" width="13.140625" style="2057" bestFit="1" customWidth="1"/>
    <col min="6659" max="6659" width="12" style="2057" customWidth="1"/>
    <col min="6660" max="6660" width="1.7109375" style="2057" customWidth="1"/>
    <col min="6661" max="6661" width="12" style="2057" customWidth="1"/>
    <col min="6662" max="6662" width="4.5703125" style="2057" bestFit="1" customWidth="1"/>
    <col min="6663" max="6663" width="13.140625" style="2057" bestFit="1" customWidth="1"/>
    <col min="6664" max="6664" width="12.28515625" style="2057" bestFit="1" customWidth="1"/>
    <col min="6665" max="6906" width="16.5703125" style="2057"/>
    <col min="6907" max="6907" width="4.7109375" style="2057" customWidth="1"/>
    <col min="6908" max="6908" width="50" style="2057" customWidth="1"/>
    <col min="6909" max="6909" width="9.7109375" style="2057" customWidth="1"/>
    <col min="6910" max="6910" width="13" style="2057" customWidth="1"/>
    <col min="6911" max="6911" width="3.85546875" style="2057" bestFit="1" customWidth="1"/>
    <col min="6912" max="6912" width="12.85546875" style="2057" customWidth="1"/>
    <col min="6913" max="6913" width="13.85546875" style="2057" customWidth="1"/>
    <col min="6914" max="6914" width="13.140625" style="2057" bestFit="1" customWidth="1"/>
    <col min="6915" max="6915" width="12" style="2057" customWidth="1"/>
    <col min="6916" max="6916" width="1.7109375" style="2057" customWidth="1"/>
    <col min="6917" max="6917" width="12" style="2057" customWidth="1"/>
    <col min="6918" max="6918" width="4.5703125" style="2057" bestFit="1" customWidth="1"/>
    <col min="6919" max="6919" width="13.140625" style="2057" bestFit="1" customWidth="1"/>
    <col min="6920" max="6920" width="12.28515625" style="2057" bestFit="1" customWidth="1"/>
    <col min="6921" max="7162" width="16.5703125" style="2057"/>
    <col min="7163" max="7163" width="4.7109375" style="2057" customWidth="1"/>
    <col min="7164" max="7164" width="50" style="2057" customWidth="1"/>
    <col min="7165" max="7165" width="9.7109375" style="2057" customWidth="1"/>
    <col min="7166" max="7166" width="13" style="2057" customWidth="1"/>
    <col min="7167" max="7167" width="3.85546875" style="2057" bestFit="1" customWidth="1"/>
    <col min="7168" max="7168" width="12.85546875" style="2057" customWidth="1"/>
    <col min="7169" max="7169" width="13.85546875" style="2057" customWidth="1"/>
    <col min="7170" max="7170" width="13.140625" style="2057" bestFit="1" customWidth="1"/>
    <col min="7171" max="7171" width="12" style="2057" customWidth="1"/>
    <col min="7172" max="7172" width="1.7109375" style="2057" customWidth="1"/>
    <col min="7173" max="7173" width="12" style="2057" customWidth="1"/>
    <col min="7174" max="7174" width="4.5703125" style="2057" bestFit="1" customWidth="1"/>
    <col min="7175" max="7175" width="13.140625" style="2057" bestFit="1" customWidth="1"/>
    <col min="7176" max="7176" width="12.28515625" style="2057" bestFit="1" customWidth="1"/>
    <col min="7177" max="7418" width="16.5703125" style="2057"/>
    <col min="7419" max="7419" width="4.7109375" style="2057" customWidth="1"/>
    <col min="7420" max="7420" width="50" style="2057" customWidth="1"/>
    <col min="7421" max="7421" width="9.7109375" style="2057" customWidth="1"/>
    <col min="7422" max="7422" width="13" style="2057" customWidth="1"/>
    <col min="7423" max="7423" width="3.85546875" style="2057" bestFit="1" customWidth="1"/>
    <col min="7424" max="7424" width="12.85546875" style="2057" customWidth="1"/>
    <col min="7425" max="7425" width="13.85546875" style="2057" customWidth="1"/>
    <col min="7426" max="7426" width="13.140625" style="2057" bestFit="1" customWidth="1"/>
    <col min="7427" max="7427" width="12" style="2057" customWidth="1"/>
    <col min="7428" max="7428" width="1.7109375" style="2057" customWidth="1"/>
    <col min="7429" max="7429" width="12" style="2057" customWidth="1"/>
    <col min="7430" max="7430" width="4.5703125" style="2057" bestFit="1" customWidth="1"/>
    <col min="7431" max="7431" width="13.140625" style="2057" bestFit="1" customWidth="1"/>
    <col min="7432" max="7432" width="12.28515625" style="2057" bestFit="1" customWidth="1"/>
    <col min="7433" max="7674" width="16.5703125" style="2057"/>
    <col min="7675" max="7675" width="4.7109375" style="2057" customWidth="1"/>
    <col min="7676" max="7676" width="50" style="2057" customWidth="1"/>
    <col min="7677" max="7677" width="9.7109375" style="2057" customWidth="1"/>
    <col min="7678" max="7678" width="13" style="2057" customWidth="1"/>
    <col min="7679" max="7679" width="3.85546875" style="2057" bestFit="1" customWidth="1"/>
    <col min="7680" max="7680" width="12.85546875" style="2057" customWidth="1"/>
    <col min="7681" max="7681" width="13.85546875" style="2057" customWidth="1"/>
    <col min="7682" max="7682" width="13.140625" style="2057" bestFit="1" customWidth="1"/>
    <col min="7683" max="7683" width="12" style="2057" customWidth="1"/>
    <col min="7684" max="7684" width="1.7109375" style="2057" customWidth="1"/>
    <col min="7685" max="7685" width="12" style="2057" customWidth="1"/>
    <col min="7686" max="7686" width="4.5703125" style="2057" bestFit="1" customWidth="1"/>
    <col min="7687" max="7687" width="13.140625" style="2057" bestFit="1" customWidth="1"/>
    <col min="7688" max="7688" width="12.28515625" style="2057" bestFit="1" customWidth="1"/>
    <col min="7689" max="7930" width="16.5703125" style="2057"/>
    <col min="7931" max="7931" width="4.7109375" style="2057" customWidth="1"/>
    <col min="7932" max="7932" width="50" style="2057" customWidth="1"/>
    <col min="7933" max="7933" width="9.7109375" style="2057" customWidth="1"/>
    <col min="7934" max="7934" width="13" style="2057" customWidth="1"/>
    <col min="7935" max="7935" width="3.85546875" style="2057" bestFit="1" customWidth="1"/>
    <col min="7936" max="7936" width="12.85546875" style="2057" customWidth="1"/>
    <col min="7937" max="7937" width="13.85546875" style="2057" customWidth="1"/>
    <col min="7938" max="7938" width="13.140625" style="2057" bestFit="1" customWidth="1"/>
    <col min="7939" max="7939" width="12" style="2057" customWidth="1"/>
    <col min="7940" max="7940" width="1.7109375" style="2057" customWidth="1"/>
    <col min="7941" max="7941" width="12" style="2057" customWidth="1"/>
    <col min="7942" max="7942" width="4.5703125" style="2057" bestFit="1" customWidth="1"/>
    <col min="7943" max="7943" width="13.140625" style="2057" bestFit="1" customWidth="1"/>
    <col min="7944" max="7944" width="12.28515625" style="2057" bestFit="1" customWidth="1"/>
    <col min="7945" max="8186" width="16.5703125" style="2057"/>
    <col min="8187" max="8187" width="4.7109375" style="2057" customWidth="1"/>
    <col min="8188" max="8188" width="50" style="2057" customWidth="1"/>
    <col min="8189" max="8189" width="9.7109375" style="2057" customWidth="1"/>
    <col min="8190" max="8190" width="13" style="2057" customWidth="1"/>
    <col min="8191" max="8191" width="3.85546875" style="2057" bestFit="1" customWidth="1"/>
    <col min="8192" max="8192" width="12.85546875" style="2057" customWidth="1"/>
    <col min="8193" max="8193" width="13.85546875" style="2057" customWidth="1"/>
    <col min="8194" max="8194" width="13.140625" style="2057" bestFit="1" customWidth="1"/>
    <col min="8195" max="8195" width="12" style="2057" customWidth="1"/>
    <col min="8196" max="8196" width="1.7109375" style="2057" customWidth="1"/>
    <col min="8197" max="8197" width="12" style="2057" customWidth="1"/>
    <col min="8198" max="8198" width="4.5703125" style="2057" bestFit="1" customWidth="1"/>
    <col min="8199" max="8199" width="13.140625" style="2057" bestFit="1" customWidth="1"/>
    <col min="8200" max="8200" width="12.28515625" style="2057" bestFit="1" customWidth="1"/>
    <col min="8201" max="8442" width="16.5703125" style="2057"/>
    <col min="8443" max="8443" width="4.7109375" style="2057" customWidth="1"/>
    <col min="8444" max="8444" width="50" style="2057" customWidth="1"/>
    <col min="8445" max="8445" width="9.7109375" style="2057" customWidth="1"/>
    <col min="8446" max="8446" width="13" style="2057" customWidth="1"/>
    <col min="8447" max="8447" width="3.85546875" style="2057" bestFit="1" customWidth="1"/>
    <col min="8448" max="8448" width="12.85546875" style="2057" customWidth="1"/>
    <col min="8449" max="8449" width="13.85546875" style="2057" customWidth="1"/>
    <col min="8450" max="8450" width="13.140625" style="2057" bestFit="1" customWidth="1"/>
    <col min="8451" max="8451" width="12" style="2057" customWidth="1"/>
    <col min="8452" max="8452" width="1.7109375" style="2057" customWidth="1"/>
    <col min="8453" max="8453" width="12" style="2057" customWidth="1"/>
    <col min="8454" max="8454" width="4.5703125" style="2057" bestFit="1" customWidth="1"/>
    <col min="8455" max="8455" width="13.140625" style="2057" bestFit="1" customWidth="1"/>
    <col min="8456" max="8456" width="12.28515625" style="2057" bestFit="1" customWidth="1"/>
    <col min="8457" max="8698" width="16.5703125" style="2057"/>
    <col min="8699" max="8699" width="4.7109375" style="2057" customWidth="1"/>
    <col min="8700" max="8700" width="50" style="2057" customWidth="1"/>
    <col min="8701" max="8701" width="9.7109375" style="2057" customWidth="1"/>
    <col min="8702" max="8702" width="13" style="2057" customWidth="1"/>
    <col min="8703" max="8703" width="3.85546875" style="2057" bestFit="1" customWidth="1"/>
    <col min="8704" max="8704" width="12.85546875" style="2057" customWidth="1"/>
    <col min="8705" max="8705" width="13.85546875" style="2057" customWidth="1"/>
    <col min="8706" max="8706" width="13.140625" style="2057" bestFit="1" customWidth="1"/>
    <col min="8707" max="8707" width="12" style="2057" customWidth="1"/>
    <col min="8708" max="8708" width="1.7109375" style="2057" customWidth="1"/>
    <col min="8709" max="8709" width="12" style="2057" customWidth="1"/>
    <col min="8710" max="8710" width="4.5703125" style="2057" bestFit="1" customWidth="1"/>
    <col min="8711" max="8711" width="13.140625" style="2057" bestFit="1" customWidth="1"/>
    <col min="8712" max="8712" width="12.28515625" style="2057" bestFit="1" customWidth="1"/>
    <col min="8713" max="8954" width="16.5703125" style="2057"/>
    <col min="8955" max="8955" width="4.7109375" style="2057" customWidth="1"/>
    <col min="8956" max="8956" width="50" style="2057" customWidth="1"/>
    <col min="8957" max="8957" width="9.7109375" style="2057" customWidth="1"/>
    <col min="8958" max="8958" width="13" style="2057" customWidth="1"/>
    <col min="8959" max="8959" width="3.85546875" style="2057" bestFit="1" customWidth="1"/>
    <col min="8960" max="8960" width="12.85546875" style="2057" customWidth="1"/>
    <col min="8961" max="8961" width="13.85546875" style="2057" customWidth="1"/>
    <col min="8962" max="8962" width="13.140625" style="2057" bestFit="1" customWidth="1"/>
    <col min="8963" max="8963" width="12" style="2057" customWidth="1"/>
    <col min="8964" max="8964" width="1.7109375" style="2057" customWidth="1"/>
    <col min="8965" max="8965" width="12" style="2057" customWidth="1"/>
    <col min="8966" max="8966" width="4.5703125" style="2057" bestFit="1" customWidth="1"/>
    <col min="8967" max="8967" width="13.140625" style="2057" bestFit="1" customWidth="1"/>
    <col min="8968" max="8968" width="12.28515625" style="2057" bestFit="1" customWidth="1"/>
    <col min="8969" max="9210" width="16.5703125" style="2057"/>
    <col min="9211" max="9211" width="4.7109375" style="2057" customWidth="1"/>
    <col min="9212" max="9212" width="50" style="2057" customWidth="1"/>
    <col min="9213" max="9213" width="9.7109375" style="2057" customWidth="1"/>
    <col min="9214" max="9214" width="13" style="2057" customWidth="1"/>
    <col min="9215" max="9215" width="3.85546875" style="2057" bestFit="1" customWidth="1"/>
    <col min="9216" max="9216" width="12.85546875" style="2057" customWidth="1"/>
    <col min="9217" max="9217" width="13.85546875" style="2057" customWidth="1"/>
    <col min="9218" max="9218" width="13.140625" style="2057" bestFit="1" customWidth="1"/>
    <col min="9219" max="9219" width="12" style="2057" customWidth="1"/>
    <col min="9220" max="9220" width="1.7109375" style="2057" customWidth="1"/>
    <col min="9221" max="9221" width="12" style="2057" customWidth="1"/>
    <col min="9222" max="9222" width="4.5703125" style="2057" bestFit="1" customWidth="1"/>
    <col min="9223" max="9223" width="13.140625" style="2057" bestFit="1" customWidth="1"/>
    <col min="9224" max="9224" width="12.28515625" style="2057" bestFit="1" customWidth="1"/>
    <col min="9225" max="9466" width="16.5703125" style="2057"/>
    <col min="9467" max="9467" width="4.7109375" style="2057" customWidth="1"/>
    <col min="9468" max="9468" width="50" style="2057" customWidth="1"/>
    <col min="9469" max="9469" width="9.7109375" style="2057" customWidth="1"/>
    <col min="9470" max="9470" width="13" style="2057" customWidth="1"/>
    <col min="9471" max="9471" width="3.85546875" style="2057" bestFit="1" customWidth="1"/>
    <col min="9472" max="9472" width="12.85546875" style="2057" customWidth="1"/>
    <col min="9473" max="9473" width="13.85546875" style="2057" customWidth="1"/>
    <col min="9474" max="9474" width="13.140625" style="2057" bestFit="1" customWidth="1"/>
    <col min="9475" max="9475" width="12" style="2057" customWidth="1"/>
    <col min="9476" max="9476" width="1.7109375" style="2057" customWidth="1"/>
    <col min="9477" max="9477" width="12" style="2057" customWidth="1"/>
    <col min="9478" max="9478" width="4.5703125" style="2057" bestFit="1" customWidth="1"/>
    <col min="9479" max="9479" width="13.140625" style="2057" bestFit="1" customWidth="1"/>
    <col min="9480" max="9480" width="12.28515625" style="2057" bestFit="1" customWidth="1"/>
    <col min="9481" max="9722" width="16.5703125" style="2057"/>
    <col min="9723" max="9723" width="4.7109375" style="2057" customWidth="1"/>
    <col min="9724" max="9724" width="50" style="2057" customWidth="1"/>
    <col min="9725" max="9725" width="9.7109375" style="2057" customWidth="1"/>
    <col min="9726" max="9726" width="13" style="2057" customWidth="1"/>
    <col min="9727" max="9727" width="3.85546875" style="2057" bestFit="1" customWidth="1"/>
    <col min="9728" max="9728" width="12.85546875" style="2057" customWidth="1"/>
    <col min="9729" max="9729" width="13.85546875" style="2057" customWidth="1"/>
    <col min="9730" max="9730" width="13.140625" style="2057" bestFit="1" customWidth="1"/>
    <col min="9731" max="9731" width="12" style="2057" customWidth="1"/>
    <col min="9732" max="9732" width="1.7109375" style="2057" customWidth="1"/>
    <col min="9733" max="9733" width="12" style="2057" customWidth="1"/>
    <col min="9734" max="9734" width="4.5703125" style="2057" bestFit="1" customWidth="1"/>
    <col min="9735" max="9735" width="13.140625" style="2057" bestFit="1" customWidth="1"/>
    <col min="9736" max="9736" width="12.28515625" style="2057" bestFit="1" customWidth="1"/>
    <col min="9737" max="9978" width="16.5703125" style="2057"/>
    <col min="9979" max="9979" width="4.7109375" style="2057" customWidth="1"/>
    <col min="9980" max="9980" width="50" style="2057" customWidth="1"/>
    <col min="9981" max="9981" width="9.7109375" style="2057" customWidth="1"/>
    <col min="9982" max="9982" width="13" style="2057" customWidth="1"/>
    <col min="9983" max="9983" width="3.85546875" style="2057" bestFit="1" customWidth="1"/>
    <col min="9984" max="9984" width="12.85546875" style="2057" customWidth="1"/>
    <col min="9985" max="9985" width="13.85546875" style="2057" customWidth="1"/>
    <col min="9986" max="9986" width="13.140625" style="2057" bestFit="1" customWidth="1"/>
    <col min="9987" max="9987" width="12" style="2057" customWidth="1"/>
    <col min="9988" max="9988" width="1.7109375" style="2057" customWidth="1"/>
    <col min="9989" max="9989" width="12" style="2057" customWidth="1"/>
    <col min="9990" max="9990" width="4.5703125" style="2057" bestFit="1" customWidth="1"/>
    <col min="9991" max="9991" width="13.140625" style="2057" bestFit="1" customWidth="1"/>
    <col min="9992" max="9992" width="12.28515625" style="2057" bestFit="1" customWidth="1"/>
    <col min="9993" max="10234" width="16.5703125" style="2057"/>
    <col min="10235" max="10235" width="4.7109375" style="2057" customWidth="1"/>
    <col min="10236" max="10236" width="50" style="2057" customWidth="1"/>
    <col min="10237" max="10237" width="9.7109375" style="2057" customWidth="1"/>
    <col min="10238" max="10238" width="13" style="2057" customWidth="1"/>
    <col min="10239" max="10239" width="3.85546875" style="2057" bestFit="1" customWidth="1"/>
    <col min="10240" max="10240" width="12.85546875" style="2057" customWidth="1"/>
    <col min="10241" max="10241" width="13.85546875" style="2057" customWidth="1"/>
    <col min="10242" max="10242" width="13.140625" style="2057" bestFit="1" customWidth="1"/>
    <col min="10243" max="10243" width="12" style="2057" customWidth="1"/>
    <col min="10244" max="10244" width="1.7109375" style="2057" customWidth="1"/>
    <col min="10245" max="10245" width="12" style="2057" customWidth="1"/>
    <col min="10246" max="10246" width="4.5703125" style="2057" bestFit="1" customWidth="1"/>
    <col min="10247" max="10247" width="13.140625" style="2057" bestFit="1" customWidth="1"/>
    <col min="10248" max="10248" width="12.28515625" style="2057" bestFit="1" customWidth="1"/>
    <col min="10249" max="10490" width="16.5703125" style="2057"/>
    <col min="10491" max="10491" width="4.7109375" style="2057" customWidth="1"/>
    <col min="10492" max="10492" width="50" style="2057" customWidth="1"/>
    <col min="10493" max="10493" width="9.7109375" style="2057" customWidth="1"/>
    <col min="10494" max="10494" width="13" style="2057" customWidth="1"/>
    <col min="10495" max="10495" width="3.85546875" style="2057" bestFit="1" customWidth="1"/>
    <col min="10496" max="10496" width="12.85546875" style="2057" customWidth="1"/>
    <col min="10497" max="10497" width="13.85546875" style="2057" customWidth="1"/>
    <col min="10498" max="10498" width="13.140625" style="2057" bestFit="1" customWidth="1"/>
    <col min="10499" max="10499" width="12" style="2057" customWidth="1"/>
    <col min="10500" max="10500" width="1.7109375" style="2057" customWidth="1"/>
    <col min="10501" max="10501" width="12" style="2057" customWidth="1"/>
    <col min="10502" max="10502" width="4.5703125" style="2057" bestFit="1" customWidth="1"/>
    <col min="10503" max="10503" width="13.140625" style="2057" bestFit="1" customWidth="1"/>
    <col min="10504" max="10504" width="12.28515625" style="2057" bestFit="1" customWidth="1"/>
    <col min="10505" max="10746" width="16.5703125" style="2057"/>
    <col min="10747" max="10747" width="4.7109375" style="2057" customWidth="1"/>
    <col min="10748" max="10748" width="50" style="2057" customWidth="1"/>
    <col min="10749" max="10749" width="9.7109375" style="2057" customWidth="1"/>
    <col min="10750" max="10750" width="13" style="2057" customWidth="1"/>
    <col min="10751" max="10751" width="3.85546875" style="2057" bestFit="1" customWidth="1"/>
    <col min="10752" max="10752" width="12.85546875" style="2057" customWidth="1"/>
    <col min="10753" max="10753" width="13.85546875" style="2057" customWidth="1"/>
    <col min="10754" max="10754" width="13.140625" style="2057" bestFit="1" customWidth="1"/>
    <col min="10755" max="10755" width="12" style="2057" customWidth="1"/>
    <col min="10756" max="10756" width="1.7109375" style="2057" customWidth="1"/>
    <col min="10757" max="10757" width="12" style="2057" customWidth="1"/>
    <col min="10758" max="10758" width="4.5703125" style="2057" bestFit="1" customWidth="1"/>
    <col min="10759" max="10759" width="13.140625" style="2057" bestFit="1" customWidth="1"/>
    <col min="10760" max="10760" width="12.28515625" style="2057" bestFit="1" customWidth="1"/>
    <col min="10761" max="11002" width="16.5703125" style="2057"/>
    <col min="11003" max="11003" width="4.7109375" style="2057" customWidth="1"/>
    <col min="11004" max="11004" width="50" style="2057" customWidth="1"/>
    <col min="11005" max="11005" width="9.7109375" style="2057" customWidth="1"/>
    <col min="11006" max="11006" width="13" style="2057" customWidth="1"/>
    <col min="11007" max="11007" width="3.85546875" style="2057" bestFit="1" customWidth="1"/>
    <col min="11008" max="11008" width="12.85546875" style="2057" customWidth="1"/>
    <col min="11009" max="11009" width="13.85546875" style="2057" customWidth="1"/>
    <col min="11010" max="11010" width="13.140625" style="2057" bestFit="1" customWidth="1"/>
    <col min="11011" max="11011" width="12" style="2057" customWidth="1"/>
    <col min="11012" max="11012" width="1.7109375" style="2057" customWidth="1"/>
    <col min="11013" max="11013" width="12" style="2057" customWidth="1"/>
    <col min="11014" max="11014" width="4.5703125" style="2057" bestFit="1" customWidth="1"/>
    <col min="11015" max="11015" width="13.140625" style="2057" bestFit="1" customWidth="1"/>
    <col min="11016" max="11016" width="12.28515625" style="2057" bestFit="1" customWidth="1"/>
    <col min="11017" max="11258" width="16.5703125" style="2057"/>
    <col min="11259" max="11259" width="4.7109375" style="2057" customWidth="1"/>
    <col min="11260" max="11260" width="50" style="2057" customWidth="1"/>
    <col min="11261" max="11261" width="9.7109375" style="2057" customWidth="1"/>
    <col min="11262" max="11262" width="13" style="2057" customWidth="1"/>
    <col min="11263" max="11263" width="3.85546875" style="2057" bestFit="1" customWidth="1"/>
    <col min="11264" max="11264" width="12.85546875" style="2057" customWidth="1"/>
    <col min="11265" max="11265" width="13.85546875" style="2057" customWidth="1"/>
    <col min="11266" max="11266" width="13.140625" style="2057" bestFit="1" customWidth="1"/>
    <col min="11267" max="11267" width="12" style="2057" customWidth="1"/>
    <col min="11268" max="11268" width="1.7109375" style="2057" customWidth="1"/>
    <col min="11269" max="11269" width="12" style="2057" customWidth="1"/>
    <col min="11270" max="11270" width="4.5703125" style="2057" bestFit="1" customWidth="1"/>
    <col min="11271" max="11271" width="13.140625" style="2057" bestFit="1" customWidth="1"/>
    <col min="11272" max="11272" width="12.28515625" style="2057" bestFit="1" customWidth="1"/>
    <col min="11273" max="11514" width="16.5703125" style="2057"/>
    <col min="11515" max="11515" width="4.7109375" style="2057" customWidth="1"/>
    <col min="11516" max="11516" width="50" style="2057" customWidth="1"/>
    <col min="11517" max="11517" width="9.7109375" style="2057" customWidth="1"/>
    <col min="11518" max="11518" width="13" style="2057" customWidth="1"/>
    <col min="11519" max="11519" width="3.85546875" style="2057" bestFit="1" customWidth="1"/>
    <col min="11520" max="11520" width="12.85546875" style="2057" customWidth="1"/>
    <col min="11521" max="11521" width="13.85546875" style="2057" customWidth="1"/>
    <col min="11522" max="11522" width="13.140625" style="2057" bestFit="1" customWidth="1"/>
    <col min="11523" max="11523" width="12" style="2057" customWidth="1"/>
    <col min="11524" max="11524" width="1.7109375" style="2057" customWidth="1"/>
    <col min="11525" max="11525" width="12" style="2057" customWidth="1"/>
    <col min="11526" max="11526" width="4.5703125" style="2057" bestFit="1" customWidth="1"/>
    <col min="11527" max="11527" width="13.140625" style="2057" bestFit="1" customWidth="1"/>
    <col min="11528" max="11528" width="12.28515625" style="2057" bestFit="1" customWidth="1"/>
    <col min="11529" max="11770" width="16.5703125" style="2057"/>
    <col min="11771" max="11771" width="4.7109375" style="2057" customWidth="1"/>
    <col min="11772" max="11772" width="50" style="2057" customWidth="1"/>
    <col min="11773" max="11773" width="9.7109375" style="2057" customWidth="1"/>
    <col min="11774" max="11774" width="13" style="2057" customWidth="1"/>
    <col min="11775" max="11775" width="3.85546875" style="2057" bestFit="1" customWidth="1"/>
    <col min="11776" max="11776" width="12.85546875" style="2057" customWidth="1"/>
    <col min="11777" max="11777" width="13.85546875" style="2057" customWidth="1"/>
    <col min="11778" max="11778" width="13.140625" style="2057" bestFit="1" customWidth="1"/>
    <col min="11779" max="11779" width="12" style="2057" customWidth="1"/>
    <col min="11780" max="11780" width="1.7109375" style="2057" customWidth="1"/>
    <col min="11781" max="11781" width="12" style="2057" customWidth="1"/>
    <col min="11782" max="11782" width="4.5703125" style="2057" bestFit="1" customWidth="1"/>
    <col min="11783" max="11783" width="13.140625" style="2057" bestFit="1" customWidth="1"/>
    <col min="11784" max="11784" width="12.28515625" style="2057" bestFit="1" customWidth="1"/>
    <col min="11785" max="12026" width="16.5703125" style="2057"/>
    <col min="12027" max="12027" width="4.7109375" style="2057" customWidth="1"/>
    <col min="12028" max="12028" width="50" style="2057" customWidth="1"/>
    <col min="12029" max="12029" width="9.7109375" style="2057" customWidth="1"/>
    <col min="12030" max="12030" width="13" style="2057" customWidth="1"/>
    <col min="12031" max="12031" width="3.85546875" style="2057" bestFit="1" customWidth="1"/>
    <col min="12032" max="12032" width="12.85546875" style="2057" customWidth="1"/>
    <col min="12033" max="12033" width="13.85546875" style="2057" customWidth="1"/>
    <col min="12034" max="12034" width="13.140625" style="2057" bestFit="1" customWidth="1"/>
    <col min="12035" max="12035" width="12" style="2057" customWidth="1"/>
    <col min="12036" max="12036" width="1.7109375" style="2057" customWidth="1"/>
    <col min="12037" max="12037" width="12" style="2057" customWidth="1"/>
    <col min="12038" max="12038" width="4.5703125" style="2057" bestFit="1" customWidth="1"/>
    <col min="12039" max="12039" width="13.140625" style="2057" bestFit="1" customWidth="1"/>
    <col min="12040" max="12040" width="12.28515625" style="2057" bestFit="1" customWidth="1"/>
    <col min="12041" max="12282" width="16.5703125" style="2057"/>
    <col min="12283" max="12283" width="4.7109375" style="2057" customWidth="1"/>
    <col min="12284" max="12284" width="50" style="2057" customWidth="1"/>
    <col min="12285" max="12285" width="9.7109375" style="2057" customWidth="1"/>
    <col min="12286" max="12286" width="13" style="2057" customWidth="1"/>
    <col min="12287" max="12287" width="3.85546875" style="2057" bestFit="1" customWidth="1"/>
    <col min="12288" max="12288" width="12.85546875" style="2057" customWidth="1"/>
    <col min="12289" max="12289" width="13.85546875" style="2057" customWidth="1"/>
    <col min="12290" max="12290" width="13.140625" style="2057" bestFit="1" customWidth="1"/>
    <col min="12291" max="12291" width="12" style="2057" customWidth="1"/>
    <col min="12292" max="12292" width="1.7109375" style="2057" customWidth="1"/>
    <col min="12293" max="12293" width="12" style="2057" customWidth="1"/>
    <col min="12294" max="12294" width="4.5703125" style="2057" bestFit="1" customWidth="1"/>
    <col min="12295" max="12295" width="13.140625" style="2057" bestFit="1" customWidth="1"/>
    <col min="12296" max="12296" width="12.28515625" style="2057" bestFit="1" customWidth="1"/>
    <col min="12297" max="12538" width="16.5703125" style="2057"/>
    <col min="12539" max="12539" width="4.7109375" style="2057" customWidth="1"/>
    <col min="12540" max="12540" width="50" style="2057" customWidth="1"/>
    <col min="12541" max="12541" width="9.7109375" style="2057" customWidth="1"/>
    <col min="12542" max="12542" width="13" style="2057" customWidth="1"/>
    <col min="12543" max="12543" width="3.85546875" style="2057" bestFit="1" customWidth="1"/>
    <col min="12544" max="12544" width="12.85546875" style="2057" customWidth="1"/>
    <col min="12545" max="12545" width="13.85546875" style="2057" customWidth="1"/>
    <col min="12546" max="12546" width="13.140625" style="2057" bestFit="1" customWidth="1"/>
    <col min="12547" max="12547" width="12" style="2057" customWidth="1"/>
    <col min="12548" max="12548" width="1.7109375" style="2057" customWidth="1"/>
    <col min="12549" max="12549" width="12" style="2057" customWidth="1"/>
    <col min="12550" max="12550" width="4.5703125" style="2057" bestFit="1" customWidth="1"/>
    <col min="12551" max="12551" width="13.140625" style="2057" bestFit="1" customWidth="1"/>
    <col min="12552" max="12552" width="12.28515625" style="2057" bestFit="1" customWidth="1"/>
    <col min="12553" max="12794" width="16.5703125" style="2057"/>
    <col min="12795" max="12795" width="4.7109375" style="2057" customWidth="1"/>
    <col min="12796" max="12796" width="50" style="2057" customWidth="1"/>
    <col min="12797" max="12797" width="9.7109375" style="2057" customWidth="1"/>
    <col min="12798" max="12798" width="13" style="2057" customWidth="1"/>
    <col min="12799" max="12799" width="3.85546875" style="2057" bestFit="1" customWidth="1"/>
    <col min="12800" max="12800" width="12.85546875" style="2057" customWidth="1"/>
    <col min="12801" max="12801" width="13.85546875" style="2057" customWidth="1"/>
    <col min="12802" max="12802" width="13.140625" style="2057" bestFit="1" customWidth="1"/>
    <col min="12803" max="12803" width="12" style="2057" customWidth="1"/>
    <col min="12804" max="12804" width="1.7109375" style="2057" customWidth="1"/>
    <col min="12805" max="12805" width="12" style="2057" customWidth="1"/>
    <col min="12806" max="12806" width="4.5703125" style="2057" bestFit="1" customWidth="1"/>
    <col min="12807" max="12807" width="13.140625" style="2057" bestFit="1" customWidth="1"/>
    <col min="12808" max="12808" width="12.28515625" style="2057" bestFit="1" customWidth="1"/>
    <col min="12809" max="13050" width="16.5703125" style="2057"/>
    <col min="13051" max="13051" width="4.7109375" style="2057" customWidth="1"/>
    <col min="13052" max="13052" width="50" style="2057" customWidth="1"/>
    <col min="13053" max="13053" width="9.7109375" style="2057" customWidth="1"/>
    <col min="13054" max="13054" width="13" style="2057" customWidth="1"/>
    <col min="13055" max="13055" width="3.85546875" style="2057" bestFit="1" customWidth="1"/>
    <col min="13056" max="13056" width="12.85546875" style="2057" customWidth="1"/>
    <col min="13057" max="13057" width="13.85546875" style="2057" customWidth="1"/>
    <col min="13058" max="13058" width="13.140625" style="2057" bestFit="1" customWidth="1"/>
    <col min="13059" max="13059" width="12" style="2057" customWidth="1"/>
    <col min="13060" max="13060" width="1.7109375" style="2057" customWidth="1"/>
    <col min="13061" max="13061" width="12" style="2057" customWidth="1"/>
    <col min="13062" max="13062" width="4.5703125" style="2057" bestFit="1" customWidth="1"/>
    <col min="13063" max="13063" width="13.140625" style="2057" bestFit="1" customWidth="1"/>
    <col min="13064" max="13064" width="12.28515625" style="2057" bestFit="1" customWidth="1"/>
    <col min="13065" max="13306" width="16.5703125" style="2057"/>
    <col min="13307" max="13307" width="4.7109375" style="2057" customWidth="1"/>
    <col min="13308" max="13308" width="50" style="2057" customWidth="1"/>
    <col min="13309" max="13309" width="9.7109375" style="2057" customWidth="1"/>
    <col min="13310" max="13310" width="13" style="2057" customWidth="1"/>
    <col min="13311" max="13311" width="3.85546875" style="2057" bestFit="1" customWidth="1"/>
    <col min="13312" max="13312" width="12.85546875" style="2057" customWidth="1"/>
    <col min="13313" max="13313" width="13.85546875" style="2057" customWidth="1"/>
    <col min="13314" max="13314" width="13.140625" style="2057" bestFit="1" customWidth="1"/>
    <col min="13315" max="13315" width="12" style="2057" customWidth="1"/>
    <col min="13316" max="13316" width="1.7109375" style="2057" customWidth="1"/>
    <col min="13317" max="13317" width="12" style="2057" customWidth="1"/>
    <col min="13318" max="13318" width="4.5703125" style="2057" bestFit="1" customWidth="1"/>
    <col min="13319" max="13319" width="13.140625" style="2057" bestFit="1" customWidth="1"/>
    <col min="13320" max="13320" width="12.28515625" style="2057" bestFit="1" customWidth="1"/>
    <col min="13321" max="13562" width="16.5703125" style="2057"/>
    <col min="13563" max="13563" width="4.7109375" style="2057" customWidth="1"/>
    <col min="13564" max="13564" width="50" style="2057" customWidth="1"/>
    <col min="13565" max="13565" width="9.7109375" style="2057" customWidth="1"/>
    <col min="13566" max="13566" width="13" style="2057" customWidth="1"/>
    <col min="13567" max="13567" width="3.85546875" style="2057" bestFit="1" customWidth="1"/>
    <col min="13568" max="13568" width="12.85546875" style="2057" customWidth="1"/>
    <col min="13569" max="13569" width="13.85546875" style="2057" customWidth="1"/>
    <col min="13570" max="13570" width="13.140625" style="2057" bestFit="1" customWidth="1"/>
    <col min="13571" max="13571" width="12" style="2057" customWidth="1"/>
    <col min="13572" max="13572" width="1.7109375" style="2057" customWidth="1"/>
    <col min="13573" max="13573" width="12" style="2057" customWidth="1"/>
    <col min="13574" max="13574" width="4.5703125" style="2057" bestFit="1" customWidth="1"/>
    <col min="13575" max="13575" width="13.140625" style="2057" bestFit="1" customWidth="1"/>
    <col min="13576" max="13576" width="12.28515625" style="2057" bestFit="1" customWidth="1"/>
    <col min="13577" max="13818" width="16.5703125" style="2057"/>
    <col min="13819" max="13819" width="4.7109375" style="2057" customWidth="1"/>
    <col min="13820" max="13820" width="50" style="2057" customWidth="1"/>
    <col min="13821" max="13821" width="9.7109375" style="2057" customWidth="1"/>
    <col min="13822" max="13822" width="13" style="2057" customWidth="1"/>
    <col min="13823" max="13823" width="3.85546875" style="2057" bestFit="1" customWidth="1"/>
    <col min="13824" max="13824" width="12.85546875" style="2057" customWidth="1"/>
    <col min="13825" max="13825" width="13.85546875" style="2057" customWidth="1"/>
    <col min="13826" max="13826" width="13.140625" style="2057" bestFit="1" customWidth="1"/>
    <col min="13827" max="13827" width="12" style="2057" customWidth="1"/>
    <col min="13828" max="13828" width="1.7109375" style="2057" customWidth="1"/>
    <col min="13829" max="13829" width="12" style="2057" customWidth="1"/>
    <col min="13830" max="13830" width="4.5703125" style="2057" bestFit="1" customWidth="1"/>
    <col min="13831" max="13831" width="13.140625" style="2057" bestFit="1" customWidth="1"/>
    <col min="13832" max="13832" width="12.28515625" style="2057" bestFit="1" customWidth="1"/>
    <col min="13833" max="14074" width="16.5703125" style="2057"/>
    <col min="14075" max="14075" width="4.7109375" style="2057" customWidth="1"/>
    <col min="14076" max="14076" width="50" style="2057" customWidth="1"/>
    <col min="14077" max="14077" width="9.7109375" style="2057" customWidth="1"/>
    <col min="14078" max="14078" width="13" style="2057" customWidth="1"/>
    <col min="14079" max="14079" width="3.85546875" style="2057" bestFit="1" customWidth="1"/>
    <col min="14080" max="14080" width="12.85546875" style="2057" customWidth="1"/>
    <col min="14081" max="14081" width="13.85546875" style="2057" customWidth="1"/>
    <col min="14082" max="14082" width="13.140625" style="2057" bestFit="1" customWidth="1"/>
    <col min="14083" max="14083" width="12" style="2057" customWidth="1"/>
    <col min="14084" max="14084" width="1.7109375" style="2057" customWidth="1"/>
    <col min="14085" max="14085" width="12" style="2057" customWidth="1"/>
    <col min="14086" max="14086" width="4.5703125" style="2057" bestFit="1" customWidth="1"/>
    <col min="14087" max="14087" width="13.140625" style="2057" bestFit="1" customWidth="1"/>
    <col min="14088" max="14088" width="12.28515625" style="2057" bestFit="1" customWidth="1"/>
    <col min="14089" max="14330" width="16.5703125" style="2057"/>
    <col min="14331" max="14331" width="4.7109375" style="2057" customWidth="1"/>
    <col min="14332" max="14332" width="50" style="2057" customWidth="1"/>
    <col min="14333" max="14333" width="9.7109375" style="2057" customWidth="1"/>
    <col min="14334" max="14334" width="13" style="2057" customWidth="1"/>
    <col min="14335" max="14335" width="3.85546875" style="2057" bestFit="1" customWidth="1"/>
    <col min="14336" max="14336" width="12.85546875" style="2057" customWidth="1"/>
    <col min="14337" max="14337" width="13.85546875" style="2057" customWidth="1"/>
    <col min="14338" max="14338" width="13.140625" style="2057" bestFit="1" customWidth="1"/>
    <col min="14339" max="14339" width="12" style="2057" customWidth="1"/>
    <col min="14340" max="14340" width="1.7109375" style="2057" customWidth="1"/>
    <col min="14341" max="14341" width="12" style="2057" customWidth="1"/>
    <col min="14342" max="14342" width="4.5703125" style="2057" bestFit="1" customWidth="1"/>
    <col min="14343" max="14343" width="13.140625" style="2057" bestFit="1" customWidth="1"/>
    <col min="14344" max="14344" width="12.28515625" style="2057" bestFit="1" customWidth="1"/>
    <col min="14345" max="14586" width="16.5703125" style="2057"/>
    <col min="14587" max="14587" width="4.7109375" style="2057" customWidth="1"/>
    <col min="14588" max="14588" width="50" style="2057" customWidth="1"/>
    <col min="14589" max="14589" width="9.7109375" style="2057" customWidth="1"/>
    <col min="14590" max="14590" width="13" style="2057" customWidth="1"/>
    <col min="14591" max="14591" width="3.85546875" style="2057" bestFit="1" customWidth="1"/>
    <col min="14592" max="14592" width="12.85546875" style="2057" customWidth="1"/>
    <col min="14593" max="14593" width="13.85546875" style="2057" customWidth="1"/>
    <col min="14594" max="14594" width="13.140625" style="2057" bestFit="1" customWidth="1"/>
    <col min="14595" max="14595" width="12" style="2057" customWidth="1"/>
    <col min="14596" max="14596" width="1.7109375" style="2057" customWidth="1"/>
    <col min="14597" max="14597" width="12" style="2057" customWidth="1"/>
    <col min="14598" max="14598" width="4.5703125" style="2057" bestFit="1" customWidth="1"/>
    <col min="14599" max="14599" width="13.140625" style="2057" bestFit="1" customWidth="1"/>
    <col min="14600" max="14600" width="12.28515625" style="2057" bestFit="1" customWidth="1"/>
    <col min="14601" max="14842" width="16.5703125" style="2057"/>
    <col min="14843" max="14843" width="4.7109375" style="2057" customWidth="1"/>
    <col min="14844" max="14844" width="50" style="2057" customWidth="1"/>
    <col min="14845" max="14845" width="9.7109375" style="2057" customWidth="1"/>
    <col min="14846" max="14846" width="13" style="2057" customWidth="1"/>
    <col min="14847" max="14847" width="3.85546875" style="2057" bestFit="1" customWidth="1"/>
    <col min="14848" max="14848" width="12.85546875" style="2057" customWidth="1"/>
    <col min="14849" max="14849" width="13.85546875" style="2057" customWidth="1"/>
    <col min="14850" max="14850" width="13.140625" style="2057" bestFit="1" customWidth="1"/>
    <col min="14851" max="14851" width="12" style="2057" customWidth="1"/>
    <col min="14852" max="14852" width="1.7109375" style="2057" customWidth="1"/>
    <col min="14853" max="14853" width="12" style="2057" customWidth="1"/>
    <col min="14854" max="14854" width="4.5703125" style="2057" bestFit="1" customWidth="1"/>
    <col min="14855" max="14855" width="13.140625" style="2057" bestFit="1" customWidth="1"/>
    <col min="14856" max="14856" width="12.28515625" style="2057" bestFit="1" customWidth="1"/>
    <col min="14857" max="15098" width="16.5703125" style="2057"/>
    <col min="15099" max="15099" width="4.7109375" style="2057" customWidth="1"/>
    <col min="15100" max="15100" width="50" style="2057" customWidth="1"/>
    <col min="15101" max="15101" width="9.7109375" style="2057" customWidth="1"/>
    <col min="15102" max="15102" width="13" style="2057" customWidth="1"/>
    <col min="15103" max="15103" width="3.85546875" style="2057" bestFit="1" customWidth="1"/>
    <col min="15104" max="15104" width="12.85546875" style="2057" customWidth="1"/>
    <col min="15105" max="15105" width="13.85546875" style="2057" customWidth="1"/>
    <col min="15106" max="15106" width="13.140625" style="2057" bestFit="1" customWidth="1"/>
    <col min="15107" max="15107" width="12" style="2057" customWidth="1"/>
    <col min="15108" max="15108" width="1.7109375" style="2057" customWidth="1"/>
    <col min="15109" max="15109" width="12" style="2057" customWidth="1"/>
    <col min="15110" max="15110" width="4.5703125" style="2057" bestFit="1" customWidth="1"/>
    <col min="15111" max="15111" width="13.140625" style="2057" bestFit="1" customWidth="1"/>
    <col min="15112" max="15112" width="12.28515625" style="2057" bestFit="1" customWidth="1"/>
    <col min="15113" max="15354" width="16.5703125" style="2057"/>
    <col min="15355" max="15355" width="4.7109375" style="2057" customWidth="1"/>
    <col min="15356" max="15356" width="50" style="2057" customWidth="1"/>
    <col min="15357" max="15357" width="9.7109375" style="2057" customWidth="1"/>
    <col min="15358" max="15358" width="13" style="2057" customWidth="1"/>
    <col min="15359" max="15359" width="3.85546875" style="2057" bestFit="1" customWidth="1"/>
    <col min="15360" max="15360" width="12.85546875" style="2057" customWidth="1"/>
    <col min="15361" max="15361" width="13.85546875" style="2057" customWidth="1"/>
    <col min="15362" max="15362" width="13.140625" style="2057" bestFit="1" customWidth="1"/>
    <col min="15363" max="15363" width="12" style="2057" customWidth="1"/>
    <col min="15364" max="15364" width="1.7109375" style="2057" customWidth="1"/>
    <col min="15365" max="15365" width="12" style="2057" customWidth="1"/>
    <col min="15366" max="15366" width="4.5703125" style="2057" bestFit="1" customWidth="1"/>
    <col min="15367" max="15367" width="13.140625" style="2057" bestFit="1" customWidth="1"/>
    <col min="15368" max="15368" width="12.28515625" style="2057" bestFit="1" customWidth="1"/>
    <col min="15369" max="15610" width="16.5703125" style="2057"/>
    <col min="15611" max="15611" width="4.7109375" style="2057" customWidth="1"/>
    <col min="15612" max="15612" width="50" style="2057" customWidth="1"/>
    <col min="15613" max="15613" width="9.7109375" style="2057" customWidth="1"/>
    <col min="15614" max="15614" width="13" style="2057" customWidth="1"/>
    <col min="15615" max="15615" width="3.85546875" style="2057" bestFit="1" customWidth="1"/>
    <col min="15616" max="15616" width="12.85546875" style="2057" customWidth="1"/>
    <col min="15617" max="15617" width="13.85546875" style="2057" customWidth="1"/>
    <col min="15618" max="15618" width="13.140625" style="2057" bestFit="1" customWidth="1"/>
    <col min="15619" max="15619" width="12" style="2057" customWidth="1"/>
    <col min="15620" max="15620" width="1.7109375" style="2057" customWidth="1"/>
    <col min="15621" max="15621" width="12" style="2057" customWidth="1"/>
    <col min="15622" max="15622" width="4.5703125" style="2057" bestFit="1" customWidth="1"/>
    <col min="15623" max="15623" width="13.140625" style="2057" bestFit="1" customWidth="1"/>
    <col min="15624" max="15624" width="12.28515625" style="2057" bestFit="1" customWidth="1"/>
    <col min="15625" max="15866" width="16.5703125" style="2057"/>
    <col min="15867" max="15867" width="4.7109375" style="2057" customWidth="1"/>
    <col min="15868" max="15868" width="50" style="2057" customWidth="1"/>
    <col min="15869" max="15869" width="9.7109375" style="2057" customWidth="1"/>
    <col min="15870" max="15870" width="13" style="2057" customWidth="1"/>
    <col min="15871" max="15871" width="3.85546875" style="2057" bestFit="1" customWidth="1"/>
    <col min="15872" max="15872" width="12.85546875" style="2057" customWidth="1"/>
    <col min="15873" max="15873" width="13.85546875" style="2057" customWidth="1"/>
    <col min="15874" max="15874" width="13.140625" style="2057" bestFit="1" customWidth="1"/>
    <col min="15875" max="15875" width="12" style="2057" customWidth="1"/>
    <col min="15876" max="15876" width="1.7109375" style="2057" customWidth="1"/>
    <col min="15877" max="15877" width="12" style="2057" customWidth="1"/>
    <col min="15878" max="15878" width="4.5703125" style="2057" bestFit="1" customWidth="1"/>
    <col min="15879" max="15879" width="13.140625" style="2057" bestFit="1" customWidth="1"/>
    <col min="15880" max="15880" width="12.28515625" style="2057" bestFit="1" customWidth="1"/>
    <col min="15881" max="16122" width="16.5703125" style="2057"/>
    <col min="16123" max="16123" width="4.7109375" style="2057" customWidth="1"/>
    <col min="16124" max="16124" width="50" style="2057" customWidth="1"/>
    <col min="16125" max="16125" width="9.7109375" style="2057" customWidth="1"/>
    <col min="16126" max="16126" width="13" style="2057" customWidth="1"/>
    <col min="16127" max="16127" width="3.85546875" style="2057" bestFit="1" customWidth="1"/>
    <col min="16128" max="16128" width="12.85546875" style="2057" customWidth="1"/>
    <col min="16129" max="16129" width="13.85546875" style="2057" customWidth="1"/>
    <col min="16130" max="16130" width="13.140625" style="2057" bestFit="1" customWidth="1"/>
    <col min="16131" max="16131" width="12" style="2057" customWidth="1"/>
    <col min="16132" max="16132" width="1.7109375" style="2057" customWidth="1"/>
    <col min="16133" max="16133" width="12" style="2057" customWidth="1"/>
    <col min="16134" max="16134" width="4.5703125" style="2057" bestFit="1" customWidth="1"/>
    <col min="16135" max="16135" width="13.140625" style="2057" bestFit="1" customWidth="1"/>
    <col min="16136" max="16136" width="12.28515625" style="2057" bestFit="1" customWidth="1"/>
    <col min="16137" max="16384" width="16.5703125" style="2057"/>
  </cols>
  <sheetData>
    <row r="1" spans="1:18" ht="15.75" x14ac:dyDescent="0.2">
      <c r="A1" s="2689" t="s">
        <v>2076</v>
      </c>
      <c r="B1" s="2690"/>
      <c r="C1" s="2690"/>
      <c r="D1" s="2690"/>
      <c r="E1" s="2690"/>
      <c r="F1" s="2690"/>
      <c r="G1" s="2690"/>
      <c r="H1" s="2690"/>
      <c r="I1" s="2690"/>
      <c r="J1" s="2690"/>
      <c r="K1" s="2690"/>
      <c r="L1" s="2690"/>
      <c r="M1" s="2690"/>
      <c r="N1" s="2690"/>
    </row>
    <row r="2" spans="1:18" ht="15.75" x14ac:dyDescent="0.2">
      <c r="A2" s="2691" t="s">
        <v>2058</v>
      </c>
      <c r="B2" s="2690"/>
      <c r="C2" s="2690"/>
      <c r="D2" s="2690"/>
      <c r="E2" s="2690"/>
      <c r="F2" s="2690"/>
      <c r="G2" s="2690"/>
      <c r="H2" s="2690"/>
      <c r="I2" s="2690"/>
      <c r="J2" s="2690"/>
      <c r="K2" s="2690"/>
      <c r="L2" s="2690"/>
      <c r="M2" s="2690"/>
      <c r="N2" s="2690"/>
    </row>
    <row r="3" spans="1:18" ht="15.75" x14ac:dyDescent="0.2">
      <c r="A3" s="2691" t="s">
        <v>1208</v>
      </c>
      <c r="B3" s="2690"/>
      <c r="C3" s="2690"/>
      <c r="D3" s="2690"/>
      <c r="E3" s="2690"/>
      <c r="F3" s="2690"/>
      <c r="G3" s="2690"/>
      <c r="H3" s="2690"/>
      <c r="I3" s="2690"/>
      <c r="J3" s="2690"/>
      <c r="K3" s="2690"/>
      <c r="L3" s="2690"/>
      <c r="M3" s="2690"/>
      <c r="N3" s="2690"/>
    </row>
    <row r="4" spans="1:18" ht="14.25" x14ac:dyDescent="0.2">
      <c r="A4" s="2692" t="s">
        <v>2077</v>
      </c>
      <c r="B4" s="2693"/>
      <c r="C4" s="2693"/>
      <c r="D4" s="2693"/>
      <c r="E4" s="2693"/>
      <c r="F4" s="2693"/>
      <c r="G4" s="2693"/>
      <c r="H4" s="2693"/>
      <c r="I4" s="2693"/>
      <c r="J4" s="2693"/>
      <c r="K4" s="2693"/>
      <c r="L4" s="2693"/>
      <c r="M4" s="2693"/>
      <c r="N4" s="2693"/>
    </row>
    <row r="5" spans="1:18" ht="12.75" x14ac:dyDescent="0.2">
      <c r="B5" s="2058"/>
      <c r="C5" s="2058"/>
      <c r="D5" s="2058"/>
      <c r="E5" s="2058"/>
      <c r="F5" s="2058"/>
      <c r="G5" s="2058"/>
      <c r="H5" s="2058"/>
      <c r="I5" s="2058"/>
      <c r="J5" s="2058"/>
      <c r="K5" s="2058"/>
      <c r="L5" s="2058"/>
      <c r="M5" s="2058"/>
      <c r="N5" s="2058"/>
    </row>
    <row r="6" spans="1:18" s="2061" customFormat="1" ht="15" x14ac:dyDescent="0.2">
      <c r="A6" s="2059"/>
      <c r="B6" s="2060"/>
      <c r="C6" s="2060"/>
      <c r="D6" s="2060"/>
      <c r="E6" s="2060"/>
      <c r="F6" s="2060"/>
      <c r="G6" s="2060"/>
      <c r="H6" s="2060"/>
      <c r="I6" s="2060"/>
      <c r="J6" s="2060"/>
      <c r="K6" s="2060"/>
      <c r="L6" s="2060"/>
      <c r="M6" s="2060"/>
      <c r="N6" s="2060"/>
      <c r="O6" s="2059"/>
      <c r="P6" s="2059"/>
      <c r="Q6" s="2059"/>
      <c r="R6" s="2059"/>
    </row>
    <row r="7" spans="1:18" s="2061" customFormat="1" ht="16.5" customHeight="1" x14ac:dyDescent="0.2">
      <c r="A7" s="2059"/>
      <c r="B7" s="2060"/>
      <c r="C7" s="2060"/>
      <c r="D7" s="2060" t="s">
        <v>2078</v>
      </c>
      <c r="E7" s="2060"/>
      <c r="F7" s="2694" t="s">
        <v>524</v>
      </c>
      <c r="G7" s="2694"/>
      <c r="H7" s="2694" t="s">
        <v>2079</v>
      </c>
      <c r="I7" s="2694"/>
      <c r="J7" s="2060"/>
      <c r="K7" s="2060"/>
      <c r="L7" s="2060"/>
      <c r="M7" s="2060"/>
      <c r="N7" s="2060"/>
      <c r="O7" s="2059"/>
      <c r="P7" s="2059"/>
      <c r="Q7" s="2059"/>
      <c r="R7" s="2059"/>
    </row>
    <row r="8" spans="1:18" s="2061" customFormat="1" ht="16.5" customHeight="1" x14ac:dyDescent="0.2">
      <c r="A8" s="2059"/>
      <c r="B8" s="2060"/>
      <c r="C8" s="2060" t="s">
        <v>1253</v>
      </c>
      <c r="D8" s="2060" t="s">
        <v>2080</v>
      </c>
      <c r="E8" s="2060"/>
      <c r="F8" s="2060" t="s">
        <v>2081</v>
      </c>
      <c r="G8" s="2062" t="s">
        <v>2082</v>
      </c>
      <c r="H8" s="2060" t="s">
        <v>2083</v>
      </c>
      <c r="I8" s="2062" t="str">
        <f>+G8</f>
        <v>7/01/2019</v>
      </c>
      <c r="J8" s="2060"/>
      <c r="K8" s="2060" t="s">
        <v>1250</v>
      </c>
      <c r="L8" s="2060"/>
      <c r="M8" s="2060" t="s">
        <v>2084</v>
      </c>
      <c r="N8" s="2060" t="s">
        <v>1159</v>
      </c>
      <c r="O8" s="2059"/>
      <c r="P8" s="2059"/>
      <c r="Q8" s="2059"/>
      <c r="R8" s="2059"/>
    </row>
    <row r="9" spans="1:18" s="2061" customFormat="1" ht="16.5" customHeight="1" x14ac:dyDescent="0.2">
      <c r="A9" s="2063" t="s">
        <v>2085</v>
      </c>
      <c r="B9" s="2059"/>
      <c r="C9" s="2060" t="s">
        <v>2086</v>
      </c>
      <c r="D9" s="2060" t="s">
        <v>2086</v>
      </c>
      <c r="E9" s="2060"/>
      <c r="F9" s="2064">
        <v>43646</v>
      </c>
      <c r="G9" s="2064">
        <v>44012</v>
      </c>
      <c r="H9" s="2064">
        <f>+F9</f>
        <v>43646</v>
      </c>
      <c r="I9" s="2064">
        <f>+G9</f>
        <v>44012</v>
      </c>
      <c r="J9" s="2060"/>
      <c r="K9" s="2060" t="s">
        <v>2087</v>
      </c>
      <c r="L9" s="2060"/>
      <c r="M9" s="2060" t="s">
        <v>1246</v>
      </c>
      <c r="N9" s="2060" t="s">
        <v>30</v>
      </c>
      <c r="O9" s="2059"/>
      <c r="P9" s="2059"/>
      <c r="Q9" s="2059"/>
      <c r="R9" s="2059"/>
    </row>
    <row r="10" spans="1:18" s="2061" customFormat="1" ht="16.5" customHeight="1" x14ac:dyDescent="0.2">
      <c r="A10" s="2065" t="s">
        <v>2088</v>
      </c>
      <c r="B10" s="2059"/>
      <c r="C10" s="2066" t="s">
        <v>1244</v>
      </c>
      <c r="D10" s="2066" t="s">
        <v>1243</v>
      </c>
      <c r="E10" s="2060"/>
      <c r="F10" s="2066" t="s">
        <v>1242</v>
      </c>
      <c r="G10" s="2066" t="s">
        <v>1241</v>
      </c>
      <c r="H10" s="2066" t="s">
        <v>1240</v>
      </c>
      <c r="I10" s="2066" t="s">
        <v>1239</v>
      </c>
      <c r="J10" s="2060"/>
      <c r="K10" s="2066" t="s">
        <v>1238</v>
      </c>
      <c r="L10" s="2060"/>
      <c r="M10" s="2066" t="s">
        <v>1237</v>
      </c>
      <c r="N10" s="2066" t="s">
        <v>1236</v>
      </c>
      <c r="O10" s="2059"/>
      <c r="P10" s="2059"/>
      <c r="Q10" s="2059"/>
      <c r="R10" s="2059"/>
    </row>
    <row r="11" spans="1:18" s="2061" customFormat="1" ht="9.4" customHeight="1" x14ac:dyDescent="0.2">
      <c r="A11" s="2060"/>
      <c r="B11" s="2059"/>
      <c r="C11" s="2067"/>
      <c r="D11" s="2067"/>
      <c r="E11" s="2060"/>
      <c r="F11" s="2067"/>
      <c r="G11" s="2067"/>
      <c r="H11" s="2067"/>
      <c r="I11" s="2067"/>
      <c r="J11" s="2060"/>
      <c r="K11" s="2067"/>
      <c r="L11" s="2060"/>
      <c r="M11" s="2067"/>
      <c r="N11" s="2067"/>
      <c r="O11" s="2059"/>
      <c r="P11" s="2059"/>
      <c r="Q11" s="2059"/>
      <c r="R11" s="2059"/>
    </row>
    <row r="12" spans="1:18" s="2061" customFormat="1" ht="15" x14ac:dyDescent="0.2">
      <c r="A12" s="2059"/>
      <c r="B12" s="2068" t="s">
        <v>2089</v>
      </c>
      <c r="C12" s="2067"/>
      <c r="D12" s="2067"/>
      <c r="E12" s="2060"/>
      <c r="F12" s="2067"/>
      <c r="G12" s="2067"/>
      <c r="H12" s="2067"/>
      <c r="I12" s="2067"/>
      <c r="J12" s="2060"/>
      <c r="K12" s="2067"/>
      <c r="L12" s="2060"/>
      <c r="M12" s="2067"/>
      <c r="N12" s="2067"/>
      <c r="O12" s="2059"/>
      <c r="P12" s="2059"/>
      <c r="Q12" s="2059"/>
      <c r="R12" s="2059"/>
    </row>
    <row r="13" spans="1:18" s="2061" customFormat="1" ht="15" x14ac:dyDescent="0.2">
      <c r="A13" s="2069"/>
      <c r="B13" s="2070" t="s">
        <v>2090</v>
      </c>
      <c r="C13" s="2067"/>
      <c r="D13" s="2067"/>
      <c r="E13" s="2060"/>
      <c r="F13" s="2067"/>
      <c r="G13" s="2067"/>
      <c r="H13" s="2067"/>
      <c r="I13" s="2067"/>
      <c r="J13" s="2060"/>
      <c r="K13" s="2067"/>
      <c r="L13" s="2060"/>
      <c r="M13" s="2067"/>
      <c r="N13" s="2067"/>
      <c r="O13" s="2059"/>
      <c r="P13" s="2059"/>
      <c r="Q13" s="2059"/>
      <c r="R13" s="2059"/>
    </row>
    <row r="14" spans="1:18" s="2061" customFormat="1" ht="15" x14ac:dyDescent="0.2">
      <c r="A14" s="2069"/>
      <c r="B14" s="2070" t="s">
        <v>2091</v>
      </c>
      <c r="C14" s="2067"/>
      <c r="D14" s="2067"/>
      <c r="E14" s="2060"/>
      <c r="F14" s="2067"/>
      <c r="G14" s="2067"/>
      <c r="H14" s="2067"/>
      <c r="I14" s="2067"/>
      <c r="J14" s="2060"/>
      <c r="K14" s="2067"/>
      <c r="L14" s="2060"/>
      <c r="M14" s="2067"/>
      <c r="N14" s="2067"/>
      <c r="O14" s="2059"/>
      <c r="P14" s="2059"/>
      <c r="Q14" s="2059"/>
      <c r="R14" s="2059"/>
    </row>
    <row r="15" spans="1:18" s="2061" customFormat="1" ht="15" x14ac:dyDescent="0.2">
      <c r="A15" s="2059"/>
      <c r="B15" s="2060"/>
      <c r="C15" s="2060"/>
      <c r="D15" s="2060"/>
      <c r="E15" s="2060"/>
      <c r="F15" s="2060"/>
      <c r="G15" s="2060"/>
      <c r="H15" s="2060"/>
      <c r="I15" s="2060"/>
      <c r="J15" s="2060"/>
      <c r="K15" s="2060"/>
      <c r="L15" s="2060"/>
      <c r="M15" s="2060"/>
      <c r="N15" s="2060"/>
      <c r="O15" s="2059"/>
      <c r="P15" s="2059"/>
      <c r="Q15" s="2059"/>
      <c r="R15" s="2059"/>
    </row>
    <row r="16" spans="1:18" s="2061" customFormat="1" ht="15" x14ac:dyDescent="0.2">
      <c r="A16" s="2060" t="s">
        <v>2092</v>
      </c>
      <c r="B16" s="2063" t="s">
        <v>1050</v>
      </c>
      <c r="C16" s="2071">
        <v>10.553000000000001</v>
      </c>
      <c r="D16" s="2060" t="s">
        <v>2093</v>
      </c>
      <c r="E16" s="2072"/>
      <c r="F16" s="2073">
        <v>97027</v>
      </c>
      <c r="G16" s="2073">
        <v>16189</v>
      </c>
      <c r="H16" s="2073">
        <v>97502</v>
      </c>
      <c r="I16" s="2073">
        <v>15714</v>
      </c>
      <c r="J16" s="2073"/>
      <c r="K16" s="2073"/>
      <c r="L16" s="2060"/>
      <c r="M16" s="2073">
        <f>H16+I16+K16</f>
        <v>113216</v>
      </c>
      <c r="N16" s="2074" t="s">
        <v>2094</v>
      </c>
      <c r="O16" s="2059"/>
      <c r="P16" s="2059"/>
      <c r="Q16" s="2059"/>
      <c r="R16" s="2059"/>
    </row>
    <row r="17" spans="1:18" s="2061" customFormat="1" ht="17.25" x14ac:dyDescent="0.2">
      <c r="A17" s="2060" t="s">
        <v>2092</v>
      </c>
      <c r="B17" s="2063" t="s">
        <v>1050</v>
      </c>
      <c r="C17" s="2071">
        <v>10.553000000000001</v>
      </c>
      <c r="D17" s="2060" t="s">
        <v>2095</v>
      </c>
      <c r="E17" s="2072"/>
      <c r="F17" s="2075" t="s">
        <v>1159</v>
      </c>
      <c r="G17" s="2075">
        <v>70562</v>
      </c>
      <c r="H17" s="2075" t="s">
        <v>1159</v>
      </c>
      <c r="I17" s="2075">
        <v>70562</v>
      </c>
      <c r="J17" s="2073"/>
      <c r="K17" s="2075" t="s">
        <v>1159</v>
      </c>
      <c r="L17" s="2074">
        <v>-3</v>
      </c>
      <c r="M17" s="2075">
        <f>H17+I17+K17</f>
        <v>70562</v>
      </c>
      <c r="N17" s="2074" t="s">
        <v>2094</v>
      </c>
      <c r="O17" s="2059"/>
      <c r="P17" s="2059"/>
      <c r="Q17" s="2059"/>
      <c r="R17" s="2059"/>
    </row>
    <row r="18" spans="1:18" s="2061" customFormat="1" ht="17.25" x14ac:dyDescent="0.2">
      <c r="A18" s="2059"/>
      <c r="B18" s="2060"/>
      <c r="C18" s="2076" t="s">
        <v>2096</v>
      </c>
      <c r="D18" s="2060"/>
      <c r="E18" s="2060"/>
      <c r="F18" s="2075">
        <f>SUM(F16:F17)</f>
        <v>97027</v>
      </c>
      <c r="G18" s="2075">
        <f>SUM(G16:G17)</f>
        <v>86751</v>
      </c>
      <c r="H18" s="2075">
        <f>SUM(H16:H17)</f>
        <v>97502</v>
      </c>
      <c r="I18" s="2075">
        <f>SUM(I16:I17)</f>
        <v>86276</v>
      </c>
      <c r="J18" s="2060"/>
      <c r="K18" s="2075">
        <f>SUM(K16:K17)</f>
        <v>0</v>
      </c>
      <c r="L18" s="2060"/>
      <c r="M18" s="2075">
        <f>SUM(M16:M17)</f>
        <v>183778</v>
      </c>
      <c r="N18" s="2060"/>
      <c r="O18" s="2059"/>
      <c r="P18" s="2059"/>
      <c r="Q18" s="2059"/>
      <c r="R18" s="2059"/>
    </row>
    <row r="19" spans="1:18" s="2061" customFormat="1" ht="15" x14ac:dyDescent="0.2">
      <c r="A19" s="2059"/>
      <c r="B19" s="2060"/>
      <c r="C19" s="2060"/>
      <c r="D19" s="2060"/>
      <c r="E19" s="2060"/>
      <c r="F19" s="2060"/>
      <c r="G19" s="2060"/>
      <c r="H19" s="2060"/>
      <c r="I19" s="2060"/>
      <c r="J19" s="2060"/>
      <c r="K19" s="2060"/>
      <c r="L19" s="2060"/>
      <c r="M19" s="2060"/>
      <c r="N19" s="2060"/>
      <c r="O19" s="2059"/>
      <c r="P19" s="2059"/>
      <c r="Q19" s="2059"/>
      <c r="R19" s="2059"/>
    </row>
    <row r="20" spans="1:18" s="2061" customFormat="1" ht="15" x14ac:dyDescent="0.2">
      <c r="A20" s="2060" t="s">
        <v>2092</v>
      </c>
      <c r="B20" s="2063" t="s">
        <v>2097</v>
      </c>
      <c r="C20" s="2071">
        <v>10.555</v>
      </c>
      <c r="D20" s="2060" t="s">
        <v>2098</v>
      </c>
      <c r="E20" s="2060"/>
      <c r="F20" s="2073">
        <f>311499-1771</f>
        <v>309728</v>
      </c>
      <c r="G20" s="2073">
        <v>58373</v>
      </c>
      <c r="H20" s="2073">
        <v>311499</v>
      </c>
      <c r="I20" s="2073">
        <v>56602</v>
      </c>
      <c r="J20" s="2073"/>
      <c r="K20" s="2073"/>
      <c r="L20" s="2060"/>
      <c r="M20" s="2073">
        <f>H20+I20+K20</f>
        <v>368101</v>
      </c>
      <c r="N20" s="2074" t="s">
        <v>2094</v>
      </c>
      <c r="O20" s="2059"/>
      <c r="P20" s="2059"/>
      <c r="Q20" s="2059"/>
      <c r="R20" s="2059"/>
    </row>
    <row r="21" spans="1:18" s="2061" customFormat="1" ht="15" x14ac:dyDescent="0.2">
      <c r="A21" s="2060" t="s">
        <v>2092</v>
      </c>
      <c r="B21" s="2063" t="s">
        <v>2097</v>
      </c>
      <c r="C21" s="2071">
        <v>10.555</v>
      </c>
      <c r="D21" s="2060" t="s">
        <v>2099</v>
      </c>
      <c r="E21" s="2060"/>
      <c r="F21" s="2073"/>
      <c r="G21" s="2073">
        <v>214801</v>
      </c>
      <c r="H21" s="2073"/>
      <c r="I21" s="2073">
        <v>214801</v>
      </c>
      <c r="J21" s="2073"/>
      <c r="K21" s="2073"/>
      <c r="L21" s="2074">
        <v>-3</v>
      </c>
      <c r="M21" s="2073">
        <f>H21+I21+K21</f>
        <v>214801</v>
      </c>
      <c r="N21" s="2074" t="s">
        <v>2094</v>
      </c>
      <c r="O21" s="2059"/>
      <c r="P21" s="2059"/>
      <c r="Q21" s="2059"/>
      <c r="R21" s="2059"/>
    </row>
    <row r="22" spans="1:18" s="2061" customFormat="1" ht="9" customHeight="1" x14ac:dyDescent="0.2">
      <c r="A22" s="2059"/>
      <c r="B22" s="2063"/>
      <c r="C22" s="2071"/>
      <c r="D22" s="2060"/>
      <c r="E22" s="2060"/>
      <c r="F22" s="2073"/>
      <c r="G22" s="2073"/>
      <c r="H22" s="2073"/>
      <c r="I22" s="2073"/>
      <c r="J22" s="2073"/>
      <c r="K22" s="2060"/>
      <c r="L22" s="2073"/>
      <c r="M22" s="2073"/>
      <c r="N22" s="2074"/>
      <c r="O22" s="2059"/>
      <c r="P22" s="2059"/>
      <c r="Q22" s="2059"/>
      <c r="R22" s="2059"/>
    </row>
    <row r="23" spans="1:18" s="2061" customFormat="1" ht="15" x14ac:dyDescent="0.2">
      <c r="A23" s="2059"/>
      <c r="B23" s="2063" t="s">
        <v>2100</v>
      </c>
      <c r="C23" s="2071"/>
      <c r="D23" s="2060"/>
      <c r="E23" s="2060"/>
      <c r="F23" s="2073"/>
      <c r="G23" s="2073"/>
      <c r="H23" s="2073"/>
      <c r="I23" s="2073"/>
      <c r="J23" s="2073"/>
      <c r="K23" s="2073"/>
      <c r="L23" s="2073"/>
      <c r="M23" s="2073"/>
      <c r="N23" s="2074"/>
      <c r="O23" s="2059"/>
      <c r="P23" s="2059"/>
      <c r="Q23" s="2059"/>
      <c r="R23" s="2059"/>
    </row>
    <row r="24" spans="1:18" s="2061" customFormat="1" ht="15" x14ac:dyDescent="0.2">
      <c r="A24" s="2059"/>
      <c r="B24" s="2063" t="s">
        <v>2101</v>
      </c>
      <c r="C24" s="2071">
        <v>10.555</v>
      </c>
      <c r="D24" s="2060" t="s">
        <v>2102</v>
      </c>
      <c r="E24" s="2060"/>
      <c r="F24" s="2073"/>
      <c r="G24" s="2073"/>
      <c r="H24" s="2073">
        <v>20668</v>
      </c>
      <c r="I24" s="2073"/>
      <c r="J24" s="2073"/>
      <c r="K24" s="2073"/>
      <c r="L24" s="2073"/>
      <c r="M24" s="2073">
        <f>H24+I24+K24</f>
        <v>20668</v>
      </c>
      <c r="N24" s="2074" t="s">
        <v>2094</v>
      </c>
      <c r="O24" s="2059"/>
      <c r="P24" s="2059"/>
      <c r="Q24" s="2059"/>
      <c r="R24" s="2059"/>
    </row>
    <row r="25" spans="1:18" s="2061" customFormat="1" ht="15" x14ac:dyDescent="0.2">
      <c r="A25" s="2060" t="s">
        <v>2092</v>
      </c>
      <c r="B25" s="2063" t="s">
        <v>2101</v>
      </c>
      <c r="C25" s="2071">
        <v>10.555</v>
      </c>
      <c r="D25" s="2060" t="s">
        <v>2103</v>
      </c>
      <c r="E25" s="2060"/>
      <c r="F25" s="2073"/>
      <c r="G25" s="2073"/>
      <c r="H25" s="2073"/>
      <c r="I25" s="2073">
        <v>24396</v>
      </c>
      <c r="J25" s="2073"/>
      <c r="K25" s="2073"/>
      <c r="L25" s="2073"/>
      <c r="M25" s="2073">
        <f>H25+I25+K25</f>
        <v>24396</v>
      </c>
      <c r="N25" s="2074" t="s">
        <v>2094</v>
      </c>
      <c r="O25" s="2059"/>
      <c r="P25" s="2059"/>
      <c r="Q25" s="2059"/>
      <c r="R25" s="2059"/>
    </row>
    <row r="26" spans="1:18" s="2061" customFormat="1" ht="15" x14ac:dyDescent="0.2">
      <c r="A26" s="2059"/>
      <c r="B26" s="2063"/>
      <c r="C26" s="2071"/>
      <c r="D26" s="2060"/>
      <c r="E26" s="2060"/>
      <c r="F26" s="2073"/>
      <c r="G26" s="2073"/>
      <c r="H26" s="2073"/>
      <c r="I26" s="2073"/>
      <c r="J26" s="2073"/>
      <c r="K26" s="2073"/>
      <c r="L26" s="2073"/>
      <c r="M26" s="2073"/>
      <c r="N26" s="2074"/>
      <c r="O26" s="2059"/>
      <c r="P26" s="2059"/>
      <c r="Q26" s="2059"/>
      <c r="R26" s="2059"/>
    </row>
    <row r="27" spans="1:18" s="2061" customFormat="1" ht="17.25" x14ac:dyDescent="0.2">
      <c r="A27" s="2059"/>
      <c r="B27" s="2063" t="s">
        <v>2104</v>
      </c>
      <c r="C27" s="2071">
        <v>10.555</v>
      </c>
      <c r="D27" s="2060" t="s">
        <v>2102</v>
      </c>
      <c r="E27" s="2060"/>
      <c r="F27" s="2073"/>
      <c r="G27" s="2073"/>
      <c r="H27" s="2073">
        <v>35211</v>
      </c>
      <c r="I27" s="2073"/>
      <c r="J27" s="2075"/>
      <c r="K27" s="2073"/>
      <c r="L27" s="2075"/>
      <c r="M27" s="2073">
        <f>H27+I27+K27</f>
        <v>35211</v>
      </c>
      <c r="N27" s="2074" t="s">
        <v>2094</v>
      </c>
      <c r="O27" s="2059"/>
      <c r="P27" s="2059"/>
      <c r="Q27" s="2059"/>
      <c r="R27" s="2059"/>
    </row>
    <row r="28" spans="1:18" s="2061" customFormat="1" ht="17.25" x14ac:dyDescent="0.2">
      <c r="A28" s="2060" t="s">
        <v>2092</v>
      </c>
      <c r="B28" s="2063" t="s">
        <v>2104</v>
      </c>
      <c r="C28" s="2071">
        <v>10.555</v>
      </c>
      <c r="D28" s="2060" t="s">
        <v>2103</v>
      </c>
      <c r="E28" s="2060"/>
      <c r="F28" s="2075" t="s">
        <v>1159</v>
      </c>
      <c r="G28" s="2075" t="s">
        <v>1159</v>
      </c>
      <c r="H28" s="2075" t="s">
        <v>1159</v>
      </c>
      <c r="I28" s="2075">
        <v>36230</v>
      </c>
      <c r="J28" s="2075"/>
      <c r="K28" s="2075" t="s">
        <v>1159</v>
      </c>
      <c r="L28" s="2075"/>
      <c r="M28" s="2075">
        <f>H28+I28+K28</f>
        <v>36230</v>
      </c>
      <c r="N28" s="2074" t="s">
        <v>2094</v>
      </c>
      <c r="O28" s="2059"/>
      <c r="P28" s="2059"/>
      <c r="Q28" s="2059"/>
      <c r="R28" s="2059"/>
    </row>
    <row r="29" spans="1:18" s="2061" customFormat="1" ht="17.25" x14ac:dyDescent="0.2">
      <c r="A29" s="2060"/>
      <c r="B29" s="2063"/>
      <c r="C29" s="2076" t="s">
        <v>2105</v>
      </c>
      <c r="D29" s="2060"/>
      <c r="E29" s="2060"/>
      <c r="F29" s="2075">
        <f>SUM(F20:F28)</f>
        <v>309728</v>
      </c>
      <c r="G29" s="2075">
        <f>SUM(G20:G28)</f>
        <v>273174</v>
      </c>
      <c r="H29" s="2075">
        <f>SUM(H20:H28)</f>
        <v>367378</v>
      </c>
      <c r="I29" s="2075">
        <f>SUM(I20:I28)</f>
        <v>332029</v>
      </c>
      <c r="J29" s="2075"/>
      <c r="K29" s="2075">
        <f>SUM(K20:K28)</f>
        <v>0</v>
      </c>
      <c r="L29" s="2075"/>
      <c r="M29" s="2075">
        <f>SUM(M20:M28)</f>
        <v>699407</v>
      </c>
      <c r="N29" s="2074"/>
      <c r="O29" s="2059"/>
      <c r="P29" s="2059"/>
      <c r="Q29" s="2059"/>
      <c r="R29" s="2059"/>
    </row>
    <row r="30" spans="1:18" s="2061" customFormat="1" ht="17.25" x14ac:dyDescent="0.2">
      <c r="A30" s="2060"/>
      <c r="B30" s="2063"/>
      <c r="C30" s="2071"/>
      <c r="D30" s="2060"/>
      <c r="E30" s="2060"/>
      <c r="F30" s="2075"/>
      <c r="G30" s="2075"/>
      <c r="H30" s="2075"/>
      <c r="I30" s="2075"/>
      <c r="J30" s="2075"/>
      <c r="K30" s="2075"/>
      <c r="L30" s="2075"/>
      <c r="M30" s="2075"/>
      <c r="N30" s="2074"/>
      <c r="O30" s="2059"/>
      <c r="P30" s="2059"/>
      <c r="Q30" s="2059"/>
      <c r="R30" s="2059"/>
    </row>
    <row r="31" spans="1:18" s="2061" customFormat="1" ht="15" x14ac:dyDescent="0.2">
      <c r="A31" s="2060" t="s">
        <v>2092</v>
      </c>
      <c r="B31" s="2063" t="s">
        <v>2106</v>
      </c>
      <c r="C31" s="2071">
        <v>10.555999999999999</v>
      </c>
      <c r="D31" s="2060" t="s">
        <v>2107</v>
      </c>
      <c r="E31" s="2060"/>
      <c r="F31" s="2073">
        <v>1015</v>
      </c>
      <c r="G31" s="2073">
        <v>356</v>
      </c>
      <c r="H31" s="2073">
        <v>1020</v>
      </c>
      <c r="I31" s="2073">
        <v>351</v>
      </c>
      <c r="J31" s="2073"/>
      <c r="K31" s="2073"/>
      <c r="L31" s="2060"/>
      <c r="M31" s="2073">
        <f>H31+I31+K31</f>
        <v>1371</v>
      </c>
      <c r="N31" s="2074" t="s">
        <v>2094</v>
      </c>
      <c r="O31" s="2059"/>
      <c r="P31" s="2059"/>
      <c r="Q31" s="2059"/>
      <c r="R31" s="2059"/>
    </row>
    <row r="32" spans="1:18" s="2061" customFormat="1" ht="17.25" x14ac:dyDescent="0.2">
      <c r="A32" s="2060" t="s">
        <v>2092</v>
      </c>
      <c r="B32" s="2063" t="s">
        <v>2106</v>
      </c>
      <c r="C32" s="2071">
        <v>10.555999999999999</v>
      </c>
      <c r="D32" s="2060" t="s">
        <v>2108</v>
      </c>
      <c r="E32" s="2072"/>
      <c r="F32" s="2075" t="s">
        <v>1159</v>
      </c>
      <c r="G32" s="2075">
        <v>1378</v>
      </c>
      <c r="H32" s="2075" t="s">
        <v>1159</v>
      </c>
      <c r="I32" s="2075">
        <v>1378</v>
      </c>
      <c r="J32" s="2073"/>
      <c r="K32" s="2075" t="s">
        <v>1159</v>
      </c>
      <c r="L32" s="2074">
        <v>-3</v>
      </c>
      <c r="M32" s="2075">
        <f>H32+I32+K32</f>
        <v>1378</v>
      </c>
      <c r="N32" s="2074" t="s">
        <v>2094</v>
      </c>
      <c r="O32" s="2059"/>
      <c r="P32" s="2059"/>
      <c r="Q32" s="2059"/>
      <c r="R32" s="2059"/>
    </row>
    <row r="33" spans="1:18" s="2061" customFormat="1" ht="17.25" x14ac:dyDescent="0.2">
      <c r="A33" s="2059"/>
      <c r="B33" s="2063"/>
      <c r="C33" s="2076" t="s">
        <v>2109</v>
      </c>
      <c r="D33" s="2072"/>
      <c r="E33" s="2072"/>
      <c r="F33" s="2075">
        <f>SUM(F31:F32)</f>
        <v>1015</v>
      </c>
      <c r="G33" s="2075">
        <f>SUM(G31:G32)</f>
        <v>1734</v>
      </c>
      <c r="H33" s="2075">
        <f>SUM(H31:H32)</f>
        <v>1020</v>
      </c>
      <c r="I33" s="2075">
        <f>SUM(I31:I32)</f>
        <v>1729</v>
      </c>
      <c r="J33" s="2073"/>
      <c r="K33" s="2075">
        <f>SUM(K31:K32)</f>
        <v>0</v>
      </c>
      <c r="L33" s="2060"/>
      <c r="M33" s="2075">
        <f>SUM(M31:M32)</f>
        <v>2749</v>
      </c>
      <c r="N33" s="2074"/>
      <c r="O33" s="2059"/>
      <c r="P33" s="2059"/>
      <c r="Q33" s="2059"/>
      <c r="R33" s="2059"/>
    </row>
    <row r="34" spans="1:18" s="2061" customFormat="1" ht="17.25" x14ac:dyDescent="0.2">
      <c r="A34" s="2059"/>
      <c r="B34" s="2063"/>
      <c r="C34" s="2076"/>
      <c r="D34" s="2072"/>
      <c r="E34" s="2072"/>
      <c r="F34" s="2075"/>
      <c r="G34" s="2075"/>
      <c r="H34" s="2075"/>
      <c r="I34" s="2075"/>
      <c r="J34" s="2073"/>
      <c r="K34" s="2075"/>
      <c r="L34" s="2060"/>
      <c r="M34" s="2075"/>
      <c r="N34" s="2074"/>
      <c r="O34" s="2059"/>
      <c r="P34" s="2059"/>
      <c r="Q34" s="2059"/>
      <c r="R34" s="2059"/>
    </row>
    <row r="35" spans="1:18" s="2061" customFormat="1" ht="17.25" hidden="1" x14ac:dyDescent="0.2">
      <c r="A35" s="2059"/>
      <c r="B35" s="2063"/>
      <c r="C35" s="2076"/>
      <c r="D35" s="2072"/>
      <c r="E35" s="2072"/>
      <c r="F35" s="2075"/>
      <c r="G35" s="2075"/>
      <c r="H35" s="2075"/>
      <c r="I35" s="2075"/>
      <c r="J35" s="2073"/>
      <c r="K35" s="2075"/>
      <c r="L35" s="2060"/>
      <c r="M35" s="2075"/>
      <c r="N35" s="2074"/>
      <c r="O35" s="2059"/>
      <c r="P35" s="2059"/>
      <c r="Q35" s="2059"/>
      <c r="R35" s="2059"/>
    </row>
    <row r="36" spans="1:18" s="2061" customFormat="1" ht="17.25" x14ac:dyDescent="0.2">
      <c r="A36" s="2060" t="s">
        <v>2092</v>
      </c>
      <c r="B36" s="2063" t="s">
        <v>1434</v>
      </c>
      <c r="C36" s="2071">
        <v>10.558999999999999</v>
      </c>
      <c r="D36" s="2072" t="s">
        <v>2110</v>
      </c>
      <c r="E36" s="2072"/>
      <c r="F36" s="2075" t="s">
        <v>1159</v>
      </c>
      <c r="G36" s="2075">
        <v>114986</v>
      </c>
      <c r="H36" s="2075" t="s">
        <v>1159</v>
      </c>
      <c r="I36" s="2075">
        <v>155241</v>
      </c>
      <c r="J36" s="2073"/>
      <c r="K36" s="2075" t="s">
        <v>1159</v>
      </c>
      <c r="L36" s="2076">
        <v>-3</v>
      </c>
      <c r="M36" s="2075">
        <f>H36+I36+K36</f>
        <v>155241</v>
      </c>
      <c r="N36" s="2074" t="s">
        <v>2094</v>
      </c>
      <c r="O36" s="2059"/>
      <c r="P36" s="2059"/>
      <c r="Q36" s="2059"/>
      <c r="R36" s="2059"/>
    </row>
    <row r="37" spans="1:18" s="2061" customFormat="1" ht="17.25" x14ac:dyDescent="0.2">
      <c r="A37" s="2059"/>
      <c r="B37" s="2063"/>
      <c r="C37" s="2076" t="s">
        <v>2111</v>
      </c>
      <c r="D37" s="2072"/>
      <c r="E37" s="2072"/>
      <c r="F37" s="2075">
        <f>SUM(F35:F36)</f>
        <v>0</v>
      </c>
      <c r="G37" s="2075">
        <f>SUM(G35:G36)</f>
        <v>114986</v>
      </c>
      <c r="H37" s="2075">
        <f>SUM(H35:H36)</f>
        <v>0</v>
      </c>
      <c r="I37" s="2075">
        <f>SUM(I35:I36)</f>
        <v>155241</v>
      </c>
      <c r="J37" s="2073"/>
      <c r="K37" s="2075">
        <f>SUM(K35:K36)</f>
        <v>0</v>
      </c>
      <c r="L37" s="2060"/>
      <c r="M37" s="2075">
        <f>SUM(M35:M36)</f>
        <v>155241</v>
      </c>
      <c r="N37" s="2074"/>
      <c r="O37" s="2059"/>
      <c r="P37" s="2059"/>
      <c r="Q37" s="2059"/>
      <c r="R37" s="2059"/>
    </row>
    <row r="38" spans="1:18" s="2061" customFormat="1" ht="16.899999999999999" customHeight="1" x14ac:dyDescent="0.2">
      <c r="A38" s="2060"/>
      <c r="B38" s="2063"/>
      <c r="C38" s="2071"/>
      <c r="D38" s="2060"/>
      <c r="E38" s="2060"/>
      <c r="F38" s="2075"/>
      <c r="G38" s="2075"/>
      <c r="H38" s="2075"/>
      <c r="I38" s="2075"/>
      <c r="J38" s="2075"/>
      <c r="K38" s="2075"/>
      <c r="L38" s="2075"/>
      <c r="M38" s="2075"/>
      <c r="N38" s="2074"/>
      <c r="O38" s="2059"/>
      <c r="P38" s="2059"/>
      <c r="Q38" s="2059"/>
      <c r="R38" s="2059"/>
    </row>
    <row r="39" spans="1:18" s="2061" customFormat="1" ht="16.5" customHeight="1" x14ac:dyDescent="0.2">
      <c r="A39" s="2059"/>
      <c r="B39" s="2068" t="s">
        <v>2112</v>
      </c>
      <c r="C39" s="2071"/>
      <c r="D39" s="2060"/>
      <c r="E39" s="2060"/>
      <c r="F39" s="2075">
        <f>SUM(F18,F29,F33,F37)</f>
        <v>407770</v>
      </c>
      <c r="G39" s="2075">
        <f>SUM(G18,G29,G33,G37)</f>
        <v>476645</v>
      </c>
      <c r="H39" s="2075">
        <f>SUM(H18,H29,H33,H37)</f>
        <v>465900</v>
      </c>
      <c r="I39" s="2075">
        <f>SUM(I18,I29,I33,I37)</f>
        <v>575275</v>
      </c>
      <c r="J39" s="2075"/>
      <c r="K39" s="2075">
        <f>SUM(K18,K29,K33,K37)</f>
        <v>0</v>
      </c>
      <c r="L39" s="2075"/>
      <c r="M39" s="2075">
        <f>SUM(M18,M29,M33,M37)</f>
        <v>1041175</v>
      </c>
      <c r="N39" s="2073"/>
      <c r="O39" s="2059"/>
      <c r="P39" s="2059"/>
      <c r="Q39" s="2059"/>
      <c r="R39" s="2059"/>
    </row>
    <row r="40" spans="1:18" s="2061" customFormat="1" ht="9.4" customHeight="1" x14ac:dyDescent="0.2">
      <c r="A40" s="2069"/>
      <c r="B40" s="2063"/>
      <c r="C40" s="2071"/>
      <c r="D40" s="2060"/>
      <c r="E40" s="2060"/>
      <c r="F40" s="2073"/>
      <c r="G40" s="2073"/>
      <c r="H40" s="2073"/>
      <c r="I40" s="2073"/>
      <c r="J40" s="2073"/>
      <c r="K40" s="2073"/>
      <c r="L40" s="2073"/>
      <c r="M40" s="2073"/>
      <c r="N40" s="2073"/>
      <c r="O40" s="2059"/>
      <c r="P40" s="2059"/>
      <c r="Q40" s="2059"/>
      <c r="R40" s="2059"/>
    </row>
    <row r="41" spans="1:18" s="2061" customFormat="1" ht="15" x14ac:dyDescent="0.2">
      <c r="A41" s="2059"/>
      <c r="B41" s="2068" t="s">
        <v>2113</v>
      </c>
      <c r="C41" s="2071"/>
      <c r="D41" s="2060"/>
      <c r="E41" s="2060"/>
      <c r="F41" s="2073"/>
      <c r="G41" s="2073"/>
      <c r="H41" s="2073"/>
      <c r="I41" s="2073"/>
      <c r="J41" s="2073"/>
      <c r="K41" s="2073"/>
      <c r="L41" s="2073"/>
      <c r="M41" s="2073"/>
      <c r="N41" s="2073"/>
      <c r="O41" s="2059"/>
      <c r="P41" s="2059"/>
      <c r="Q41" s="2059"/>
      <c r="R41" s="2059"/>
    </row>
    <row r="42" spans="1:18" s="2061" customFormat="1" ht="15" x14ac:dyDescent="0.2">
      <c r="A42" s="2069"/>
      <c r="B42" s="2070" t="s">
        <v>2090</v>
      </c>
      <c r="C42" s="2071"/>
      <c r="D42" s="2060"/>
      <c r="E42" s="2060"/>
      <c r="F42" s="2073"/>
      <c r="G42" s="2073"/>
      <c r="H42" s="2073"/>
      <c r="I42" s="2073"/>
      <c r="J42" s="2073"/>
      <c r="K42" s="2073"/>
      <c r="L42" s="2073"/>
      <c r="M42" s="2073"/>
      <c r="N42" s="2073"/>
      <c r="O42" s="2059"/>
      <c r="P42" s="2059"/>
      <c r="Q42" s="2059"/>
      <c r="R42" s="2059"/>
    </row>
    <row r="43" spans="1:18" s="2061" customFormat="1" ht="15" x14ac:dyDescent="0.2">
      <c r="A43" s="2069"/>
      <c r="B43" s="2070" t="s">
        <v>2091</v>
      </c>
      <c r="C43" s="2071"/>
      <c r="D43" s="2060"/>
      <c r="E43" s="2060"/>
      <c r="F43" s="2073"/>
      <c r="G43" s="2073"/>
      <c r="H43" s="2073"/>
      <c r="I43" s="2073"/>
      <c r="J43" s="2073"/>
      <c r="K43" s="2073"/>
      <c r="L43" s="2073"/>
      <c r="M43" s="2073"/>
      <c r="N43" s="2073"/>
      <c r="O43" s="2059"/>
      <c r="P43" s="2059"/>
      <c r="Q43" s="2059"/>
      <c r="R43" s="2059"/>
    </row>
    <row r="44" spans="1:18" s="2061" customFormat="1" ht="15" x14ac:dyDescent="0.2">
      <c r="A44" s="2059"/>
      <c r="B44" s="2060"/>
      <c r="C44" s="2071"/>
      <c r="D44" s="2060"/>
      <c r="E44" s="2060"/>
      <c r="F44" s="2073"/>
      <c r="G44" s="2073"/>
      <c r="H44" s="2073"/>
      <c r="I44" s="2073"/>
      <c r="J44" s="2073"/>
      <c r="K44" s="2073"/>
      <c r="L44" s="2073"/>
      <c r="M44" s="2073"/>
      <c r="N44" s="2073"/>
      <c r="O44" s="2059"/>
      <c r="P44" s="2059"/>
      <c r="Q44" s="2059"/>
      <c r="R44" s="2059"/>
    </row>
    <row r="45" spans="1:18" s="2061" customFormat="1" ht="15" x14ac:dyDescent="0.2">
      <c r="A45" s="2060"/>
      <c r="B45" s="2077" t="s">
        <v>912</v>
      </c>
      <c r="C45" s="2071" t="s">
        <v>2114</v>
      </c>
      <c r="D45" s="2060" t="s">
        <v>2115</v>
      </c>
      <c r="E45" s="2078"/>
      <c r="F45" s="2073">
        <v>185867</v>
      </c>
      <c r="G45" s="2073">
        <f>386376-185867</f>
        <v>200509</v>
      </c>
      <c r="H45" s="2073">
        <v>263751</v>
      </c>
      <c r="I45" s="2073">
        <f>386376-263751</f>
        <v>122625</v>
      </c>
      <c r="J45" s="2073"/>
      <c r="K45" s="2073"/>
      <c r="L45" s="2073"/>
      <c r="M45" s="2073">
        <f>K45+I45+H45</f>
        <v>386376</v>
      </c>
      <c r="N45" s="2079">
        <v>401347</v>
      </c>
      <c r="O45" s="2059"/>
      <c r="P45" s="2059"/>
      <c r="Q45" s="2059"/>
      <c r="R45" s="2059"/>
    </row>
    <row r="46" spans="1:18" s="2061" customFormat="1" ht="15" x14ac:dyDescent="0.2">
      <c r="A46" s="2060"/>
      <c r="B46" s="2077" t="s">
        <v>912</v>
      </c>
      <c r="C46" s="2071" t="s">
        <v>2114</v>
      </c>
      <c r="D46" s="2060" t="s">
        <v>2116</v>
      </c>
      <c r="E46" s="2060"/>
      <c r="F46" s="2073"/>
      <c r="G46" s="2073">
        <v>196103</v>
      </c>
      <c r="H46" s="2073"/>
      <c r="I46" s="2073">
        <v>274691</v>
      </c>
      <c r="J46" s="2073"/>
      <c r="K46" s="2073"/>
      <c r="L46" s="2074">
        <v>-3</v>
      </c>
      <c r="M46" s="2073">
        <f>K46+I46+H46</f>
        <v>274691</v>
      </c>
      <c r="N46" s="2073">
        <v>411379</v>
      </c>
      <c r="O46" s="2059"/>
      <c r="P46" s="2059"/>
      <c r="Q46" s="2059"/>
      <c r="R46" s="2059"/>
    </row>
    <row r="47" spans="1:18" s="2061" customFormat="1" ht="15" x14ac:dyDescent="0.2">
      <c r="A47" s="2059"/>
      <c r="B47" s="2077"/>
      <c r="C47" s="2071"/>
      <c r="D47" s="2060"/>
      <c r="E47" s="2060"/>
      <c r="F47" s="2073"/>
      <c r="G47" s="2073"/>
      <c r="H47" s="2073"/>
      <c r="I47" s="2073"/>
      <c r="J47" s="2073"/>
      <c r="K47" s="2073"/>
      <c r="L47" s="2073"/>
      <c r="M47" s="2073"/>
      <c r="N47" s="2073"/>
      <c r="O47" s="2059"/>
      <c r="P47" s="2059"/>
      <c r="Q47" s="2059"/>
      <c r="R47" s="2059"/>
    </row>
    <row r="48" spans="1:18" s="2061" customFormat="1" ht="15" x14ac:dyDescent="0.2">
      <c r="A48" s="2059"/>
      <c r="B48" s="2077" t="s">
        <v>2117</v>
      </c>
      <c r="C48" s="2071">
        <v>84.01</v>
      </c>
      <c r="D48" s="2060" t="s">
        <v>2118</v>
      </c>
      <c r="E48" s="2060"/>
      <c r="F48" s="2073"/>
      <c r="G48" s="2073">
        <v>86589</v>
      </c>
      <c r="H48" s="2073">
        <v>86589</v>
      </c>
      <c r="I48" s="2073"/>
      <c r="J48" s="2073"/>
      <c r="K48" s="2073"/>
      <c r="L48" s="2073"/>
      <c r="M48" s="2073">
        <f>K48+I48+H48</f>
        <v>86589</v>
      </c>
      <c r="N48" s="2073">
        <v>86688</v>
      </c>
      <c r="O48" s="2059"/>
      <c r="P48" s="2059"/>
      <c r="Q48" s="2059"/>
      <c r="R48" s="2059"/>
    </row>
    <row r="49" spans="1:18" s="2061" customFormat="1" ht="17.25" x14ac:dyDescent="0.2">
      <c r="A49" s="2060"/>
      <c r="B49" s="2077" t="s">
        <v>2117</v>
      </c>
      <c r="C49" s="2071">
        <v>84.01</v>
      </c>
      <c r="D49" s="2060" t="s">
        <v>2119</v>
      </c>
      <c r="E49" s="2060"/>
      <c r="F49" s="2075" t="s">
        <v>1159</v>
      </c>
      <c r="G49" s="2075">
        <v>27145</v>
      </c>
      <c r="H49" s="2075" t="s">
        <v>1159</v>
      </c>
      <c r="I49" s="2075">
        <v>89710</v>
      </c>
      <c r="J49" s="2073"/>
      <c r="K49" s="2075" t="s">
        <v>1159</v>
      </c>
      <c r="L49" s="2074">
        <v>-3</v>
      </c>
      <c r="M49" s="2075">
        <f>K49+I49+H49</f>
        <v>89710</v>
      </c>
      <c r="N49" s="2073">
        <v>90000</v>
      </c>
      <c r="O49" s="2059"/>
      <c r="P49" s="2059"/>
      <c r="Q49" s="2059"/>
      <c r="R49" s="2059"/>
    </row>
    <row r="50" spans="1:18" s="2061" customFormat="1" ht="17.25" x14ac:dyDescent="0.2">
      <c r="A50" s="2059"/>
      <c r="B50" s="2077"/>
      <c r="C50" s="2076" t="s">
        <v>2120</v>
      </c>
      <c r="D50" s="2060"/>
      <c r="E50" s="2060"/>
      <c r="F50" s="2075">
        <f>SUM(F45:F49)</f>
        <v>185867</v>
      </c>
      <c r="G50" s="2075">
        <f>SUM(G45:G49)</f>
        <v>510346</v>
      </c>
      <c r="H50" s="2075">
        <f>SUM(H45:H49)</f>
        <v>350340</v>
      </c>
      <c r="I50" s="2075">
        <f>SUM(I45:I49)</f>
        <v>487026</v>
      </c>
      <c r="J50" s="2073"/>
      <c r="K50" s="2075">
        <f>SUM(K45:K49)</f>
        <v>0</v>
      </c>
      <c r="L50" s="2073"/>
      <c r="M50" s="2075">
        <f>SUM(M45:M49)</f>
        <v>837366</v>
      </c>
      <c r="N50" s="2073"/>
      <c r="O50" s="2059"/>
      <c r="P50" s="2059"/>
      <c r="Q50" s="2059"/>
      <c r="R50" s="2059"/>
    </row>
    <row r="51" spans="1:18" s="2061" customFormat="1" ht="15" x14ac:dyDescent="0.2">
      <c r="A51" s="2060"/>
      <c r="B51" s="2063"/>
      <c r="C51" s="2071"/>
      <c r="D51" s="2060"/>
      <c r="E51" s="2060"/>
      <c r="F51" s="2073"/>
      <c r="G51" s="2073"/>
      <c r="H51" s="2073"/>
      <c r="I51" s="2073"/>
      <c r="J51" s="2073"/>
      <c r="K51" s="2073"/>
      <c r="L51" s="2073"/>
      <c r="M51" s="2073">
        <f>K51+I51+H51</f>
        <v>0</v>
      </c>
      <c r="N51" s="2074"/>
      <c r="O51" s="2059"/>
      <c r="P51" s="2059"/>
      <c r="Q51" s="2059"/>
      <c r="R51" s="2059"/>
    </row>
    <row r="52" spans="1:18" s="2061" customFormat="1" ht="15" hidden="1" x14ac:dyDescent="0.2">
      <c r="A52" s="2060"/>
      <c r="B52" s="2063" t="s">
        <v>2121</v>
      </c>
      <c r="C52" s="2071">
        <v>84.027000000000001</v>
      </c>
      <c r="D52" s="2060" t="s">
        <v>2122</v>
      </c>
      <c r="E52" s="2060"/>
      <c r="F52" s="2073"/>
      <c r="G52" s="2073"/>
      <c r="H52" s="2073"/>
      <c r="I52" s="2073"/>
      <c r="J52" s="2073"/>
      <c r="K52" s="2073"/>
      <c r="L52" s="2073"/>
      <c r="M52" s="2073">
        <f>K52+I52+H52</f>
        <v>0</v>
      </c>
      <c r="N52" s="2074" t="s">
        <v>2094</v>
      </c>
      <c r="O52" s="2059"/>
      <c r="P52" s="2059"/>
      <c r="Q52" s="2059"/>
      <c r="R52" s="2059"/>
    </row>
    <row r="53" spans="1:18" s="2061" customFormat="1" ht="15" hidden="1" x14ac:dyDescent="0.2">
      <c r="A53" s="2059"/>
      <c r="B53" s="2063"/>
      <c r="C53" s="2071"/>
      <c r="D53" s="2060"/>
      <c r="E53" s="2060"/>
      <c r="F53" s="2073"/>
      <c r="G53" s="2073"/>
      <c r="H53" s="2073"/>
      <c r="I53" s="2073"/>
      <c r="J53" s="2073"/>
      <c r="K53" s="2073"/>
      <c r="L53" s="2073"/>
      <c r="M53" s="2073"/>
      <c r="N53" s="2074"/>
      <c r="O53" s="2059"/>
      <c r="P53" s="2059"/>
      <c r="Q53" s="2059"/>
      <c r="R53" s="2059"/>
    </row>
    <row r="54" spans="1:18" s="2061" customFormat="1" ht="15" hidden="1" x14ac:dyDescent="0.2">
      <c r="A54" s="2060"/>
      <c r="B54" s="2063"/>
      <c r="C54" s="2071"/>
      <c r="D54" s="2060"/>
      <c r="E54" s="2060"/>
      <c r="F54" s="2073"/>
      <c r="G54" s="2073"/>
      <c r="H54" s="2073"/>
      <c r="I54" s="2073"/>
      <c r="J54" s="2073"/>
      <c r="K54" s="2073"/>
      <c r="L54" s="2073"/>
      <c r="M54" s="2073">
        <f>K54+I54+H54</f>
        <v>0</v>
      </c>
      <c r="N54" s="2074"/>
      <c r="O54" s="2059"/>
      <c r="P54" s="2059"/>
      <c r="Q54" s="2059"/>
      <c r="R54" s="2059"/>
    </row>
    <row r="55" spans="1:18" s="2061" customFormat="1" ht="15" hidden="1" x14ac:dyDescent="0.2">
      <c r="A55" s="2060"/>
      <c r="B55" s="2063" t="s">
        <v>2123</v>
      </c>
      <c r="C55" s="2071">
        <v>84.027000000000001</v>
      </c>
      <c r="D55" s="2060"/>
      <c r="E55" s="2060"/>
      <c r="F55" s="2073"/>
      <c r="G55" s="2073"/>
      <c r="H55" s="2073"/>
      <c r="I55" s="2073"/>
      <c r="J55" s="2073"/>
      <c r="K55" s="2073"/>
      <c r="L55" s="2073"/>
      <c r="M55" s="2073">
        <f>K55+I55+H55</f>
        <v>0</v>
      </c>
      <c r="N55" s="2074" t="s">
        <v>2094</v>
      </c>
      <c r="O55" s="2059"/>
      <c r="P55" s="2059"/>
      <c r="Q55" s="2059"/>
      <c r="R55" s="2059"/>
    </row>
    <row r="56" spans="1:18" s="2061" customFormat="1" ht="15" hidden="1" x14ac:dyDescent="0.2">
      <c r="A56" s="2059"/>
      <c r="B56" s="2077"/>
      <c r="C56" s="2071"/>
      <c r="D56" s="2060"/>
      <c r="E56" s="2060"/>
      <c r="F56" s="2073"/>
      <c r="G56" s="2073"/>
      <c r="H56" s="2073"/>
      <c r="I56" s="2073"/>
      <c r="J56" s="2073"/>
      <c r="K56" s="2073"/>
      <c r="L56" s="2073"/>
      <c r="M56" s="2073"/>
      <c r="N56" s="2074"/>
      <c r="O56" s="2059"/>
      <c r="P56" s="2059"/>
      <c r="Q56" s="2059"/>
      <c r="R56" s="2059"/>
    </row>
    <row r="57" spans="1:18" s="2061" customFormat="1" ht="15" x14ac:dyDescent="0.2">
      <c r="A57" s="2059"/>
      <c r="B57" s="2077" t="s">
        <v>753</v>
      </c>
      <c r="C57" s="2071">
        <v>84.367000000000004</v>
      </c>
      <c r="D57" s="2060" t="s">
        <v>2124</v>
      </c>
      <c r="E57" s="2078"/>
      <c r="F57" s="2073">
        <v>38937</v>
      </c>
      <c r="G57" s="2073">
        <v>16772</v>
      </c>
      <c r="H57" s="2073">
        <v>55709</v>
      </c>
      <c r="I57" s="2073"/>
      <c r="J57" s="2073">
        <v>0</v>
      </c>
      <c r="K57" s="2073"/>
      <c r="L57" s="2073"/>
      <c r="M57" s="2073">
        <f>K57+I57+H57</f>
        <v>55709</v>
      </c>
      <c r="N57" s="2074">
        <v>65208</v>
      </c>
      <c r="O57" s="2059"/>
      <c r="P57" s="2059"/>
      <c r="Q57" s="2059"/>
      <c r="R57" s="2059"/>
    </row>
    <row r="58" spans="1:18" s="2061" customFormat="1" ht="17.649999999999999" customHeight="1" x14ac:dyDescent="0.2">
      <c r="A58" s="2059"/>
      <c r="B58" s="2077" t="s">
        <v>753</v>
      </c>
      <c r="C58" s="2071">
        <v>84.366699999999994</v>
      </c>
      <c r="D58" s="2060" t="s">
        <v>2125</v>
      </c>
      <c r="E58" s="2060"/>
      <c r="F58" s="2075">
        <v>0</v>
      </c>
      <c r="G58" s="2075">
        <v>39841</v>
      </c>
      <c r="H58" s="2075" t="s">
        <v>1159</v>
      </c>
      <c r="I58" s="2075">
        <v>52351</v>
      </c>
      <c r="J58" s="2073"/>
      <c r="K58" s="2075">
        <v>0</v>
      </c>
      <c r="L58" s="2073"/>
      <c r="M58" s="2075">
        <f>K58+I58+H58</f>
        <v>52351</v>
      </c>
      <c r="N58" s="2073">
        <v>52999</v>
      </c>
      <c r="O58" s="2059"/>
      <c r="P58" s="2059"/>
      <c r="Q58" s="2059"/>
      <c r="R58" s="2059"/>
    </row>
    <row r="59" spans="1:18" s="2061" customFormat="1" ht="17.25" customHeight="1" x14ac:dyDescent="0.2">
      <c r="A59" s="2059"/>
      <c r="B59" s="2062"/>
      <c r="C59" s="2076" t="s">
        <v>2126</v>
      </c>
      <c r="D59" s="2060"/>
      <c r="E59" s="2060"/>
      <c r="F59" s="2075">
        <f>SUM(F57:F58)</f>
        <v>38937</v>
      </c>
      <c r="G59" s="2075">
        <f>SUM(G57:G58)</f>
        <v>56613</v>
      </c>
      <c r="H59" s="2075">
        <f>SUM(H57:H58)</f>
        <v>55709</v>
      </c>
      <c r="I59" s="2075">
        <f>SUM(I57:I58)</f>
        <v>52351</v>
      </c>
      <c r="J59" s="2073"/>
      <c r="K59" s="2075">
        <f>SUM(K57:K58)</f>
        <v>0</v>
      </c>
      <c r="L59" s="2073"/>
      <c r="M59" s="2075">
        <f>SUM(M57:M58)</f>
        <v>108060</v>
      </c>
      <c r="N59" s="2074"/>
      <c r="O59" s="2059"/>
      <c r="P59" s="2059"/>
      <c r="Q59" s="2059"/>
      <c r="R59" s="2059"/>
    </row>
    <row r="60" spans="1:18" s="2061" customFormat="1" ht="17.25" customHeight="1" x14ac:dyDescent="0.2">
      <c r="A60" s="2059"/>
      <c r="B60" s="2062"/>
      <c r="C60" s="2076"/>
      <c r="D60" s="2060"/>
      <c r="E60" s="2060"/>
      <c r="F60" s="2075"/>
      <c r="G60" s="2075"/>
      <c r="H60" s="2075"/>
      <c r="I60" s="2075"/>
      <c r="J60" s="2073"/>
      <c r="K60" s="2075"/>
      <c r="L60" s="2073"/>
      <c r="M60" s="2075"/>
      <c r="N60" s="2074"/>
      <c r="O60" s="2059"/>
      <c r="P60" s="2059"/>
      <c r="Q60" s="2059"/>
      <c r="R60" s="2059"/>
    </row>
    <row r="61" spans="1:18" s="2061" customFormat="1" ht="18" customHeight="1" x14ac:dyDescent="0.2">
      <c r="A61" s="2059"/>
      <c r="B61" s="2077" t="s">
        <v>2127</v>
      </c>
      <c r="C61" s="2071" t="s">
        <v>2128</v>
      </c>
      <c r="D61" s="2060" t="s">
        <v>2129</v>
      </c>
      <c r="E61" s="2060"/>
      <c r="F61" s="2075">
        <v>0</v>
      </c>
      <c r="G61" s="2075">
        <v>0</v>
      </c>
      <c r="H61" s="2075">
        <v>0</v>
      </c>
      <c r="I61" s="2075">
        <v>0</v>
      </c>
      <c r="J61" s="2073"/>
      <c r="K61" s="2075">
        <v>0</v>
      </c>
      <c r="L61" s="2074">
        <v>-3</v>
      </c>
      <c r="M61" s="2080">
        <f>K61+I61+H61</f>
        <v>0</v>
      </c>
      <c r="N61" s="2116">
        <v>292719</v>
      </c>
      <c r="O61" s="2059"/>
      <c r="P61" s="2059"/>
      <c r="Q61" s="2059"/>
      <c r="R61" s="2059"/>
    </row>
    <row r="62" spans="1:18" s="2061" customFormat="1" ht="15" x14ac:dyDescent="0.2">
      <c r="A62" s="2059"/>
      <c r="B62" s="2062"/>
      <c r="C62" s="2071"/>
      <c r="D62" s="2060"/>
      <c r="E62" s="2060"/>
      <c r="F62" s="2073" t="s">
        <v>1159</v>
      </c>
      <c r="G62" s="2073" t="s">
        <v>1159</v>
      </c>
      <c r="H62" s="2073"/>
      <c r="I62" s="2073" t="s">
        <v>1159</v>
      </c>
      <c r="J62" s="2073"/>
      <c r="K62" s="2073"/>
      <c r="L62" s="2073"/>
      <c r="M62" s="2081"/>
      <c r="N62" s="2074"/>
      <c r="O62" s="2059"/>
      <c r="P62" s="2059"/>
      <c r="Q62" s="2059"/>
      <c r="R62" s="2059"/>
    </row>
    <row r="63" spans="1:18" s="2061" customFormat="1" ht="16.5" customHeight="1" x14ac:dyDescent="0.2">
      <c r="A63" s="2069"/>
      <c r="B63" s="2068" t="s">
        <v>2130</v>
      </c>
      <c r="C63" s="2082"/>
      <c r="D63" s="2060"/>
      <c r="E63" s="2060"/>
      <c r="F63" s="2075">
        <f>SUM(F50,F59)</f>
        <v>224804</v>
      </c>
      <c r="G63" s="2075">
        <f>SUM(G50,G59)</f>
        <v>566959</v>
      </c>
      <c r="H63" s="2075">
        <f>SUM(H50,H59)</f>
        <v>406049</v>
      </c>
      <c r="I63" s="2075">
        <f>SUM(I50,I59)</f>
        <v>539377</v>
      </c>
      <c r="J63" s="2075"/>
      <c r="K63" s="2075">
        <f>SUM(K50,K59)</f>
        <v>0</v>
      </c>
      <c r="L63" s="2075"/>
      <c r="M63" s="2075">
        <f>SUM(M50,M59)</f>
        <v>945426</v>
      </c>
      <c r="N63" s="2074"/>
      <c r="O63" s="2059"/>
      <c r="P63" s="2059"/>
      <c r="Q63" s="2059"/>
      <c r="R63" s="2059"/>
    </row>
    <row r="64" spans="1:18" s="2061" customFormat="1" ht="10.5" customHeight="1" x14ac:dyDescent="0.2">
      <c r="A64" s="2069"/>
      <c r="B64" s="2063"/>
      <c r="C64" s="2071"/>
      <c r="D64" s="2062"/>
      <c r="E64" s="2060"/>
      <c r="F64" s="2073"/>
      <c r="G64" s="2073"/>
      <c r="H64" s="2073"/>
      <c r="I64" s="2073"/>
      <c r="J64" s="2073"/>
      <c r="K64" s="2073"/>
      <c r="L64" s="2073"/>
      <c r="M64" s="2073"/>
      <c r="N64" s="2074"/>
      <c r="O64" s="2059"/>
      <c r="P64" s="2059"/>
      <c r="Q64" s="2059"/>
      <c r="R64" s="2059"/>
    </row>
    <row r="65" spans="1:18" s="2061" customFormat="1" ht="15" x14ac:dyDescent="0.2">
      <c r="A65" s="2059"/>
      <c r="B65" s="2068" t="s">
        <v>2113</v>
      </c>
      <c r="C65" s="2071"/>
      <c r="D65" s="2062"/>
      <c r="E65" s="2060"/>
      <c r="F65" s="2073"/>
      <c r="G65" s="2073"/>
      <c r="H65" s="2073"/>
      <c r="I65" s="2073"/>
      <c r="J65" s="2073"/>
      <c r="K65" s="2073"/>
      <c r="L65" s="2073"/>
      <c r="M65" s="2073"/>
      <c r="N65" s="2074"/>
      <c r="O65" s="2059"/>
      <c r="P65" s="2059"/>
      <c r="Q65" s="2059"/>
      <c r="R65" s="2059"/>
    </row>
    <row r="66" spans="1:18" s="2061" customFormat="1" ht="15" x14ac:dyDescent="0.2">
      <c r="A66" s="2069"/>
      <c r="B66" s="2070" t="s">
        <v>2090</v>
      </c>
      <c r="C66" s="2071"/>
      <c r="D66" s="2062"/>
      <c r="E66" s="2060"/>
      <c r="F66" s="2073"/>
      <c r="G66" s="2073"/>
      <c r="H66" s="2073"/>
      <c r="I66" s="2073"/>
      <c r="J66" s="2073"/>
      <c r="K66" s="2073"/>
      <c r="L66" s="2073"/>
      <c r="M66" s="2073"/>
      <c r="N66" s="2074"/>
      <c r="O66" s="2059"/>
      <c r="P66" s="2059"/>
      <c r="Q66" s="2059"/>
      <c r="R66" s="2059"/>
    </row>
    <row r="67" spans="1:18" s="2061" customFormat="1" ht="15" x14ac:dyDescent="0.2">
      <c r="A67" s="2069"/>
      <c r="B67" s="2070" t="s">
        <v>2131</v>
      </c>
      <c r="C67" s="2071"/>
      <c r="D67" s="2062"/>
      <c r="E67" s="2060"/>
      <c r="F67" s="2073"/>
      <c r="G67" s="2073"/>
      <c r="H67" s="2073"/>
      <c r="I67" s="2073" t="s">
        <v>1159</v>
      </c>
      <c r="J67" s="2073"/>
      <c r="K67" s="2073"/>
      <c r="L67" s="2073"/>
      <c r="M67" s="2073"/>
      <c r="N67" s="2074"/>
      <c r="O67" s="2059"/>
      <c r="P67" s="2059"/>
      <c r="Q67" s="2059"/>
      <c r="R67" s="2059"/>
    </row>
    <row r="68" spans="1:18" s="2061" customFormat="1" ht="6" customHeight="1" x14ac:dyDescent="0.2">
      <c r="A68" s="2059"/>
      <c r="B68" s="2083"/>
      <c r="C68" s="2071"/>
      <c r="D68" s="2062"/>
      <c r="E68" s="2060"/>
      <c r="F68" s="2073"/>
      <c r="G68" s="2073"/>
      <c r="H68" s="2073"/>
      <c r="I68" s="2073"/>
      <c r="J68" s="2073"/>
      <c r="K68" s="2073"/>
      <c r="L68" s="2073"/>
      <c r="M68" s="2073"/>
      <c r="N68" s="2074"/>
      <c r="O68" s="2059"/>
      <c r="P68" s="2059"/>
      <c r="Q68" s="2059"/>
      <c r="R68" s="2059"/>
    </row>
    <row r="69" spans="1:18" s="2061" customFormat="1" ht="15" x14ac:dyDescent="0.2">
      <c r="A69" s="2060"/>
      <c r="B69" s="2063" t="s">
        <v>2132</v>
      </c>
      <c r="C69" s="2082">
        <v>84.027000000000001</v>
      </c>
      <c r="D69" s="2060" t="s">
        <v>2133</v>
      </c>
      <c r="E69" s="2060"/>
      <c r="F69" s="2084">
        <f>278606-32203</f>
        <v>246403</v>
      </c>
      <c r="G69" s="2073"/>
      <c r="H69" s="2084">
        <v>246403</v>
      </c>
      <c r="I69" s="2085"/>
      <c r="J69" s="2073"/>
      <c r="K69" s="2073"/>
      <c r="L69" s="2073"/>
      <c r="M69" s="2073">
        <f>H69+K69+I69</f>
        <v>246403</v>
      </c>
      <c r="N69" s="2074">
        <v>293265</v>
      </c>
      <c r="O69" s="2059"/>
      <c r="P69" s="2059"/>
      <c r="Q69" s="2059"/>
      <c r="R69" s="2059"/>
    </row>
    <row r="70" spans="1:18" s="2061" customFormat="1" ht="15" x14ac:dyDescent="0.2">
      <c r="A70" s="2060"/>
      <c r="B70" s="2063" t="s">
        <v>2132</v>
      </c>
      <c r="C70" s="2082">
        <v>84.027000000000001</v>
      </c>
      <c r="D70" s="2060" t="s">
        <v>2134</v>
      </c>
      <c r="E70" s="2060"/>
      <c r="F70" s="2073">
        <v>0</v>
      </c>
      <c r="G70" s="2084">
        <v>199098</v>
      </c>
      <c r="H70" s="2073"/>
      <c r="I70" s="2084">
        <v>199098</v>
      </c>
      <c r="J70" s="2085"/>
      <c r="K70" s="2073">
        <v>39632</v>
      </c>
      <c r="L70" s="2085"/>
      <c r="M70" s="2084">
        <f>H70+K70+I70</f>
        <v>238730</v>
      </c>
      <c r="N70" s="2074">
        <v>238731</v>
      </c>
      <c r="O70" s="2059"/>
      <c r="P70" s="2059"/>
      <c r="Q70" s="2059"/>
      <c r="R70" s="2059"/>
    </row>
    <row r="71" spans="1:18" s="2061" customFormat="1" ht="17.25" x14ac:dyDescent="0.2">
      <c r="A71" s="2060"/>
      <c r="B71" s="2063"/>
      <c r="C71" s="2082"/>
      <c r="D71" s="2060"/>
      <c r="E71" s="2060"/>
      <c r="F71" s="2075"/>
      <c r="G71" s="2086"/>
      <c r="H71" s="2075"/>
      <c r="I71" s="2086"/>
      <c r="J71" s="2085"/>
      <c r="K71" s="2075"/>
      <c r="L71" s="2085"/>
      <c r="M71" s="2086"/>
      <c r="N71" s="2074"/>
      <c r="O71" s="2059"/>
      <c r="P71" s="2059"/>
      <c r="Q71" s="2059"/>
      <c r="R71" s="2059"/>
    </row>
    <row r="72" spans="1:18" s="2061" customFormat="1" ht="17.25" hidden="1" x14ac:dyDescent="0.2">
      <c r="A72" s="2060"/>
      <c r="B72" s="2063" t="s">
        <v>2135</v>
      </c>
      <c r="C72" s="2082">
        <v>84.173000000000002</v>
      </c>
      <c r="D72" s="2060" t="s">
        <v>2136</v>
      </c>
      <c r="E72" s="2060"/>
      <c r="F72" s="2086"/>
      <c r="G72" s="2087"/>
      <c r="H72" s="2087"/>
      <c r="I72" s="2087"/>
      <c r="J72" s="2085"/>
      <c r="K72" s="2075"/>
      <c r="L72" s="2085"/>
      <c r="M72" s="2085">
        <f>H72+K72+I72</f>
        <v>0</v>
      </c>
      <c r="N72" s="2074">
        <v>0</v>
      </c>
      <c r="O72" s="2059"/>
      <c r="P72" s="2059"/>
      <c r="Q72" s="2059"/>
      <c r="R72" s="2059"/>
    </row>
    <row r="73" spans="1:18" s="2061" customFormat="1" ht="17.649999999999999" customHeight="1" x14ac:dyDescent="0.2">
      <c r="A73" s="2060"/>
      <c r="B73" s="2063" t="s">
        <v>2135</v>
      </c>
      <c r="C73" s="2082">
        <v>84.173000000000002</v>
      </c>
      <c r="D73" s="2060" t="s">
        <v>2137</v>
      </c>
      <c r="E73" s="2060"/>
      <c r="F73" s="2086" t="s">
        <v>1159</v>
      </c>
      <c r="G73" s="2087">
        <v>48271</v>
      </c>
      <c r="H73" s="2087" t="s">
        <v>2138</v>
      </c>
      <c r="I73" s="2087">
        <v>48271</v>
      </c>
      <c r="J73" s="2087"/>
      <c r="K73" s="2088">
        <v>9655</v>
      </c>
      <c r="L73" s="2087"/>
      <c r="M73" s="2087">
        <f>H73+K73+I73</f>
        <v>57926</v>
      </c>
      <c r="N73" s="2074">
        <v>57926</v>
      </c>
      <c r="O73" s="2059"/>
      <c r="P73" s="2059"/>
      <c r="Q73" s="2059"/>
      <c r="R73" s="2059"/>
    </row>
    <row r="74" spans="1:18" s="2061" customFormat="1" ht="17.25" x14ac:dyDescent="0.2">
      <c r="A74" s="2069"/>
      <c r="B74" s="2068" t="s">
        <v>2139</v>
      </c>
      <c r="C74" s="2071"/>
      <c r="D74" s="2060"/>
      <c r="E74" s="2060"/>
      <c r="F74" s="2075">
        <f>SUM(F68:F73)</f>
        <v>246403</v>
      </c>
      <c r="G74" s="2075">
        <f>SUM(G68:G73)</f>
        <v>247369</v>
      </c>
      <c r="H74" s="2075">
        <f>SUM(H69:H73)</f>
        <v>246403</v>
      </c>
      <c r="I74" s="2075">
        <f>SUM(I69:I73)</f>
        <v>247369</v>
      </c>
      <c r="J74" s="2075"/>
      <c r="K74" s="2075">
        <f>SUM(K68:K73)</f>
        <v>49287</v>
      </c>
      <c r="L74" s="2075"/>
      <c r="M74" s="2075">
        <f>SUM(M66:M73)</f>
        <v>543059</v>
      </c>
      <c r="N74" s="2074"/>
      <c r="O74" s="2059"/>
      <c r="P74" s="2059"/>
      <c r="Q74" s="2059"/>
      <c r="R74" s="2059"/>
    </row>
    <row r="75" spans="1:18" s="2061" customFormat="1" ht="7.5" customHeight="1" x14ac:dyDescent="0.2">
      <c r="A75" s="2069"/>
      <c r="B75" s="2068"/>
      <c r="C75" s="2071"/>
      <c r="D75" s="2060"/>
      <c r="E75" s="2060"/>
      <c r="F75" s="2075"/>
      <c r="G75" s="2075"/>
      <c r="H75" s="2075"/>
      <c r="I75" s="2075"/>
      <c r="J75" s="2075"/>
      <c r="K75" s="2075"/>
      <c r="L75" s="2075"/>
      <c r="M75" s="2075"/>
      <c r="N75" s="2074"/>
      <c r="O75" s="2059"/>
      <c r="P75" s="2059"/>
      <c r="Q75" s="2059"/>
      <c r="R75" s="2059"/>
    </row>
    <row r="76" spans="1:18" s="2061" customFormat="1" ht="17.25" x14ac:dyDescent="0.2">
      <c r="A76" s="2069"/>
      <c r="B76" s="2068" t="s">
        <v>2140</v>
      </c>
      <c r="C76" s="2071"/>
      <c r="D76" s="2060"/>
      <c r="E76" s="2060"/>
      <c r="F76" s="2075">
        <f>SUM(F74,F63)</f>
        <v>471207</v>
      </c>
      <c r="G76" s="2075">
        <f>SUM(G74,G63)</f>
        <v>814328</v>
      </c>
      <c r="H76" s="2075">
        <f>SUM(H74,H63)</f>
        <v>652452</v>
      </c>
      <c r="I76" s="2075">
        <f>SUM(I74,I63)</f>
        <v>786746</v>
      </c>
      <c r="J76" s="2075"/>
      <c r="K76" s="2075">
        <f>SUM(K74,K63)</f>
        <v>49287</v>
      </c>
      <c r="L76" s="2075"/>
      <c r="M76" s="2075">
        <f>SUM(M74,M63)</f>
        <v>1488485</v>
      </c>
      <c r="N76" s="2074"/>
      <c r="O76" s="2059"/>
      <c r="P76" s="2059"/>
      <c r="Q76" s="2059"/>
      <c r="R76" s="2059"/>
    </row>
    <row r="77" spans="1:18" s="2061" customFormat="1" ht="9.75" customHeight="1" x14ac:dyDescent="0.2">
      <c r="A77" s="2069"/>
      <c r="B77" s="2063"/>
      <c r="C77" s="2071"/>
      <c r="D77" s="2062"/>
      <c r="E77" s="2060"/>
      <c r="F77" s="2073"/>
      <c r="G77" s="2073"/>
      <c r="H77" s="2073"/>
      <c r="I77" s="2073"/>
      <c r="J77" s="2073"/>
      <c r="K77" s="2073"/>
      <c r="L77" s="2073"/>
      <c r="M77" s="2073"/>
      <c r="N77" s="2074"/>
      <c r="O77" s="2059"/>
      <c r="P77" s="2059"/>
      <c r="Q77" s="2059"/>
      <c r="R77" s="2059"/>
    </row>
    <row r="78" spans="1:18" s="2061" customFormat="1" ht="15" x14ac:dyDescent="0.2">
      <c r="A78" s="2069"/>
      <c r="B78" s="2068" t="s">
        <v>2141</v>
      </c>
      <c r="C78" s="2071"/>
      <c r="D78" s="2062"/>
      <c r="E78" s="2060"/>
      <c r="F78" s="2073"/>
      <c r="G78" s="2073"/>
      <c r="H78" s="2073"/>
      <c r="I78" s="2073"/>
      <c r="J78" s="2073"/>
      <c r="K78" s="2073"/>
      <c r="L78" s="2073"/>
      <c r="M78" s="2073"/>
      <c r="N78" s="2074"/>
      <c r="O78" s="2059"/>
      <c r="P78" s="2059"/>
      <c r="Q78" s="2059"/>
      <c r="R78" s="2059"/>
    </row>
    <row r="79" spans="1:18" s="2061" customFormat="1" ht="15" x14ac:dyDescent="0.2">
      <c r="A79" s="2069"/>
      <c r="B79" s="2070" t="s">
        <v>2090</v>
      </c>
      <c r="C79" s="2071"/>
      <c r="D79" s="2062"/>
      <c r="E79" s="2060"/>
      <c r="F79" s="2073"/>
      <c r="G79" s="2073"/>
      <c r="H79" s="2073"/>
      <c r="I79" s="2073"/>
      <c r="J79" s="2073"/>
      <c r="K79" s="2073"/>
      <c r="L79" s="2073"/>
      <c r="M79" s="2073"/>
      <c r="N79" s="2074"/>
      <c r="O79" s="2059"/>
      <c r="P79" s="2059"/>
      <c r="Q79" s="2059"/>
      <c r="R79" s="2059"/>
    </row>
    <row r="80" spans="1:18" s="2061" customFormat="1" ht="15" x14ac:dyDescent="0.2">
      <c r="A80" s="2069"/>
      <c r="B80" s="2070" t="s">
        <v>2142</v>
      </c>
      <c r="C80" s="2071"/>
      <c r="D80" s="2062"/>
      <c r="E80" s="2060"/>
      <c r="F80" s="2073"/>
      <c r="G80" s="2073"/>
      <c r="H80" s="2073"/>
      <c r="I80" s="2073"/>
      <c r="J80" s="2073"/>
      <c r="K80" s="2073"/>
      <c r="L80" s="2073"/>
      <c r="M80" s="2073"/>
      <c r="N80" s="2074"/>
      <c r="O80" s="2059"/>
      <c r="P80" s="2059"/>
      <c r="Q80" s="2089"/>
      <c r="R80" s="2059"/>
    </row>
    <row r="81" spans="1:18" s="2061" customFormat="1" ht="8.25" customHeight="1" x14ac:dyDescent="0.2">
      <c r="A81" s="2069"/>
      <c r="B81" s="2063"/>
      <c r="C81" s="2071"/>
      <c r="D81" s="2062"/>
      <c r="E81" s="2060"/>
      <c r="F81" s="2073"/>
      <c r="G81" s="2073"/>
      <c r="H81" s="2073"/>
      <c r="I81" s="2073"/>
      <c r="J81" s="2073"/>
      <c r="K81" s="2073"/>
      <c r="L81" s="2073"/>
      <c r="M81" s="2073"/>
      <c r="N81" s="2074"/>
      <c r="O81" s="2059"/>
      <c r="P81" s="2059"/>
      <c r="Q81" s="2089"/>
      <c r="R81" s="2059"/>
    </row>
    <row r="82" spans="1:18" s="2061" customFormat="1" ht="16.5" customHeight="1" x14ac:dyDescent="0.2">
      <c r="A82" s="2069"/>
      <c r="B82" s="2063" t="s">
        <v>2143</v>
      </c>
      <c r="C82" s="2071">
        <v>93.778000000000006</v>
      </c>
      <c r="D82" s="2060" t="s">
        <v>2144</v>
      </c>
      <c r="E82" s="2060"/>
      <c r="F82" s="2073">
        <v>25567</v>
      </c>
      <c r="G82" s="2073">
        <v>7902</v>
      </c>
      <c r="H82" s="2073">
        <v>34864</v>
      </c>
      <c r="I82" s="2073"/>
      <c r="J82" s="2073">
        <v>0</v>
      </c>
      <c r="K82" s="2073"/>
      <c r="L82" s="2073"/>
      <c r="M82" s="2073">
        <f>H82+K82+I82</f>
        <v>34864</v>
      </c>
      <c r="N82" s="2074" t="s">
        <v>2094</v>
      </c>
      <c r="O82" s="2059"/>
      <c r="P82" s="2059"/>
      <c r="Q82" s="2059"/>
      <c r="R82" s="2059"/>
    </row>
    <row r="83" spans="1:18" s="2061" customFormat="1" ht="16.5" customHeight="1" x14ac:dyDescent="0.2">
      <c r="A83" s="2069"/>
      <c r="B83" s="2063" t="s">
        <v>2143</v>
      </c>
      <c r="C83" s="2071">
        <v>93.778000000000006</v>
      </c>
      <c r="D83" s="2060" t="s">
        <v>2145</v>
      </c>
      <c r="E83" s="2060"/>
      <c r="F83" s="2075" t="s">
        <v>1159</v>
      </c>
      <c r="G83" s="2075">
        <v>24848</v>
      </c>
      <c r="H83" s="2075" t="s">
        <v>1159</v>
      </c>
      <c r="I83" s="2075">
        <v>38863</v>
      </c>
      <c r="J83" s="2075"/>
      <c r="K83" s="2075">
        <v>0</v>
      </c>
      <c r="L83" s="2075"/>
      <c r="M83" s="2075">
        <f>H83+K83+I83</f>
        <v>38863</v>
      </c>
      <c r="N83" s="2074" t="s">
        <v>2094</v>
      </c>
      <c r="O83" s="2059"/>
      <c r="P83" s="2059"/>
      <c r="Q83" s="2059"/>
      <c r="R83" s="2059"/>
    </row>
    <row r="84" spans="1:18" s="2061" customFormat="1" ht="8.25" customHeight="1" x14ac:dyDescent="0.2">
      <c r="A84" s="2059"/>
      <c r="B84" s="2060"/>
      <c r="C84" s="2071"/>
      <c r="D84" s="2060"/>
      <c r="E84" s="2060"/>
      <c r="F84" s="2075"/>
      <c r="G84" s="2075"/>
      <c r="H84" s="2075"/>
      <c r="I84" s="2075"/>
      <c r="J84" s="2073"/>
      <c r="K84" s="2075"/>
      <c r="L84" s="2073"/>
      <c r="M84" s="2075"/>
      <c r="N84" s="2074"/>
      <c r="O84" s="2059"/>
      <c r="P84" s="2059"/>
      <c r="Q84" s="2059"/>
      <c r="R84" s="2059"/>
    </row>
    <row r="85" spans="1:18" s="2061" customFormat="1" ht="17.25" x14ac:dyDescent="0.2">
      <c r="A85" s="2069"/>
      <c r="B85" s="2068" t="s">
        <v>2146</v>
      </c>
      <c r="C85" s="2090"/>
      <c r="D85" s="2063"/>
      <c r="E85" s="2060"/>
      <c r="F85" s="2075">
        <f>SUM(F81:F84)</f>
        <v>25567</v>
      </c>
      <c r="G85" s="2075">
        <f>SUM(G79:G84)</f>
        <v>32750</v>
      </c>
      <c r="H85" s="2075">
        <f>SUM(H82:H84)</f>
        <v>34864</v>
      </c>
      <c r="I85" s="2075">
        <f>SUM(I79:I84)</f>
        <v>38863</v>
      </c>
      <c r="J85" s="2075"/>
      <c r="K85" s="2075">
        <f>SUM(K79:K82)</f>
        <v>0</v>
      </c>
      <c r="L85" s="2075"/>
      <c r="M85" s="2075">
        <f>SUM(M79:M84)</f>
        <v>73727</v>
      </c>
      <c r="N85" s="2074"/>
      <c r="O85" s="2059"/>
      <c r="P85" s="2059"/>
      <c r="Q85" s="2059"/>
      <c r="R85" s="2059"/>
    </row>
    <row r="86" spans="1:18" s="2061" customFormat="1" ht="8.25" customHeight="1" x14ac:dyDescent="0.2">
      <c r="A86" s="2069"/>
      <c r="B86" s="2063"/>
      <c r="C86" s="2063"/>
      <c r="D86" s="2063"/>
      <c r="E86" s="2060"/>
      <c r="F86" s="2073"/>
      <c r="G86" s="2073"/>
      <c r="H86" s="2073"/>
      <c r="I86" s="2073"/>
      <c r="J86" s="2073"/>
      <c r="K86" s="2073"/>
      <c r="L86" s="2073"/>
      <c r="M86" s="2073"/>
      <c r="N86" s="2074"/>
      <c r="O86" s="2059"/>
      <c r="P86" s="2059"/>
      <c r="Q86" s="2059"/>
      <c r="R86" s="2059"/>
    </row>
    <row r="87" spans="1:18" s="2061" customFormat="1" ht="19.899999999999999" customHeight="1" x14ac:dyDescent="0.2">
      <c r="A87" s="2069"/>
      <c r="B87" s="2068" t="s">
        <v>2147</v>
      </c>
      <c r="C87" s="2063"/>
      <c r="D87" s="2063"/>
      <c r="E87" s="2060"/>
      <c r="F87" s="2091">
        <f>+F85+F63+F39+F74</f>
        <v>904544</v>
      </c>
      <c r="G87" s="2091">
        <f>+G85+G63+G39+G74</f>
        <v>1323723</v>
      </c>
      <c r="H87" s="2091">
        <f>+H85+H63+H39+H74</f>
        <v>1153216</v>
      </c>
      <c r="I87" s="2091">
        <f>+I85+I63+I39+I74</f>
        <v>1400884</v>
      </c>
      <c r="J87" s="2091"/>
      <c r="K87" s="2091">
        <f>+K85+K63+K39+K74</f>
        <v>49287</v>
      </c>
      <c r="L87" s="2091"/>
      <c r="M87" s="2091">
        <f>+M85+M63+M39+M74</f>
        <v>2603387</v>
      </c>
      <c r="N87" s="2074"/>
      <c r="O87" s="2059"/>
      <c r="P87" s="2059"/>
      <c r="Q87" s="2059"/>
      <c r="R87" s="2059"/>
    </row>
    <row r="88" spans="1:18" s="2092" customFormat="1" ht="7.5" customHeight="1" x14ac:dyDescent="0.2">
      <c r="A88" s="2063"/>
      <c r="B88" s="2063"/>
      <c r="C88" s="2063"/>
      <c r="D88" s="2063"/>
      <c r="E88" s="2060"/>
      <c r="F88" s="2091"/>
      <c r="G88" s="2091"/>
      <c r="H88" s="2091"/>
      <c r="I88" s="2091"/>
      <c r="J88" s="2091"/>
      <c r="K88" s="2091"/>
      <c r="L88" s="2091"/>
      <c r="M88" s="2091"/>
      <c r="N88" s="2074"/>
      <c r="O88" s="2060"/>
      <c r="P88" s="2060"/>
      <c r="Q88" s="2060"/>
      <c r="R88" s="2060"/>
    </row>
    <row r="89" spans="1:18" s="2061" customFormat="1" ht="17.25" hidden="1" x14ac:dyDescent="0.2">
      <c r="A89" s="2069"/>
      <c r="B89" s="2063"/>
      <c r="C89" s="2063"/>
      <c r="D89" s="2063"/>
      <c r="E89" s="2060"/>
      <c r="F89" s="2091"/>
      <c r="G89" s="2091"/>
      <c r="H89" s="2091"/>
      <c r="I89" s="2091"/>
      <c r="J89" s="2091"/>
      <c r="K89" s="2091"/>
      <c r="L89" s="2091"/>
      <c r="M89" s="2091"/>
      <c r="N89" s="2074"/>
      <c r="O89" s="2059"/>
      <c r="P89" s="2059"/>
      <c r="Q89" s="2059"/>
      <c r="R89" s="2059"/>
    </row>
    <row r="90" spans="1:18" s="2061" customFormat="1" ht="15" customHeight="1" x14ac:dyDescent="0.2">
      <c r="A90" s="2069"/>
      <c r="B90" s="2063"/>
      <c r="C90" s="2063"/>
      <c r="D90" s="2063"/>
      <c r="E90" s="2060"/>
      <c r="F90" s="2091"/>
      <c r="G90" s="2091"/>
      <c r="H90" s="2091"/>
      <c r="I90" s="2091"/>
      <c r="J90" s="2091"/>
      <c r="K90" s="2091"/>
      <c r="L90" s="2091"/>
      <c r="M90" s="2091"/>
      <c r="N90" s="2074"/>
      <c r="O90" s="2059"/>
      <c r="P90" s="2059"/>
      <c r="Q90" s="2059"/>
      <c r="R90" s="2059"/>
    </row>
    <row r="91" spans="1:18" s="2061" customFormat="1" ht="15" x14ac:dyDescent="0.2">
      <c r="A91" s="2069"/>
      <c r="B91" s="2068" t="s">
        <v>2148</v>
      </c>
      <c r="C91" s="2063"/>
      <c r="D91" s="2063"/>
      <c r="E91" s="2060"/>
      <c r="F91" s="2073">
        <f>+F39+F63</f>
        <v>632574</v>
      </c>
      <c r="G91" s="2073">
        <f>+G39+G63</f>
        <v>1043604</v>
      </c>
      <c r="H91" s="2073">
        <f>+H39+H63</f>
        <v>871949</v>
      </c>
      <c r="I91" s="2073">
        <f>+I39+I63</f>
        <v>1114652</v>
      </c>
      <c r="J91" s="2073"/>
      <c r="K91" s="2073">
        <f>+K39+K63</f>
        <v>0</v>
      </c>
      <c r="L91" s="2073"/>
      <c r="M91" s="2073">
        <f>+M39+M63</f>
        <v>1986601</v>
      </c>
      <c r="N91" s="2074"/>
      <c r="O91" s="2059"/>
      <c r="P91" s="2059"/>
      <c r="Q91" s="2059"/>
      <c r="R91" s="2059"/>
    </row>
    <row r="92" spans="1:18" s="2061" customFormat="1" ht="6.75" customHeight="1" x14ac:dyDescent="0.2">
      <c r="A92" s="2069"/>
      <c r="B92" s="2068"/>
      <c r="C92" s="2063"/>
      <c r="D92" s="2063"/>
      <c r="E92" s="2060"/>
      <c r="F92" s="2073"/>
      <c r="G92" s="2073"/>
      <c r="H92" s="2073"/>
      <c r="I92" s="2073"/>
      <c r="J92" s="2073"/>
      <c r="K92" s="2073"/>
      <c r="L92" s="2073"/>
      <c r="M92" s="2073"/>
      <c r="N92" s="2074"/>
      <c r="O92" s="2059"/>
      <c r="P92" s="2059"/>
      <c r="Q92" s="2059"/>
      <c r="R92" s="2059"/>
    </row>
    <row r="93" spans="1:18" s="2061" customFormat="1" ht="17.25" x14ac:dyDescent="0.2">
      <c r="A93" s="2069"/>
      <c r="B93" s="2068" t="s">
        <v>2149</v>
      </c>
      <c r="C93" s="2063"/>
      <c r="D93" s="2063"/>
      <c r="E93" s="2060"/>
      <c r="F93" s="2075">
        <f>+F85+F74</f>
        <v>271970</v>
      </c>
      <c r="G93" s="2075">
        <f>+G85+G74</f>
        <v>280119</v>
      </c>
      <c r="H93" s="2075">
        <f>+H85+H74</f>
        <v>281267</v>
      </c>
      <c r="I93" s="2075">
        <f>+I85+I74</f>
        <v>286232</v>
      </c>
      <c r="J93" s="2075"/>
      <c r="K93" s="2075">
        <f>+K85+K74</f>
        <v>49287</v>
      </c>
      <c r="L93" s="2075"/>
      <c r="M93" s="2075">
        <f>+M85+M74</f>
        <v>616786</v>
      </c>
      <c r="N93" s="2074"/>
      <c r="O93" s="2059"/>
      <c r="P93" s="2059"/>
      <c r="Q93" s="2059"/>
      <c r="R93" s="2059"/>
    </row>
    <row r="94" spans="1:18" s="2061" customFormat="1" ht="8.25" customHeight="1" x14ac:dyDescent="0.2">
      <c r="A94" s="2069"/>
      <c r="B94" s="2068"/>
      <c r="C94" s="2063"/>
      <c r="D94" s="2063"/>
      <c r="E94" s="2060"/>
      <c r="F94" s="2075"/>
      <c r="G94" s="2075"/>
      <c r="H94" s="2075"/>
      <c r="I94" s="2075"/>
      <c r="J94" s="2075"/>
      <c r="K94" s="2075"/>
      <c r="L94" s="2075"/>
      <c r="M94" s="2075"/>
      <c r="N94" s="2074"/>
      <c r="O94" s="2059"/>
      <c r="P94" s="2059"/>
      <c r="Q94" s="2059"/>
      <c r="R94" s="2059"/>
    </row>
    <row r="95" spans="1:18" s="2061" customFormat="1" ht="17.25" x14ac:dyDescent="0.2">
      <c r="A95" s="2069"/>
      <c r="B95" s="2068" t="s">
        <v>2147</v>
      </c>
      <c r="C95" s="2063"/>
      <c r="D95" s="2063"/>
      <c r="E95" s="2060"/>
      <c r="F95" s="2091">
        <f>F91+F93</f>
        <v>904544</v>
      </c>
      <c r="G95" s="2091">
        <f>G91+G93</f>
        <v>1323723</v>
      </c>
      <c r="H95" s="2091">
        <f>H91+H93</f>
        <v>1153216</v>
      </c>
      <c r="I95" s="2091">
        <f>I91+I93</f>
        <v>1400884</v>
      </c>
      <c r="J95" s="2091"/>
      <c r="K95" s="2091">
        <f>K91+K93</f>
        <v>49287</v>
      </c>
      <c r="L95" s="2091"/>
      <c r="M95" s="2091">
        <f>M91+M93</f>
        <v>2603387</v>
      </c>
      <c r="N95" s="2073"/>
      <c r="O95" s="2059"/>
      <c r="P95" s="2059"/>
      <c r="Q95" s="2059"/>
      <c r="R95" s="2059"/>
    </row>
    <row r="96" spans="1:18" s="2061" customFormat="1" ht="6" customHeight="1" x14ac:dyDescent="0.2">
      <c r="A96" s="2069"/>
      <c r="B96" s="2068"/>
      <c r="C96" s="2063"/>
      <c r="D96" s="2063"/>
      <c r="E96" s="2060"/>
      <c r="F96" s="2091"/>
      <c r="G96" s="2091"/>
      <c r="H96" s="2091"/>
      <c r="I96" s="2091"/>
      <c r="J96" s="2091"/>
      <c r="K96" s="2091"/>
      <c r="L96" s="2091"/>
      <c r="M96" s="2091"/>
      <c r="N96" s="2073"/>
      <c r="O96" s="2059"/>
      <c r="P96" s="2059"/>
      <c r="Q96" s="2059"/>
      <c r="R96" s="2059"/>
    </row>
    <row r="97" spans="1:18" s="2061" customFormat="1" ht="15" x14ac:dyDescent="0.2">
      <c r="A97" s="2069"/>
      <c r="B97" s="2063" t="s">
        <v>2150</v>
      </c>
      <c r="C97" s="2090"/>
      <c r="D97" s="2063"/>
      <c r="E97" s="2060"/>
      <c r="F97" s="2073"/>
      <c r="G97" s="2073" t="s">
        <v>2138</v>
      </c>
      <c r="H97" s="2073"/>
      <c r="I97" s="2073"/>
      <c r="J97" s="2073"/>
      <c r="K97" s="2073"/>
      <c r="L97" s="2073"/>
      <c r="M97" s="2073"/>
      <c r="N97" s="2073"/>
      <c r="O97" s="2059"/>
      <c r="P97" s="2059"/>
      <c r="Q97" s="2059"/>
      <c r="R97" s="2059"/>
    </row>
    <row r="98" spans="1:18" s="2061" customFormat="1" ht="15" x14ac:dyDescent="0.2">
      <c r="A98" s="2069"/>
      <c r="B98" s="2077" t="s">
        <v>2151</v>
      </c>
      <c r="C98" s="2063"/>
      <c r="D98" s="2063"/>
      <c r="E98" s="2060"/>
      <c r="F98" s="2073"/>
      <c r="G98" s="2073" t="s">
        <v>1159</v>
      </c>
      <c r="H98" s="2073"/>
      <c r="I98" s="2073"/>
      <c r="J98" s="2073"/>
      <c r="K98" s="2073"/>
      <c r="L98" s="2073"/>
      <c r="M98" s="2073"/>
      <c r="N98" s="2073"/>
      <c r="O98" s="2059"/>
      <c r="P98" s="2059"/>
      <c r="Q98" s="2059"/>
      <c r="R98" s="2059"/>
    </row>
    <row r="99" spans="1:18" s="2061" customFormat="1" ht="15" x14ac:dyDescent="0.2">
      <c r="A99" s="2069"/>
      <c r="B99" s="2063" t="s">
        <v>2152</v>
      </c>
      <c r="C99" s="2069"/>
      <c r="D99" s="2069"/>
      <c r="E99" s="2059"/>
      <c r="F99" s="2093"/>
      <c r="G99" s="2093"/>
      <c r="H99" s="2093"/>
      <c r="I99" s="2093"/>
      <c r="J99" s="2093"/>
      <c r="K99" s="2093"/>
      <c r="L99" s="2093"/>
      <c r="M99" s="2093"/>
      <c r="N99" s="2093" t="s">
        <v>1159</v>
      </c>
      <c r="O99" s="2059"/>
      <c r="P99" s="2059"/>
      <c r="Q99" s="2059"/>
      <c r="R99" s="2059"/>
    </row>
    <row r="100" spans="1:18" s="2061" customFormat="1" ht="15" x14ac:dyDescent="0.2">
      <c r="A100" s="2069"/>
      <c r="B100" s="2063" t="s">
        <v>2153</v>
      </c>
      <c r="C100" s="2094"/>
      <c r="D100" s="2069"/>
      <c r="E100" s="2059"/>
      <c r="F100" s="2093"/>
      <c r="G100" s="2093"/>
      <c r="H100" s="2093"/>
      <c r="I100" s="2093"/>
      <c r="J100" s="2093"/>
      <c r="K100" s="2093"/>
      <c r="L100" s="2093"/>
      <c r="M100" s="2093"/>
      <c r="N100" s="2093"/>
      <c r="O100" s="2059"/>
      <c r="P100" s="2059"/>
      <c r="Q100" s="2059"/>
      <c r="R100" s="2059"/>
    </row>
    <row r="101" spans="1:18" s="2061" customFormat="1" ht="15.75" x14ac:dyDescent="0.2">
      <c r="A101" s="2095"/>
      <c r="B101" s="2096"/>
      <c r="C101" s="2097"/>
      <c r="D101" s="2095"/>
      <c r="F101" s="2098"/>
      <c r="G101" s="2098"/>
      <c r="H101" s="2098"/>
      <c r="I101" s="2098"/>
      <c r="J101" s="2098"/>
      <c r="K101" s="2098"/>
      <c r="L101" s="2098"/>
      <c r="M101" s="2098"/>
      <c r="N101" s="2098"/>
    </row>
    <row r="102" spans="1:18" ht="12.75" x14ac:dyDescent="0.2">
      <c r="A102" s="2099"/>
      <c r="B102" s="2100"/>
      <c r="C102" s="2101"/>
      <c r="D102" s="2099"/>
      <c r="F102" s="2102"/>
      <c r="G102" s="2102"/>
      <c r="H102" s="2102"/>
      <c r="I102" s="2102"/>
      <c r="J102" s="2102"/>
      <c r="K102" s="2102"/>
      <c r="L102" s="2102"/>
      <c r="M102" s="2102"/>
      <c r="N102" s="2102"/>
    </row>
    <row r="103" spans="1:18" ht="13.5" customHeight="1" x14ac:dyDescent="0.2">
      <c r="A103" s="2099"/>
      <c r="B103" s="2103" t="s">
        <v>2154</v>
      </c>
      <c r="C103" s="2104"/>
      <c r="D103" s="2104"/>
      <c r="E103" s="2104"/>
      <c r="F103" s="2104"/>
      <c r="G103" s="2104"/>
      <c r="H103" s="2105"/>
      <c r="I103" s="2105"/>
    </row>
    <row r="104" spans="1:18" ht="13.5" customHeight="1" x14ac:dyDescent="0.2">
      <c r="A104" s="2099"/>
      <c r="B104" s="2106" t="s">
        <v>2155</v>
      </c>
      <c r="C104" s="2107"/>
      <c r="D104" s="2107"/>
      <c r="E104" s="2107"/>
      <c r="F104" s="2107"/>
      <c r="G104" s="2107"/>
      <c r="H104" s="2108"/>
      <c r="I104" s="2108"/>
    </row>
    <row r="105" spans="1:18" ht="13.5" customHeight="1" x14ac:dyDescent="0.2">
      <c r="A105" s="2099"/>
      <c r="B105" s="2103" t="s">
        <v>2156</v>
      </c>
      <c r="C105" s="2104"/>
      <c r="D105" s="2104"/>
      <c r="E105" s="2104"/>
      <c r="F105" s="2104"/>
      <c r="G105" s="2104"/>
      <c r="H105" s="2105"/>
      <c r="I105" s="2105"/>
    </row>
    <row r="106" spans="1:18" ht="13.5" customHeight="1" x14ac:dyDescent="0.2">
      <c r="A106" s="2099"/>
      <c r="B106" s="2106" t="s">
        <v>2157</v>
      </c>
      <c r="C106" s="2106"/>
      <c r="D106" s="2106"/>
      <c r="E106" s="2106"/>
      <c r="F106" s="2106"/>
      <c r="G106" s="2106"/>
      <c r="H106" s="2109"/>
      <c r="I106" s="2109"/>
    </row>
    <row r="107" spans="1:18" ht="13.5" customHeight="1" x14ac:dyDescent="0.2">
      <c r="A107" s="2099"/>
      <c r="B107" s="2103" t="s">
        <v>2158</v>
      </c>
      <c r="C107" s="2110"/>
      <c r="D107" s="2106"/>
      <c r="E107" s="2106"/>
      <c r="F107" s="2106"/>
      <c r="G107" s="2106"/>
    </row>
    <row r="108" spans="1:18" ht="13.5" customHeight="1" x14ac:dyDescent="0.2">
      <c r="A108" s="2099"/>
      <c r="B108" s="2103" t="s">
        <v>2159</v>
      </c>
      <c r="C108" s="2110"/>
      <c r="D108" s="2106"/>
      <c r="E108" s="2106"/>
      <c r="F108" s="2106"/>
      <c r="G108" s="2106"/>
    </row>
    <row r="109" spans="1:18" ht="13.5" customHeight="1" x14ac:dyDescent="0.2">
      <c r="A109" s="2099"/>
      <c r="B109" s="2106" t="s">
        <v>2160</v>
      </c>
      <c r="C109" s="2111"/>
      <c r="D109" s="2099"/>
      <c r="E109" s="2099"/>
      <c r="F109" s="2099"/>
      <c r="G109" s="2099"/>
    </row>
    <row r="110" spans="1:18" ht="13.5" customHeight="1" x14ac:dyDescent="0.2">
      <c r="A110" s="2099"/>
      <c r="B110" s="2106" t="s">
        <v>2161</v>
      </c>
      <c r="C110" s="2111"/>
      <c r="D110" s="2099"/>
      <c r="E110" s="2099"/>
      <c r="F110" s="2099"/>
      <c r="G110" s="2099"/>
    </row>
    <row r="111" spans="1:18" ht="13.5" customHeight="1" x14ac:dyDescent="0.2">
      <c r="A111" s="2099"/>
      <c r="B111" s="2106" t="s">
        <v>2162</v>
      </c>
      <c r="C111" s="2111"/>
      <c r="D111" s="2099"/>
      <c r="E111" s="2099"/>
      <c r="F111" s="2099"/>
      <c r="G111" s="2099"/>
    </row>
    <row r="112" spans="1:18" s="2115" customFormat="1" ht="13.5" customHeight="1" x14ac:dyDescent="0.2">
      <c r="A112" s="2112"/>
      <c r="B112" s="2113"/>
      <c r="C112" s="2114"/>
      <c r="D112" s="2112"/>
      <c r="E112" s="2112"/>
      <c r="F112" s="2112"/>
      <c r="G112" s="2112"/>
    </row>
    <row r="113" spans="1:7" x14ac:dyDescent="0.2">
      <c r="A113" s="2099"/>
      <c r="B113" s="2099"/>
      <c r="C113" s="2099"/>
      <c r="D113" s="2099"/>
      <c r="E113" s="2099"/>
      <c r="F113" s="2099"/>
      <c r="G113" s="2099"/>
    </row>
  </sheetData>
  <mergeCells count="6">
    <mergeCell ref="A1:N1"/>
    <mergeCell ref="A2:N2"/>
    <mergeCell ref="A3:N3"/>
    <mergeCell ref="A4:N4"/>
    <mergeCell ref="F7:G7"/>
    <mergeCell ref="H7:I7"/>
  </mergeCells>
  <printOptions horizontalCentered="1" gridLinesSet="0"/>
  <pageMargins left="0.25" right="0.25" top="0.25" bottom="0.5" header="0.5" footer="0.25"/>
  <pageSetup scale="64" fitToHeight="2" orientation="landscape" r:id="rId1"/>
  <headerFooter alignWithMargins="0">
    <oddFooter>&amp;L&amp;"Garamond,Regular"&amp;11See the accompanying notes to the Schedule of Expenditures of Federal Awards.</oddFooter>
  </headerFooter>
  <rowBreaks count="1" manualBreakCount="1">
    <brk id="63"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44" t="str">
        <f>'Single Audit Cover'!A7</f>
        <v>East Peoria SD 86</v>
      </c>
      <c r="C1" s="2695"/>
      <c r="D1" s="2695"/>
      <c r="E1" s="2695"/>
      <c r="F1" s="2695"/>
      <c r="G1" s="2695"/>
      <c r="H1" s="2695"/>
      <c r="I1" s="2695"/>
      <c r="J1" s="2695"/>
      <c r="K1" s="2695"/>
      <c r="L1" s="2695"/>
      <c r="M1" s="2695"/>
    </row>
    <row r="2" spans="2:14" ht="15" x14ac:dyDescent="0.2">
      <c r="B2" s="2696">
        <f>'Single Audit Cover'!E7</f>
        <v>53090086002</v>
      </c>
      <c r="C2" s="2696"/>
      <c r="D2" s="2696"/>
      <c r="E2" s="2696"/>
      <c r="F2" s="2696"/>
      <c r="G2" s="2696"/>
      <c r="H2" s="2696"/>
      <c r="I2" s="2696"/>
      <c r="J2" s="2696"/>
      <c r="K2" s="2696"/>
      <c r="L2" s="2696"/>
      <c r="M2" s="2696"/>
      <c r="N2" s="1078"/>
    </row>
    <row r="3" spans="2:14" ht="15" x14ac:dyDescent="0.2">
      <c r="B3" s="2697" t="s">
        <v>1208</v>
      </c>
      <c r="C3" s="2697"/>
      <c r="D3" s="2697"/>
      <c r="E3" s="2697"/>
      <c r="F3" s="2697"/>
      <c r="G3" s="2697"/>
      <c r="H3" s="2697"/>
      <c r="I3" s="2697"/>
      <c r="J3" s="2697"/>
      <c r="K3" s="2697"/>
      <c r="L3" s="2697"/>
      <c r="M3" s="2697"/>
      <c r="N3" s="1078"/>
    </row>
    <row r="4" spans="2:14" ht="15" x14ac:dyDescent="0.2">
      <c r="B4" s="2698" t="str">
        <f>'Single Audit Cover'!A4</f>
        <v>Year Ending June 30, 2020</v>
      </c>
      <c r="C4" s="2698"/>
      <c r="D4" s="2698"/>
      <c r="E4" s="2698"/>
      <c r="F4" s="2698"/>
      <c r="G4" s="2698"/>
      <c r="H4" s="2698"/>
      <c r="I4" s="2698"/>
      <c r="J4" s="2698"/>
      <c r="K4" s="2698"/>
      <c r="L4" s="2698"/>
      <c r="M4" s="2698"/>
      <c r="N4" s="1078"/>
    </row>
    <row r="5" spans="2:14" x14ac:dyDescent="0.2">
      <c r="H5" s="1915"/>
      <c r="J5" s="1915"/>
    </row>
    <row r="6" spans="2:14" x14ac:dyDescent="0.2">
      <c r="B6" s="1079"/>
      <c r="C6" s="1080"/>
      <c r="D6" s="1081" t="s">
        <v>1254</v>
      </c>
      <c r="E6" s="1082" t="s">
        <v>524</v>
      </c>
      <c r="F6" s="1083"/>
      <c r="G6" s="1084" t="s">
        <v>1709</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t="s">
        <v>2057</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A3BF-1667-4BA7-9435-7413AE577E04}">
  <sheetPr>
    <pageSetUpPr fitToPage="1"/>
  </sheetPr>
  <dimension ref="A1:G56"/>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056" customWidth="1"/>
    <col min="4" max="4" width="16.7109375" style="2056" customWidth="1"/>
    <col min="5" max="5" width="7.5703125" style="294" customWidth="1"/>
    <col min="6" max="6" width="2.7109375" style="294" customWidth="1"/>
    <col min="7" max="7" width="3.28515625" style="294" customWidth="1"/>
    <col min="8" max="16384" width="8" style="294"/>
  </cols>
  <sheetData>
    <row r="1" spans="1:7" ht="13.5" customHeight="1" x14ac:dyDescent="0.2">
      <c r="A1" s="2700" t="s">
        <v>2059</v>
      </c>
      <c r="B1" s="2700"/>
      <c r="C1" s="2700"/>
      <c r="D1" s="2700"/>
      <c r="E1" s="2700"/>
      <c r="F1" s="2700"/>
    </row>
    <row r="2" spans="1:7" ht="13.5" customHeight="1" x14ac:dyDescent="0.2">
      <c r="A2" s="2701" t="s">
        <v>2058</v>
      </c>
      <c r="B2" s="2701"/>
      <c r="C2" s="2701"/>
      <c r="D2" s="2701"/>
      <c r="E2" s="2701"/>
      <c r="F2" s="2701"/>
      <c r="G2" s="2036"/>
    </row>
    <row r="3" spans="1:7" ht="15.95" customHeight="1" x14ac:dyDescent="0.2">
      <c r="A3" s="2702" t="s">
        <v>1260</v>
      </c>
      <c r="B3" s="2702"/>
      <c r="C3" s="2702"/>
      <c r="D3" s="2702"/>
      <c r="E3" s="2702"/>
      <c r="F3" s="2702"/>
    </row>
    <row r="4" spans="1:7" ht="13.5" customHeight="1" x14ac:dyDescent="0.2">
      <c r="A4" s="2680" t="s">
        <v>2074</v>
      </c>
      <c r="B4" s="2680"/>
      <c r="C4" s="2680"/>
      <c r="D4" s="2680"/>
      <c r="E4" s="2680"/>
      <c r="F4" s="2680"/>
    </row>
    <row r="5" spans="1:7" ht="8.25" customHeight="1" x14ac:dyDescent="0.2">
      <c r="C5" s="294"/>
      <c r="D5" s="294"/>
    </row>
    <row r="6" spans="1:7" ht="13.5" customHeight="1" x14ac:dyDescent="0.2">
      <c r="A6" s="2037" t="s">
        <v>1705</v>
      </c>
      <c r="C6" s="294"/>
      <c r="D6" s="294"/>
    </row>
    <row r="7" spans="1:7" ht="60.95" customHeight="1" x14ac:dyDescent="0.2">
      <c r="A7" s="2699" t="s">
        <v>2071</v>
      </c>
      <c r="B7" s="2699"/>
      <c r="C7" s="2699"/>
      <c r="D7" s="2699"/>
      <c r="E7" s="2699"/>
      <c r="F7" s="2699"/>
    </row>
    <row r="8" spans="1:7" ht="12" customHeight="1" x14ac:dyDescent="0.2">
      <c r="A8" s="2037"/>
      <c r="B8" s="991"/>
      <c r="C8" s="991"/>
      <c r="D8" s="991"/>
    </row>
    <row r="9" spans="1:7" ht="15" customHeight="1" x14ac:dyDescent="0.2">
      <c r="A9" s="2037" t="s">
        <v>1706</v>
      </c>
      <c r="B9" s="991"/>
      <c r="C9" s="991"/>
      <c r="D9" s="991"/>
    </row>
    <row r="10" spans="1:7" ht="15" customHeight="1" x14ac:dyDescent="0.2">
      <c r="A10" s="2038" t="s">
        <v>1530</v>
      </c>
      <c r="B10" s="991"/>
      <c r="C10" s="1194"/>
      <c r="D10" s="991" t="s">
        <v>1531</v>
      </c>
      <c r="E10" s="1194" t="s">
        <v>2049</v>
      </c>
      <c r="F10" s="991" t="s">
        <v>99</v>
      </c>
    </row>
    <row r="11" spans="1:7" ht="12" customHeight="1" x14ac:dyDescent="0.2">
      <c r="A11" s="2038"/>
      <c r="B11" s="991"/>
      <c r="C11" s="2035"/>
      <c r="D11" s="991"/>
      <c r="E11" s="2035"/>
      <c r="F11" s="991"/>
    </row>
    <row r="12" spans="1:7" x14ac:dyDescent="0.2">
      <c r="A12" s="2037" t="s">
        <v>1570</v>
      </c>
      <c r="C12" s="2039"/>
      <c r="D12" s="2039"/>
    </row>
    <row r="13" spans="1:7" ht="24.75" customHeight="1" x14ac:dyDescent="0.2">
      <c r="A13" s="2699" t="s">
        <v>2072</v>
      </c>
      <c r="B13" s="2699"/>
      <c r="C13" s="2699"/>
      <c r="D13" s="2699"/>
      <c r="E13" s="2699"/>
      <c r="F13" s="2699"/>
    </row>
    <row r="14" spans="1:7" ht="9.75" customHeight="1" x14ac:dyDescent="0.2">
      <c r="C14" s="2039"/>
      <c r="D14" s="2039"/>
    </row>
    <row r="15" spans="1:7" ht="13.5" customHeight="1" x14ac:dyDescent="0.2">
      <c r="C15" s="2040" t="s">
        <v>1259</v>
      </c>
      <c r="D15" s="2704" t="s">
        <v>1258</v>
      </c>
      <c r="E15" s="2704"/>
      <c r="F15" s="2704"/>
    </row>
    <row r="16" spans="1:7" ht="13.5" customHeight="1" x14ac:dyDescent="0.2">
      <c r="A16" s="991"/>
      <c r="B16" s="2037" t="s">
        <v>1257</v>
      </c>
      <c r="C16" s="2040" t="s">
        <v>1256</v>
      </c>
      <c r="D16" s="2705" t="s">
        <v>1571</v>
      </c>
      <c r="E16" s="2705"/>
      <c r="F16" s="2705"/>
    </row>
    <row r="17" spans="1:6" ht="20.45" customHeight="1" x14ac:dyDescent="0.2">
      <c r="A17" s="2041"/>
      <c r="B17" s="1060" t="s">
        <v>2069</v>
      </c>
      <c r="C17" s="1061"/>
      <c r="D17" s="2703"/>
      <c r="E17" s="2703"/>
      <c r="F17" s="2703"/>
    </row>
    <row r="18" spans="1:6" ht="20.65" hidden="1" customHeight="1" x14ac:dyDescent="0.2">
      <c r="A18" s="2041"/>
      <c r="B18" s="1060"/>
      <c r="C18" s="1061"/>
      <c r="D18" s="2703"/>
      <c r="E18" s="2703"/>
      <c r="F18" s="2703"/>
    </row>
    <row r="19" spans="1:6" ht="20.65" hidden="1" customHeight="1" x14ac:dyDescent="0.2">
      <c r="A19" s="2041"/>
      <c r="B19" s="1060"/>
      <c r="C19" s="1061"/>
      <c r="D19" s="2703"/>
      <c r="E19" s="2703"/>
      <c r="F19" s="2703"/>
    </row>
    <row r="20" spans="1:6" ht="20.65" hidden="1" customHeight="1" x14ac:dyDescent="0.2">
      <c r="A20" s="2041"/>
      <c r="B20" s="1060"/>
      <c r="C20" s="1061"/>
      <c r="D20" s="2703"/>
      <c r="E20" s="2703"/>
      <c r="F20" s="2703"/>
    </row>
    <row r="21" spans="1:6" ht="20.65" hidden="1" customHeight="1" x14ac:dyDescent="0.2">
      <c r="A21" s="2041"/>
      <c r="B21" s="1060"/>
      <c r="C21" s="1061"/>
      <c r="D21" s="2703"/>
      <c r="E21" s="2703"/>
      <c r="F21" s="2703"/>
    </row>
    <row r="22" spans="1:6" ht="20.65" hidden="1" customHeight="1" x14ac:dyDescent="0.2">
      <c r="A22" s="2041"/>
      <c r="B22" s="1060"/>
      <c r="C22" s="1061"/>
      <c r="D22" s="2703"/>
      <c r="E22" s="2703"/>
      <c r="F22" s="2703"/>
    </row>
    <row r="23" spans="1:6" ht="20.65" hidden="1" customHeight="1" x14ac:dyDescent="0.2">
      <c r="A23" s="2041"/>
      <c r="B23" s="1060"/>
      <c r="C23" s="1061"/>
      <c r="D23" s="2703"/>
      <c r="E23" s="2703"/>
      <c r="F23" s="2703"/>
    </row>
    <row r="24" spans="1:6" ht="20.65" hidden="1" customHeight="1" x14ac:dyDescent="0.2">
      <c r="A24" s="2041"/>
      <c r="B24" s="1060"/>
      <c r="C24" s="1061"/>
      <c r="D24" s="2703"/>
      <c r="E24" s="2703"/>
      <c r="F24" s="2703"/>
    </row>
    <row r="25" spans="1:6" ht="20.65" hidden="1" customHeight="1" x14ac:dyDescent="0.2">
      <c r="A25" s="2041"/>
      <c r="B25" s="1060"/>
      <c r="C25" s="1061"/>
      <c r="D25" s="2703"/>
      <c r="E25" s="2703"/>
      <c r="F25" s="2703"/>
    </row>
    <row r="26" spans="1:6" ht="20.65" hidden="1" customHeight="1" x14ac:dyDescent="0.2">
      <c r="A26" s="2041"/>
      <c r="B26" s="1060"/>
      <c r="C26" s="1061"/>
      <c r="D26" s="2703"/>
      <c r="E26" s="2703"/>
      <c r="F26" s="2703"/>
    </row>
    <row r="27" spans="1:6" ht="20.65" hidden="1" customHeight="1" x14ac:dyDescent="0.2">
      <c r="A27" s="2041"/>
      <c r="B27" s="1060"/>
      <c r="C27" s="1061"/>
      <c r="D27" s="2703"/>
      <c r="E27" s="2703"/>
      <c r="F27" s="2703"/>
    </row>
    <row r="28" spans="1:6" ht="20.65" hidden="1" customHeight="1" x14ac:dyDescent="0.2">
      <c r="A28" s="2041"/>
      <c r="B28" s="1060"/>
      <c r="C28" s="1061"/>
      <c r="D28" s="2703"/>
      <c r="E28" s="2703"/>
      <c r="F28" s="2703"/>
    </row>
    <row r="29" spans="1:6" ht="20.65" hidden="1" customHeight="1" x14ac:dyDescent="0.2">
      <c r="A29" s="2041"/>
      <c r="B29" s="1060"/>
      <c r="C29" s="1061"/>
      <c r="D29" s="2703"/>
      <c r="E29" s="2703"/>
      <c r="F29" s="2703"/>
    </row>
    <row r="30" spans="1:6" ht="12" customHeight="1" x14ac:dyDescent="0.2">
      <c r="A30" s="991"/>
      <c r="B30" s="991"/>
      <c r="C30" s="2042"/>
      <c r="D30" s="2043"/>
      <c r="E30" s="2044"/>
    </row>
    <row r="31" spans="1:6" ht="12" customHeight="1" x14ac:dyDescent="0.2">
      <c r="A31" s="2037" t="s">
        <v>1532</v>
      </c>
      <c r="B31" s="991"/>
      <c r="C31" s="2042"/>
      <c r="D31" s="2043"/>
      <c r="E31" s="2044"/>
    </row>
    <row r="32" spans="1:6" ht="30" customHeight="1" x14ac:dyDescent="0.2">
      <c r="A32" s="2708" t="s">
        <v>2186</v>
      </c>
      <c r="B32" s="2708"/>
      <c r="C32" s="2708"/>
      <c r="D32" s="2708"/>
      <c r="E32" s="2708"/>
      <c r="F32" s="2708"/>
    </row>
    <row r="33" spans="1:6" ht="13.5" customHeight="1" x14ac:dyDescent="0.2">
      <c r="A33" s="991"/>
      <c r="B33" s="991"/>
      <c r="C33" s="2045">
        <v>60626</v>
      </c>
      <c r="D33" s="2043"/>
      <c r="E33" s="2044"/>
    </row>
    <row r="34" spans="1:6" ht="13.5" customHeight="1" x14ac:dyDescent="0.2">
      <c r="A34" s="991" t="s">
        <v>1809</v>
      </c>
      <c r="B34" s="991"/>
      <c r="C34" s="2046">
        <v>0</v>
      </c>
      <c r="D34" s="2043" t="s">
        <v>1572</v>
      </c>
      <c r="E34" s="2709">
        <f>+C33+C34</f>
        <v>60626</v>
      </c>
      <c r="F34" s="2710"/>
    </row>
    <row r="35" spans="1:6" ht="12" customHeight="1" x14ac:dyDescent="0.2">
      <c r="A35" s="991"/>
      <c r="B35" s="991"/>
      <c r="C35" s="2047"/>
      <c r="D35" s="2043"/>
      <c r="E35" s="2048"/>
      <c r="F35" s="2039"/>
    </row>
    <row r="36" spans="1:6" ht="13.5" customHeight="1" x14ac:dyDescent="0.2">
      <c r="A36" s="2037" t="s">
        <v>1533</v>
      </c>
      <c r="B36" s="991"/>
      <c r="C36" s="2042"/>
      <c r="D36" s="2043"/>
      <c r="E36" s="2044"/>
    </row>
    <row r="37" spans="1:6" ht="14.25" customHeight="1" x14ac:dyDescent="0.2">
      <c r="A37" s="991" t="s">
        <v>1467</v>
      </c>
      <c r="B37" s="991"/>
      <c r="C37" s="2049"/>
      <c r="D37" s="2043"/>
      <c r="E37" s="2044"/>
    </row>
    <row r="38" spans="1:6" ht="14.25" customHeight="1" x14ac:dyDescent="0.2">
      <c r="A38" s="991"/>
      <c r="B38" s="991" t="s">
        <v>1418</v>
      </c>
      <c r="C38" s="1068" t="s">
        <v>380</v>
      </c>
      <c r="D38" s="2043"/>
      <c r="E38" s="2044"/>
    </row>
    <row r="39" spans="1:6" ht="14.25" customHeight="1" x14ac:dyDescent="0.2">
      <c r="A39" s="991"/>
      <c r="B39" s="991" t="s">
        <v>1419</v>
      </c>
      <c r="C39" s="1068" t="s">
        <v>380</v>
      </c>
      <c r="D39" s="2043"/>
      <c r="E39" s="2044"/>
    </row>
    <row r="40" spans="1:6" ht="14.25" customHeight="1" x14ac:dyDescent="0.2">
      <c r="A40" s="991"/>
      <c r="B40" s="991" t="s">
        <v>1420</v>
      </c>
      <c r="C40" s="1068" t="s">
        <v>380</v>
      </c>
      <c r="D40" s="2043"/>
      <c r="E40" s="2044"/>
    </row>
    <row r="41" spans="1:6" ht="14.25" customHeight="1" x14ac:dyDescent="0.2">
      <c r="A41" s="991"/>
      <c r="B41" s="991" t="s">
        <v>1421</v>
      </c>
      <c r="C41" s="1068" t="s">
        <v>380</v>
      </c>
      <c r="D41" s="2043"/>
      <c r="E41" s="2044"/>
    </row>
    <row r="42" spans="1:6" ht="14.25" customHeight="1" x14ac:dyDescent="0.2">
      <c r="A42" s="991" t="s">
        <v>1422</v>
      </c>
      <c r="B42" s="991"/>
      <c r="C42" s="1524" t="s">
        <v>380</v>
      </c>
      <c r="D42" s="2043"/>
      <c r="E42" s="2044"/>
    </row>
    <row r="43" spans="1:6" ht="14.25" customHeight="1" x14ac:dyDescent="0.2">
      <c r="A43" s="991" t="s">
        <v>1423</v>
      </c>
      <c r="B43" s="991"/>
      <c r="C43" s="1069" t="s">
        <v>380</v>
      </c>
      <c r="D43" s="2043"/>
      <c r="E43" s="2044"/>
    </row>
    <row r="44" spans="1:6" ht="14.25" customHeight="1" x14ac:dyDescent="0.2">
      <c r="A44" s="991"/>
      <c r="B44" s="991"/>
      <c r="C44" s="2049" t="s">
        <v>1424</v>
      </c>
      <c r="D44" s="2043"/>
      <c r="E44" s="2044"/>
    </row>
    <row r="45" spans="1:6" ht="14.25" customHeight="1" x14ac:dyDescent="0.2">
      <c r="A45" s="2037" t="s">
        <v>2073</v>
      </c>
      <c r="B45" s="991"/>
      <c r="C45" s="2049"/>
      <c r="D45" s="2043"/>
      <c r="E45" s="2044"/>
    </row>
    <row r="46" spans="1:6" ht="14.25" customHeight="1" x14ac:dyDescent="0.2">
      <c r="A46" s="2707" t="s">
        <v>2075</v>
      </c>
      <c r="B46" s="2707"/>
      <c r="C46" s="2707"/>
      <c r="D46" s="2707"/>
      <c r="E46" s="2707"/>
    </row>
    <row r="47" spans="1:6" ht="13.5" customHeight="1" x14ac:dyDescent="0.2">
      <c r="A47" s="2707"/>
      <c r="B47" s="2707"/>
      <c r="C47" s="2707"/>
      <c r="D47" s="2707"/>
      <c r="E47" s="2707"/>
    </row>
    <row r="48" spans="1:6" ht="13.5" customHeight="1" x14ac:dyDescent="0.2">
      <c r="A48" s="2707"/>
      <c r="B48" s="2707"/>
      <c r="C48" s="2707"/>
      <c r="D48" s="2707"/>
      <c r="E48" s="2707"/>
    </row>
    <row r="49" spans="1:6" ht="13.5" customHeight="1" x14ac:dyDescent="0.2">
      <c r="C49" s="2039"/>
      <c r="D49" s="2039"/>
    </row>
    <row r="50" spans="1:6" x14ac:dyDescent="0.2">
      <c r="A50" s="2050" t="s">
        <v>1708</v>
      </c>
      <c r="C50" s="294"/>
      <c r="D50" s="294"/>
    </row>
    <row r="51" spans="1:6" ht="11.25" customHeight="1" x14ac:dyDescent="0.2">
      <c r="A51" s="2051"/>
      <c r="B51" s="2052"/>
      <c r="C51" s="2052"/>
      <c r="D51" s="2052"/>
      <c r="E51" s="2052"/>
      <c r="F51" s="2052"/>
    </row>
    <row r="52" spans="1:6" ht="6" customHeight="1" x14ac:dyDescent="0.2">
      <c r="A52" s="2050"/>
      <c r="C52" s="294"/>
      <c r="D52" s="294"/>
    </row>
    <row r="53" spans="1:6" s="998" customFormat="1" ht="23.45" customHeight="1" x14ac:dyDescent="0.2">
      <c r="A53" s="2053">
        <v>5</v>
      </c>
      <c r="B53" s="2711" t="s">
        <v>1573</v>
      </c>
      <c r="C53" s="2711"/>
      <c r="D53" s="2711"/>
      <c r="E53" s="294"/>
    </row>
    <row r="54" spans="1:6" s="998" customFormat="1" ht="3.75" customHeight="1" x14ac:dyDescent="0.2">
      <c r="A54" s="2053"/>
      <c r="B54" s="2054"/>
      <c r="C54" s="2054"/>
      <c r="D54" s="2054"/>
      <c r="E54" s="294"/>
    </row>
    <row r="55" spans="1:6" s="998" customFormat="1" ht="20.25" customHeight="1" x14ac:dyDescent="0.2">
      <c r="A55" s="2055">
        <v>6</v>
      </c>
      <c r="B55" s="2706" t="s">
        <v>1534</v>
      </c>
      <c r="C55" s="2706"/>
      <c r="D55" s="2706"/>
    </row>
    <row r="56" spans="1:6" ht="14.25" customHeight="1" x14ac:dyDescent="0.2">
      <c r="A56" s="2055"/>
      <c r="B56" s="2706"/>
      <c r="C56" s="2706"/>
      <c r="D56" s="2706"/>
    </row>
  </sheetData>
  <mergeCells count="27">
    <mergeCell ref="B55:D55"/>
    <mergeCell ref="B56:D56"/>
    <mergeCell ref="A46:E48"/>
    <mergeCell ref="D27:F27"/>
    <mergeCell ref="D28:F28"/>
    <mergeCell ref="D29:F29"/>
    <mergeCell ref="A32:F32"/>
    <mergeCell ref="E34:F34"/>
    <mergeCell ref="B53:D53"/>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B39" sqref="B3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712" t="str">
        <f>'Single Audit Cover'!A7</f>
        <v>East Peoria SD 86</v>
      </c>
      <c r="B1" s="2712"/>
      <c r="C1" s="2712"/>
      <c r="D1" s="2712"/>
      <c r="E1" s="2712"/>
      <c r="F1" s="2712"/>
    </row>
    <row r="2" spans="1:7" ht="13.5" customHeight="1" x14ac:dyDescent="0.2">
      <c r="A2" s="2696">
        <f>'Single Audit Cover'!E7</f>
        <v>53090086002</v>
      </c>
      <c r="B2" s="2696"/>
      <c r="C2" s="2696"/>
      <c r="D2" s="2696"/>
      <c r="E2" s="2696"/>
      <c r="F2" s="2696"/>
      <c r="G2" s="1051"/>
    </row>
    <row r="3" spans="1:7" ht="15.75" customHeight="1" x14ac:dyDescent="0.2">
      <c r="A3" s="2713" t="s">
        <v>1260</v>
      </c>
      <c r="B3" s="2713"/>
      <c r="C3" s="2713"/>
      <c r="D3" s="2713"/>
      <c r="E3" s="2713"/>
      <c r="F3" s="2713"/>
    </row>
    <row r="4" spans="1:7" ht="13.5" customHeight="1" x14ac:dyDescent="0.2">
      <c r="A4" s="2714" t="str">
        <f>'Single Audit Cover'!A4</f>
        <v>Year Ending June 30, 2020</v>
      </c>
      <c r="B4" s="2714"/>
      <c r="C4" s="2714"/>
      <c r="D4" s="2714"/>
      <c r="E4" s="2714"/>
      <c r="F4" s="2714"/>
    </row>
    <row r="5" spans="1:7" ht="8.25" customHeight="1" x14ac:dyDescent="0.2">
      <c r="C5" s="295"/>
      <c r="D5" s="295"/>
    </row>
    <row r="6" spans="1:7" ht="13.5" customHeight="1" x14ac:dyDescent="0.2">
      <c r="A6" s="1052" t="s">
        <v>1705</v>
      </c>
      <c r="C6" s="295"/>
      <c r="D6" s="295"/>
    </row>
    <row r="7" spans="1:7" ht="61.15" customHeight="1" x14ac:dyDescent="0.2">
      <c r="A7" s="2699" t="s">
        <v>2067</v>
      </c>
      <c r="B7" s="2699"/>
      <c r="C7" s="2699"/>
      <c r="D7" s="2699"/>
      <c r="E7" s="2699"/>
      <c r="F7" s="269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99" t="s">
        <v>1707</v>
      </c>
      <c r="B13" s="2699"/>
      <c r="C13" s="2699"/>
      <c r="D13" s="2699"/>
      <c r="E13" s="2699"/>
      <c r="F13" s="2699"/>
    </row>
    <row r="14" spans="1:7" ht="9.75" customHeight="1" x14ac:dyDescent="0.2">
      <c r="C14" s="1036"/>
      <c r="D14" s="1036"/>
    </row>
    <row r="15" spans="1:7" ht="13.5" customHeight="1" x14ac:dyDescent="0.2">
      <c r="C15" s="1476" t="s">
        <v>1259</v>
      </c>
      <c r="D15" s="2715" t="s">
        <v>1258</v>
      </c>
      <c r="E15" s="2715"/>
      <c r="F15" s="2715"/>
    </row>
    <row r="16" spans="1:7" ht="13.5" customHeight="1" x14ac:dyDescent="0.2">
      <c r="A16" s="1058"/>
      <c r="B16" s="1052" t="s">
        <v>1257</v>
      </c>
      <c r="C16" s="1476" t="s">
        <v>1256</v>
      </c>
      <c r="D16" s="2716" t="s">
        <v>1571</v>
      </c>
      <c r="E16" s="2716"/>
      <c r="F16" s="2716"/>
    </row>
    <row r="17" spans="1:6" ht="20.65" customHeight="1" x14ac:dyDescent="0.2">
      <c r="A17" s="1059"/>
      <c r="B17" s="1060" t="s">
        <v>2069</v>
      </c>
      <c r="C17" s="1061"/>
      <c r="D17" s="2703"/>
      <c r="E17" s="2703"/>
      <c r="F17" s="2703"/>
    </row>
    <row r="18" spans="1:6" ht="20.65" customHeight="1" x14ac:dyDescent="0.2">
      <c r="A18" s="1059"/>
      <c r="B18" s="1060"/>
      <c r="C18" s="1061"/>
      <c r="D18" s="2703"/>
      <c r="E18" s="2703"/>
      <c r="F18" s="2703"/>
    </row>
    <row r="19" spans="1:6" ht="20.65" customHeight="1" x14ac:dyDescent="0.2">
      <c r="A19" s="1059"/>
      <c r="B19" s="1060"/>
      <c r="C19" s="1061"/>
      <c r="D19" s="2703"/>
      <c r="E19" s="2703"/>
      <c r="F19" s="2703"/>
    </row>
    <row r="20" spans="1:6" ht="20.65" customHeight="1" x14ac:dyDescent="0.2">
      <c r="A20" s="1059"/>
      <c r="B20" s="1060"/>
      <c r="C20" s="1061"/>
      <c r="D20" s="2703"/>
      <c r="E20" s="2703"/>
      <c r="F20" s="2703"/>
    </row>
    <row r="21" spans="1:6" ht="20.65" customHeight="1" x14ac:dyDescent="0.2">
      <c r="A21" s="1059"/>
      <c r="B21" s="1060"/>
      <c r="C21" s="1061"/>
      <c r="D21" s="2703"/>
      <c r="E21" s="2703"/>
      <c r="F21" s="2703"/>
    </row>
    <row r="22" spans="1:6" ht="20.65" customHeight="1" x14ac:dyDescent="0.2">
      <c r="A22" s="1059"/>
      <c r="B22" s="1060"/>
      <c r="C22" s="1061"/>
      <c r="D22" s="2703"/>
      <c r="E22" s="2703"/>
      <c r="F22" s="2703"/>
    </row>
    <row r="23" spans="1:6" ht="20.65" customHeight="1" x14ac:dyDescent="0.2">
      <c r="A23" s="1059"/>
      <c r="B23" s="1060"/>
      <c r="C23" s="1061"/>
      <c r="D23" s="2703"/>
      <c r="E23" s="2703"/>
      <c r="F23" s="2703"/>
    </row>
    <row r="24" spans="1:6" ht="20.65" customHeight="1" x14ac:dyDescent="0.2">
      <c r="A24" s="1059"/>
      <c r="B24" s="1060"/>
      <c r="C24" s="1061"/>
      <c r="D24" s="2703"/>
      <c r="E24" s="2703"/>
      <c r="F24" s="2703"/>
    </row>
    <row r="25" spans="1:6" ht="20.65" customHeight="1" x14ac:dyDescent="0.2">
      <c r="A25" s="1059"/>
      <c r="B25" s="1060"/>
      <c r="C25" s="1061"/>
      <c r="D25" s="2703"/>
      <c r="E25" s="2703"/>
      <c r="F25" s="2703"/>
    </row>
    <row r="26" spans="1:6" ht="20.65" customHeight="1" x14ac:dyDescent="0.2">
      <c r="A26" s="1059"/>
      <c r="B26" s="1060"/>
      <c r="C26" s="1061"/>
      <c r="D26" s="2703"/>
      <c r="E26" s="2703"/>
      <c r="F26" s="2703"/>
    </row>
    <row r="27" spans="1:6" ht="20.65" customHeight="1" x14ac:dyDescent="0.2">
      <c r="A27" s="1059"/>
      <c r="B27" s="1060"/>
      <c r="C27" s="1061"/>
      <c r="D27" s="2703"/>
      <c r="E27" s="2703"/>
      <c r="F27" s="2703"/>
    </row>
    <row r="28" spans="1:6" ht="20.65" customHeight="1" x14ac:dyDescent="0.2">
      <c r="A28" s="1059"/>
      <c r="B28" s="1060"/>
      <c r="C28" s="1061"/>
      <c r="D28" s="2703"/>
      <c r="E28" s="2703"/>
      <c r="F28" s="2703"/>
    </row>
    <row r="29" spans="1:6" ht="20.65" customHeight="1" x14ac:dyDescent="0.2">
      <c r="A29" s="1059"/>
      <c r="B29" s="1060"/>
      <c r="C29" s="1061"/>
      <c r="D29" s="2703"/>
      <c r="E29" s="2703"/>
      <c r="F29" s="270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718" t="s">
        <v>2068</v>
      </c>
      <c r="B32" s="2718"/>
      <c r="C32" s="2718"/>
      <c r="D32" s="2718"/>
      <c r="E32" s="2718"/>
      <c r="F32" s="2718"/>
    </row>
    <row r="33" spans="1:6" ht="13.5" customHeight="1" x14ac:dyDescent="0.2">
      <c r="A33" s="306" t="s">
        <v>1417</v>
      </c>
      <c r="B33" s="306"/>
      <c r="C33" s="1064">
        <v>60626</v>
      </c>
      <c r="D33" s="1526"/>
      <c r="E33" s="1062"/>
    </row>
    <row r="34" spans="1:6" ht="13.5" customHeight="1" x14ac:dyDescent="0.2">
      <c r="A34" s="306" t="s">
        <v>1809</v>
      </c>
      <c r="B34" s="306"/>
      <c r="C34" s="1065">
        <v>0</v>
      </c>
      <c r="D34" s="1526" t="s">
        <v>1572</v>
      </c>
      <c r="E34" s="2719">
        <f>+C33+C34</f>
        <v>60626</v>
      </c>
      <c r="F34" s="272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380</v>
      </c>
      <c r="D38" s="1526"/>
      <c r="E38" s="1062"/>
    </row>
    <row r="39" spans="1:6" ht="14.25" customHeight="1" x14ac:dyDescent="0.2">
      <c r="A39" s="306"/>
      <c r="B39" s="306" t="s">
        <v>1419</v>
      </c>
      <c r="C39" s="1068" t="s">
        <v>380</v>
      </c>
      <c r="D39" s="1526"/>
      <c r="E39" s="1062"/>
    </row>
    <row r="40" spans="1:6" ht="14.25" customHeight="1" x14ac:dyDescent="0.2">
      <c r="A40" s="306"/>
      <c r="B40" s="306" t="s">
        <v>1420</v>
      </c>
      <c r="C40" s="1068" t="s">
        <v>380</v>
      </c>
      <c r="D40" s="1526"/>
      <c r="E40" s="1062"/>
    </row>
    <row r="41" spans="1:6" ht="14.25" customHeight="1" x14ac:dyDescent="0.2">
      <c r="A41" s="306"/>
      <c r="B41" s="306" t="s">
        <v>1421</v>
      </c>
      <c r="C41" s="1068" t="s">
        <v>380</v>
      </c>
      <c r="D41" s="1526"/>
      <c r="E41" s="1062"/>
    </row>
    <row r="42" spans="1:6" ht="14.25" customHeight="1" x14ac:dyDescent="0.2">
      <c r="A42" s="306" t="s">
        <v>1422</v>
      </c>
      <c r="B42" s="306"/>
      <c r="C42" s="1524" t="s">
        <v>380</v>
      </c>
      <c r="D42" s="1526"/>
      <c r="E42" s="1062"/>
    </row>
    <row r="43" spans="1:6" ht="14.25" customHeight="1" x14ac:dyDescent="0.2">
      <c r="A43" s="306" t="s">
        <v>1423</v>
      </c>
      <c r="B43" s="306"/>
      <c r="C43" s="1069" t="s">
        <v>380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721" t="s">
        <v>1573</v>
      </c>
      <c r="C49" s="2721"/>
      <c r="D49" s="2721"/>
      <c r="E49" s="1168"/>
    </row>
    <row r="50" spans="1:5" s="1076" customFormat="1" ht="3.75" customHeight="1" x14ac:dyDescent="0.2">
      <c r="A50" s="1075"/>
      <c r="B50" s="1475"/>
      <c r="C50" s="1475"/>
      <c r="D50" s="1475"/>
      <c r="E50" s="1168"/>
    </row>
    <row r="51" spans="1:5" s="1076" customFormat="1" ht="20.25" customHeight="1" x14ac:dyDescent="0.2">
      <c r="A51" s="1077">
        <v>6</v>
      </c>
      <c r="B51" s="2717" t="s">
        <v>1534</v>
      </c>
      <c r="C51" s="2717"/>
      <c r="D51" s="2717"/>
    </row>
    <row r="52" spans="1:5" ht="14.25" customHeight="1" x14ac:dyDescent="0.2">
      <c r="A52" s="1077"/>
      <c r="B52" s="2717"/>
      <c r="C52" s="2717"/>
      <c r="D52" s="271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9380-9C1C-4B00-8EAB-556B2EEEA9EC}">
  <sheetPr>
    <pageSetUpPr fitToPage="1"/>
  </sheetPr>
  <dimension ref="A1:J63"/>
  <sheetViews>
    <sheetView showGridLines="0" topLeftCell="A25" zoomScale="110" zoomScaleNormal="110" workbookViewId="0"/>
  </sheetViews>
  <sheetFormatPr defaultColWidth="9.140625" defaultRowHeight="12.75" x14ac:dyDescent="0.2"/>
  <cols>
    <col min="1" max="1" width="1.42578125" style="998" customWidth="1"/>
    <col min="2" max="2" width="24.42578125" style="2126" customWidth="1"/>
    <col min="3" max="3" width="30.85546875" style="294" customWidth="1"/>
    <col min="4" max="4" width="10.5703125" style="294" customWidth="1"/>
    <col min="5" max="5" width="5.28515625" style="2056"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733" t="s">
        <v>2059</v>
      </c>
      <c r="C1" s="2734"/>
      <c r="D1" s="2734"/>
      <c r="E1" s="2734"/>
      <c r="F1" s="2734"/>
      <c r="G1" s="2734"/>
      <c r="H1" s="2734"/>
      <c r="I1" s="2734"/>
      <c r="J1" s="2117"/>
    </row>
    <row r="2" spans="2:10" s="294" customFormat="1" ht="12.75" customHeight="1" x14ac:dyDescent="0.2">
      <c r="B2" s="2735" t="s">
        <v>2058</v>
      </c>
      <c r="C2" s="2734"/>
      <c r="D2" s="2734"/>
      <c r="E2" s="2734"/>
      <c r="F2" s="2734"/>
      <c r="G2" s="2734"/>
      <c r="H2" s="2734"/>
      <c r="I2" s="2734"/>
      <c r="J2" s="2117"/>
    </row>
    <row r="3" spans="2:10" s="294" customFormat="1" ht="12.75" customHeight="1" x14ac:dyDescent="0.2">
      <c r="B3" s="2736" t="s">
        <v>1274</v>
      </c>
      <c r="C3" s="2737"/>
      <c r="D3" s="2737"/>
      <c r="E3" s="2737"/>
      <c r="F3" s="2737"/>
      <c r="G3" s="2737"/>
      <c r="H3" s="2737"/>
      <c r="I3" s="2737"/>
      <c r="J3" s="2118"/>
    </row>
    <row r="4" spans="2:10" s="294" customFormat="1" ht="12.75" customHeight="1" x14ac:dyDescent="0.2">
      <c r="B4" s="2736" t="s">
        <v>2074</v>
      </c>
      <c r="C4" s="2737"/>
      <c r="D4" s="2737"/>
      <c r="E4" s="2737"/>
      <c r="F4" s="2737"/>
      <c r="G4" s="2737"/>
      <c r="H4" s="2737"/>
      <c r="I4" s="2737"/>
    </row>
    <row r="5" spans="2:10" s="294" customFormat="1" ht="6.4" customHeight="1" x14ac:dyDescent="0.2">
      <c r="B5" s="2119" t="s">
        <v>1159</v>
      </c>
      <c r="C5" s="2039"/>
      <c r="D5" s="2039"/>
      <c r="E5" s="2056"/>
    </row>
    <row r="6" spans="2:10" s="294" customFormat="1" ht="6.4" customHeight="1" x14ac:dyDescent="0.2">
      <c r="B6" s="2120"/>
      <c r="C6" s="2121"/>
      <c r="D6" s="2121"/>
      <c r="E6" s="2122"/>
      <c r="F6" s="2121"/>
      <c r="G6" s="2121"/>
      <c r="H6" s="2121"/>
      <c r="I6" s="2121"/>
    </row>
    <row r="7" spans="2:10" s="294" customFormat="1" ht="13.5" customHeight="1" x14ac:dyDescent="0.2">
      <c r="B7" s="2736" t="s">
        <v>1273</v>
      </c>
      <c r="C7" s="2737"/>
      <c r="D7" s="2737"/>
      <c r="E7" s="2737"/>
      <c r="F7" s="2737"/>
      <c r="G7" s="2737"/>
      <c r="H7" s="2737"/>
      <c r="I7" s="2737"/>
    </row>
    <row r="8" spans="2:10" s="294" customFormat="1" ht="6.4" customHeight="1" x14ac:dyDescent="0.2">
      <c r="B8" s="2123" t="s">
        <v>1159</v>
      </c>
      <c r="C8" s="2124"/>
      <c r="D8" s="2124"/>
      <c r="E8" s="2125"/>
      <c r="F8" s="2124"/>
      <c r="G8" s="2124"/>
      <c r="H8" s="2124"/>
      <c r="I8" s="2124"/>
    </row>
    <row r="9" spans="2:10" s="294" customFormat="1" ht="9.1999999999999993" customHeight="1" x14ac:dyDescent="0.2">
      <c r="B9" s="2126"/>
      <c r="E9" s="2056"/>
    </row>
    <row r="10" spans="2:10" s="294" customFormat="1" ht="12.75" customHeight="1" x14ac:dyDescent="0.2">
      <c r="B10" s="2127" t="s">
        <v>1272</v>
      </c>
      <c r="C10" s="2128"/>
      <c r="D10" s="2128"/>
      <c r="E10" s="2056"/>
    </row>
    <row r="11" spans="2:10" s="294" customFormat="1" ht="13.5" customHeight="1" x14ac:dyDescent="0.2">
      <c r="B11" s="2129" t="s">
        <v>1271</v>
      </c>
      <c r="C11" s="2738" t="s">
        <v>2165</v>
      </c>
      <c r="D11" s="2738"/>
    </row>
    <row r="12" spans="2:10" s="294" customFormat="1" ht="11.45" customHeight="1" x14ac:dyDescent="0.2">
      <c r="B12" s="2126"/>
      <c r="C12" s="2130" t="s">
        <v>1425</v>
      </c>
      <c r="D12" s="2131"/>
      <c r="E12" s="2056"/>
    </row>
    <row r="13" spans="2:10" s="294" customFormat="1" ht="12.75" customHeight="1" x14ac:dyDescent="0.2">
      <c r="B13" s="2132"/>
      <c r="C13" s="995"/>
      <c r="D13" s="995"/>
      <c r="E13" s="2056"/>
    </row>
    <row r="14" spans="2:10" s="294" customFormat="1" ht="12.75" customHeight="1" x14ac:dyDescent="0.2">
      <c r="B14" s="2129" t="s">
        <v>1270</v>
      </c>
      <c r="C14" s="991"/>
      <c r="E14" s="2056"/>
    </row>
    <row r="15" spans="2:10" s="294" customFormat="1" ht="13.5" customHeight="1" x14ac:dyDescent="0.2">
      <c r="B15" s="2133" t="s">
        <v>1267</v>
      </c>
      <c r="C15" s="2134"/>
      <c r="D15" s="865"/>
      <c r="E15" s="1194"/>
      <c r="F15" s="998" t="s">
        <v>879</v>
      </c>
      <c r="G15" s="1194" t="s">
        <v>2049</v>
      </c>
      <c r="H15" s="998" t="s">
        <v>1265</v>
      </c>
      <c r="I15" s="998"/>
    </row>
    <row r="16" spans="2:10" s="294" customFormat="1" ht="8.4499999999999993" customHeight="1" x14ac:dyDescent="0.2">
      <c r="B16" s="2129"/>
      <c r="C16" s="991"/>
      <c r="E16" s="2056"/>
      <c r="F16" s="998"/>
      <c r="H16" s="998"/>
      <c r="I16" s="998"/>
    </row>
    <row r="17" spans="2:9" s="294" customFormat="1" ht="13.5" customHeight="1" x14ac:dyDescent="0.2">
      <c r="B17" s="2133" t="s">
        <v>1266</v>
      </c>
      <c r="C17" s="2134"/>
      <c r="D17" s="865"/>
      <c r="E17" s="2135"/>
      <c r="F17" s="998"/>
      <c r="G17" s="2135"/>
      <c r="H17" s="998"/>
      <c r="I17" s="998"/>
    </row>
    <row r="18" spans="2:9" s="294" customFormat="1" ht="12.75" customHeight="1" x14ac:dyDescent="0.2">
      <c r="B18" s="2133" t="s">
        <v>1426</v>
      </c>
      <c r="C18" s="2134"/>
      <c r="D18" s="865"/>
      <c r="E18" s="1194"/>
      <c r="F18" s="998" t="s">
        <v>879</v>
      </c>
      <c r="G18" s="1194" t="s">
        <v>2049</v>
      </c>
      <c r="H18" s="998" t="s">
        <v>1265</v>
      </c>
      <c r="I18" s="998"/>
    </row>
    <row r="19" spans="2:9" s="294" customFormat="1" ht="8.4499999999999993" customHeight="1" x14ac:dyDescent="0.2">
      <c r="B19" s="2129"/>
      <c r="C19" s="991"/>
      <c r="E19" s="2056"/>
      <c r="F19" s="998"/>
      <c r="H19" s="998"/>
      <c r="I19" s="998"/>
    </row>
    <row r="20" spans="2:9" s="294" customFormat="1" ht="13.5" customHeight="1" x14ac:dyDescent="0.2">
      <c r="B20" s="2133" t="s">
        <v>1574</v>
      </c>
      <c r="C20" s="2134"/>
      <c r="D20" s="865"/>
      <c r="E20" s="1194"/>
      <c r="F20" s="998" t="s">
        <v>879</v>
      </c>
      <c r="G20" s="1194" t="s">
        <v>2049</v>
      </c>
      <c r="H20" s="998" t="s">
        <v>99</v>
      </c>
      <c r="I20" s="998"/>
    </row>
    <row r="21" spans="2:9" s="294" customFormat="1" ht="12.75" customHeight="1" x14ac:dyDescent="0.2">
      <c r="B21" s="2129"/>
      <c r="C21" s="991"/>
      <c r="E21" s="2056"/>
      <c r="F21" s="998"/>
      <c r="H21" s="998"/>
      <c r="I21" s="998"/>
    </row>
    <row r="22" spans="2:9" s="294" customFormat="1" ht="12.75" customHeight="1" x14ac:dyDescent="0.2">
      <c r="B22" s="2127" t="s">
        <v>1269</v>
      </c>
      <c r="C22" s="2136"/>
      <c r="D22" s="2128"/>
      <c r="E22" s="2056"/>
      <c r="F22" s="998"/>
      <c r="H22" s="998"/>
      <c r="I22" s="998"/>
    </row>
    <row r="23" spans="2:9" s="294" customFormat="1" ht="12.75" customHeight="1" x14ac:dyDescent="0.2">
      <c r="B23" s="2129" t="s">
        <v>1268</v>
      </c>
      <c r="C23" s="991"/>
      <c r="E23" s="2056"/>
      <c r="F23" s="998"/>
      <c r="H23" s="998"/>
      <c r="I23" s="998"/>
    </row>
    <row r="24" spans="2:9" s="294" customFormat="1" ht="13.5" customHeight="1" x14ac:dyDescent="0.2">
      <c r="B24" s="2133" t="s">
        <v>1267</v>
      </c>
      <c r="C24" s="2134"/>
      <c r="D24" s="865"/>
      <c r="E24" s="1194"/>
      <c r="F24" s="998" t="s">
        <v>879</v>
      </c>
      <c r="G24" s="1194" t="s">
        <v>2049</v>
      </c>
      <c r="H24" s="998" t="s">
        <v>1265</v>
      </c>
      <c r="I24" s="998"/>
    </row>
    <row r="25" spans="2:9" s="294" customFormat="1" ht="8.4499999999999993" customHeight="1" x14ac:dyDescent="0.2">
      <c r="B25" s="2129"/>
      <c r="C25" s="991"/>
      <c r="E25" s="2056"/>
      <c r="F25" s="998"/>
      <c r="H25" s="998"/>
      <c r="I25" s="998"/>
    </row>
    <row r="26" spans="2:9" s="294" customFormat="1" ht="13.5" customHeight="1" x14ac:dyDescent="0.2">
      <c r="B26" s="2133" t="s">
        <v>1266</v>
      </c>
      <c r="C26" s="2134"/>
      <c r="D26" s="865"/>
      <c r="E26" s="2135"/>
      <c r="F26" s="998"/>
      <c r="G26" s="2135"/>
      <c r="H26" s="998"/>
      <c r="I26" s="998"/>
    </row>
    <row r="27" spans="2:9" s="294" customFormat="1" ht="12.75" customHeight="1" x14ac:dyDescent="0.2">
      <c r="B27" s="2133" t="s">
        <v>1426</v>
      </c>
      <c r="C27" s="2134"/>
      <c r="D27" s="865"/>
      <c r="E27" s="1194"/>
      <c r="F27" s="998" t="s">
        <v>879</v>
      </c>
      <c r="G27" s="1194" t="s">
        <v>2049</v>
      </c>
      <c r="H27" s="998" t="s">
        <v>1265</v>
      </c>
      <c r="I27" s="998"/>
    </row>
    <row r="28" spans="2:9" s="294" customFormat="1" ht="12.75" customHeight="1" x14ac:dyDescent="0.2">
      <c r="B28" s="2129"/>
      <c r="C28" s="991"/>
      <c r="E28" s="2056"/>
    </row>
    <row r="29" spans="2:9" s="294" customFormat="1" ht="12.75" customHeight="1" x14ac:dyDescent="0.2">
      <c r="B29" s="2129" t="s">
        <v>1264</v>
      </c>
      <c r="C29" s="991"/>
      <c r="D29" s="2739" t="s">
        <v>2070</v>
      </c>
      <c r="E29" s="2739"/>
      <c r="F29" s="2739"/>
      <c r="G29" s="2739"/>
      <c r="H29" s="2739"/>
      <c r="I29" s="2739"/>
    </row>
    <row r="30" spans="2:9" s="294" customFormat="1" x14ac:dyDescent="0.2">
      <c r="B30" s="2129"/>
      <c r="D30" s="2130" t="s">
        <v>1723</v>
      </c>
      <c r="E30" s="2131"/>
      <c r="F30" s="2131"/>
      <c r="G30" s="2131"/>
      <c r="H30" s="2131"/>
      <c r="I30" s="2131"/>
    </row>
    <row r="31" spans="2:9" s="294" customFormat="1" ht="10.15" customHeight="1" x14ac:dyDescent="0.2">
      <c r="B31" s="2129"/>
      <c r="E31" s="2056"/>
    </row>
    <row r="32" spans="2:9" s="294" customFormat="1" x14ac:dyDescent="0.2">
      <c r="B32" s="2129" t="s">
        <v>1263</v>
      </c>
      <c r="C32" s="991"/>
      <c r="E32" s="2056"/>
    </row>
    <row r="33" spans="2:9" ht="13.5" customHeight="1" x14ac:dyDescent="0.2">
      <c r="B33" s="2129" t="s">
        <v>1535</v>
      </c>
      <c r="C33" s="991"/>
      <c r="E33" s="1194"/>
      <c r="F33" s="998" t="s">
        <v>879</v>
      </c>
      <c r="G33" s="1194" t="s">
        <v>2049</v>
      </c>
      <c r="H33" s="998" t="s">
        <v>99</v>
      </c>
    </row>
    <row r="35" spans="2:9" x14ac:dyDescent="0.2">
      <c r="B35" s="2137" t="s">
        <v>1724</v>
      </c>
      <c r="C35" s="2138"/>
      <c r="D35" s="2139"/>
    </row>
    <row r="36" spans="2:9" ht="6" customHeight="1" x14ac:dyDescent="0.2">
      <c r="B36" s="2137"/>
      <c r="C36" s="2138"/>
      <c r="D36" s="2139"/>
    </row>
    <row r="37" spans="2:9" ht="17.25" customHeight="1" x14ac:dyDescent="0.2">
      <c r="B37" s="2140" t="s">
        <v>1725</v>
      </c>
      <c r="C37" s="2740" t="s">
        <v>1726</v>
      </c>
      <c r="D37" s="2741"/>
      <c r="E37" s="2741"/>
      <c r="F37" s="2742"/>
      <c r="G37" s="2740" t="s">
        <v>1575</v>
      </c>
      <c r="H37" s="2741"/>
      <c r="I37" s="2742"/>
    </row>
    <row r="38" spans="2:9" ht="16.5" customHeight="1" x14ac:dyDescent="0.2">
      <c r="B38" s="1200" t="s">
        <v>2163</v>
      </c>
      <c r="C38" s="2729" t="s">
        <v>2164</v>
      </c>
      <c r="D38" s="2730"/>
      <c r="E38" s="2730"/>
      <c r="F38" s="2731"/>
      <c r="G38" s="2743">
        <v>575275</v>
      </c>
      <c r="H38" s="2744"/>
      <c r="I38" s="2745"/>
    </row>
    <row r="39" spans="2:9" ht="16.5" customHeight="1" x14ac:dyDescent="0.2">
      <c r="B39" s="1200"/>
      <c r="C39" s="2729"/>
      <c r="D39" s="2730"/>
      <c r="E39" s="2730"/>
      <c r="F39" s="2731"/>
      <c r="G39" s="2732"/>
      <c r="H39" s="2732"/>
      <c r="I39" s="2732"/>
    </row>
    <row r="40" spans="2:9" ht="16.5" hidden="1" customHeight="1" x14ac:dyDescent="0.2">
      <c r="B40" s="1200"/>
      <c r="C40" s="2729"/>
      <c r="D40" s="2730"/>
      <c r="E40" s="2730"/>
      <c r="F40" s="2731"/>
      <c r="G40" s="2732"/>
      <c r="H40" s="2732"/>
      <c r="I40" s="2732"/>
    </row>
    <row r="41" spans="2:9" ht="16.5" hidden="1" customHeight="1" x14ac:dyDescent="0.2">
      <c r="B41" s="1200"/>
      <c r="C41" s="2729"/>
      <c r="D41" s="2730"/>
      <c r="E41" s="2730"/>
      <c r="F41" s="2731"/>
      <c r="G41" s="2732"/>
      <c r="H41" s="2732"/>
      <c r="I41" s="2732"/>
    </row>
    <row r="42" spans="2:9" ht="16.5" hidden="1" customHeight="1" x14ac:dyDescent="0.2">
      <c r="B42" s="1200"/>
      <c r="C42" s="2729"/>
      <c r="D42" s="2730"/>
      <c r="E42" s="2730"/>
      <c r="F42" s="2731"/>
      <c r="G42" s="2732"/>
      <c r="H42" s="2732"/>
      <c r="I42" s="2732"/>
    </row>
    <row r="43" spans="2:9" ht="16.5" customHeight="1" x14ac:dyDescent="0.2">
      <c r="B43" s="1200"/>
      <c r="C43" s="2722" t="s">
        <v>1576</v>
      </c>
      <c r="D43" s="2723"/>
      <c r="E43" s="2723"/>
      <c r="F43" s="2724"/>
      <c r="G43" s="2725">
        <f>SUM(G38:I42)</f>
        <v>575275</v>
      </c>
      <c r="H43" s="2725"/>
      <c r="I43" s="2725"/>
    </row>
    <row r="44" spans="2:9" ht="12.75" customHeight="1" x14ac:dyDescent="0.2"/>
    <row r="45" spans="2:9" ht="12.75" customHeight="1" x14ac:dyDescent="0.2">
      <c r="B45" s="2132" t="s">
        <v>2166</v>
      </c>
      <c r="D45" s="2726">
        <v>1400884</v>
      </c>
      <c r="E45" s="2727"/>
    </row>
    <row r="46" spans="2:9" ht="5.45" customHeight="1" x14ac:dyDescent="0.2">
      <c r="B46" s="2141"/>
      <c r="D46" s="2142"/>
      <c r="E46" s="2143"/>
    </row>
    <row r="47" spans="2:9" ht="12.75" customHeight="1" x14ac:dyDescent="0.2">
      <c r="B47" s="998" t="s">
        <v>1577</v>
      </c>
      <c r="C47" s="998"/>
      <c r="D47" s="2144">
        <f>+G43/D45</f>
        <v>0.41065141724796628</v>
      </c>
      <c r="E47" s="2145"/>
      <c r="F47" s="2146"/>
      <c r="I47" s="2147"/>
    </row>
    <row r="48" spans="2:9" ht="10.15" customHeight="1" x14ac:dyDescent="0.2"/>
    <row r="49" spans="1:9" x14ac:dyDescent="0.2">
      <c r="B49" s="2129" t="s">
        <v>1262</v>
      </c>
      <c r="C49" s="991"/>
      <c r="D49" s="991"/>
      <c r="E49" s="2728">
        <v>750000</v>
      </c>
      <c r="F49" s="2728"/>
      <c r="G49" s="2728"/>
    </row>
    <row r="51" spans="1:9" ht="13.5" customHeight="1" x14ac:dyDescent="0.2">
      <c r="B51" s="2129" t="s">
        <v>1261</v>
      </c>
      <c r="C51" s="991"/>
      <c r="E51" s="1194"/>
      <c r="F51" s="998" t="s">
        <v>879</v>
      </c>
      <c r="G51" s="1194" t="s">
        <v>2049</v>
      </c>
      <c r="H51" s="998" t="s">
        <v>99</v>
      </c>
    </row>
    <row r="52" spans="1:9" x14ac:dyDescent="0.2">
      <c r="B52" s="2148"/>
      <c r="C52" s="2052"/>
      <c r="D52" s="2149"/>
      <c r="E52" s="2150"/>
      <c r="F52" s="2151"/>
      <c r="G52" s="2151"/>
      <c r="H52" s="2151"/>
      <c r="I52" s="2151"/>
    </row>
    <row r="53" spans="1:9" ht="6" customHeight="1" x14ac:dyDescent="0.2">
      <c r="D53" s="2152"/>
      <c r="E53" s="2153"/>
      <c r="F53" s="2139"/>
      <c r="G53" s="2139"/>
      <c r="H53" s="2139"/>
      <c r="I53" s="2139"/>
    </row>
    <row r="54" spans="1:9" s="858" customFormat="1" ht="14.25" x14ac:dyDescent="0.2">
      <c r="A54" s="2154"/>
      <c r="B54" s="2155" t="s">
        <v>1727</v>
      </c>
      <c r="C54" s="2156"/>
      <c r="D54" s="2156"/>
    </row>
    <row r="55" spans="1:9" s="858" customFormat="1" ht="12.75" customHeight="1" x14ac:dyDescent="0.2">
      <c r="A55" s="2154"/>
      <c r="B55" s="2157" t="s">
        <v>1578</v>
      </c>
      <c r="C55" s="2154"/>
      <c r="D55" s="2154"/>
    </row>
    <row r="56" spans="1:9" s="858" customFormat="1" ht="12.75" customHeight="1" x14ac:dyDescent="0.2">
      <c r="A56" s="2154"/>
      <c r="B56" s="2157" t="s">
        <v>1579</v>
      </c>
      <c r="C56" s="2154"/>
      <c r="D56" s="2154"/>
    </row>
    <row r="57" spans="1:9" s="858" customFormat="1" ht="3.95" customHeight="1" x14ac:dyDescent="0.2">
      <c r="A57" s="2154"/>
      <c r="B57" s="2157"/>
      <c r="C57" s="2154"/>
      <c r="D57" s="2154"/>
    </row>
    <row r="58" spans="1:9" s="858" customFormat="1" ht="13.5" customHeight="1" x14ac:dyDescent="0.2">
      <c r="A58" s="2154"/>
      <c r="B58" s="2155" t="s">
        <v>1728</v>
      </c>
      <c r="C58" s="2156"/>
      <c r="D58" s="2156"/>
    </row>
    <row r="59" spans="1:9" s="858" customFormat="1" ht="3.95" customHeight="1" x14ac:dyDescent="0.2">
      <c r="A59" s="2154"/>
      <c r="B59" s="2155"/>
      <c r="C59" s="2156"/>
      <c r="D59" s="2156"/>
    </row>
    <row r="60" spans="1:9" s="858" customFormat="1" ht="13.5" customHeight="1" x14ac:dyDescent="0.2">
      <c r="A60" s="2154"/>
      <c r="B60" s="2155" t="s">
        <v>1729</v>
      </c>
      <c r="C60" s="2156"/>
      <c r="D60" s="2156"/>
    </row>
    <row r="61" spans="1:9" s="858" customFormat="1" ht="3.95" customHeight="1" x14ac:dyDescent="0.2">
      <c r="A61" s="2154"/>
      <c r="B61" s="2155"/>
      <c r="C61" s="2156"/>
      <c r="D61" s="2156"/>
    </row>
    <row r="62" spans="1:9" s="858" customFormat="1" ht="12.75" customHeight="1" x14ac:dyDescent="0.2">
      <c r="A62" s="2154"/>
      <c r="B62" s="2155" t="s">
        <v>1730</v>
      </c>
      <c r="C62" s="2156"/>
      <c r="D62" s="2156"/>
    </row>
    <row r="63" spans="1:9" s="858" customFormat="1" ht="13.5" customHeight="1" x14ac:dyDescent="0.2">
      <c r="A63" s="2154"/>
      <c r="B63" s="2157" t="s">
        <v>1580</v>
      </c>
      <c r="C63" s="2154"/>
      <c r="D63" s="2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7" firstPageNumber="40" fitToHeight="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zoomScaleSheetLayoutView="90" workbookViewId="0">
      <selection activeCell="C11" sqref="C11:D11"/>
    </sheetView>
  </sheetViews>
  <sheetFormatPr defaultColWidth="9.28515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746" t="str">
        <f>'Single Audit Cover'!A7</f>
        <v>East Peoria SD 86</v>
      </c>
      <c r="C1" s="2747"/>
      <c r="D1" s="2747"/>
      <c r="E1" s="2747"/>
      <c r="F1" s="2747"/>
      <c r="G1" s="2747"/>
      <c r="H1" s="2747"/>
      <c r="I1" s="2747"/>
      <c r="J1" s="1178"/>
    </row>
    <row r="2" spans="2:10" s="295" customFormat="1" ht="12.75" customHeight="1" x14ac:dyDescent="0.2">
      <c r="B2" s="2748">
        <f>'Single Audit Cover'!E7</f>
        <v>53090086002</v>
      </c>
      <c r="C2" s="2734"/>
      <c r="D2" s="2734"/>
      <c r="E2" s="2734"/>
      <c r="F2" s="2734"/>
      <c r="G2" s="2734"/>
      <c r="H2" s="2734"/>
      <c r="I2" s="2734"/>
      <c r="J2" s="1178"/>
    </row>
    <row r="3" spans="2:10" s="295" customFormat="1" ht="12.75" customHeight="1" x14ac:dyDescent="0.2">
      <c r="B3" s="2749" t="s">
        <v>1274</v>
      </c>
      <c r="C3" s="2737"/>
      <c r="D3" s="2737"/>
      <c r="E3" s="2737"/>
      <c r="F3" s="2737"/>
      <c r="G3" s="2737"/>
      <c r="H3" s="2737"/>
      <c r="I3" s="2737"/>
      <c r="J3" s="1179"/>
    </row>
    <row r="4" spans="2:10" s="295" customFormat="1" ht="12.75" customHeight="1" x14ac:dyDescent="0.2">
      <c r="B4" s="2749" t="str">
        <f>'Single Audit Cover'!A4</f>
        <v>Year Ending June 30, 2020</v>
      </c>
      <c r="C4" s="2737"/>
      <c r="D4" s="2737"/>
      <c r="E4" s="2737"/>
      <c r="F4" s="2737"/>
      <c r="G4" s="2737"/>
      <c r="H4" s="2737"/>
      <c r="I4" s="2737"/>
    </row>
    <row r="5" spans="2:10" s="295" customFormat="1" ht="6.4" customHeight="1" x14ac:dyDescent="0.2">
      <c r="B5" s="1180" t="s">
        <v>1159</v>
      </c>
      <c r="C5" s="1070"/>
      <c r="D5" s="1070"/>
      <c r="E5" s="1153"/>
      <c r="F5" s="300"/>
      <c r="G5" s="300"/>
      <c r="H5" s="300"/>
      <c r="I5" s="300"/>
    </row>
    <row r="6" spans="2:10" s="295" customFormat="1" ht="6.4" customHeight="1" x14ac:dyDescent="0.2">
      <c r="B6" s="1181"/>
      <c r="C6" s="1149"/>
      <c r="D6" s="1149"/>
      <c r="E6" s="1150"/>
      <c r="F6" s="1149"/>
      <c r="G6" s="1149"/>
      <c r="H6" s="1149"/>
      <c r="I6" s="1149"/>
    </row>
    <row r="7" spans="2:10" s="295" customFormat="1" ht="13.5" customHeight="1" x14ac:dyDescent="0.2">
      <c r="B7" s="2749" t="s">
        <v>1273</v>
      </c>
      <c r="C7" s="2737"/>
      <c r="D7" s="2737"/>
      <c r="E7" s="2737"/>
      <c r="F7" s="2737"/>
      <c r="G7" s="2737"/>
      <c r="H7" s="2737"/>
      <c r="I7" s="2737"/>
    </row>
    <row r="8" spans="2:10" s="295" customFormat="1" ht="6.4"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738" t="s">
        <v>2165</v>
      </c>
      <c r="D11" s="2738"/>
      <c r="E11" s="1188"/>
      <c r="F11" s="1188"/>
      <c r="G11" s="1188"/>
    </row>
    <row r="12" spans="2:10" s="295" customFormat="1" ht="11.6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2049</v>
      </c>
      <c r="H15" s="1076" t="s">
        <v>1265</v>
      </c>
      <c r="I15" s="1076"/>
    </row>
    <row r="16" spans="2:10" s="295" customFormat="1" ht="8.65"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2049</v>
      </c>
      <c r="H18" s="1076" t="s">
        <v>1265</v>
      </c>
      <c r="I18" s="1076"/>
    </row>
    <row r="19" spans="2:9" s="295" customFormat="1" ht="8.65"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2049</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2049</v>
      </c>
      <c r="H24" s="1076" t="s">
        <v>1265</v>
      </c>
      <c r="I24" s="1076"/>
    </row>
    <row r="25" spans="2:9" s="295" customFormat="1" ht="8.65"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739" t="s">
        <v>2070</v>
      </c>
      <c r="E29" s="2739"/>
      <c r="F29" s="2739"/>
      <c r="G29" s="2739"/>
      <c r="H29" s="2739"/>
      <c r="I29" s="2739"/>
    </row>
    <row r="30" spans="2:9" s="295" customFormat="1" x14ac:dyDescent="0.2">
      <c r="B30" s="1138"/>
      <c r="C30" s="300"/>
      <c r="D30" s="1189" t="s">
        <v>1723</v>
      </c>
      <c r="E30" s="1190"/>
      <c r="F30" s="1190"/>
      <c r="G30" s="1190"/>
      <c r="H30" s="1190"/>
      <c r="I30" s="1190"/>
    </row>
    <row r="31" spans="2:9" s="295" customFormat="1" ht="10.15"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2049</v>
      </c>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750" t="s">
        <v>1726</v>
      </c>
      <c r="D37" s="2751"/>
      <c r="E37" s="2751"/>
      <c r="F37" s="2752"/>
      <c r="G37" s="2750" t="s">
        <v>1575</v>
      </c>
      <c r="H37" s="2751"/>
      <c r="I37" s="2752"/>
    </row>
    <row r="38" spans="2:9" ht="16.5" customHeight="1" x14ac:dyDescent="0.2">
      <c r="B38" s="1200" t="s">
        <v>2163</v>
      </c>
      <c r="C38" s="2729" t="s">
        <v>2164</v>
      </c>
      <c r="D38" s="2730"/>
      <c r="E38" s="2730"/>
      <c r="F38" s="2731"/>
      <c r="G38" s="2743">
        <f>SEFA20!I39</f>
        <v>575275</v>
      </c>
      <c r="H38" s="2744"/>
      <c r="I38" s="2745"/>
    </row>
    <row r="39" spans="2:9" ht="16.5" customHeight="1" x14ac:dyDescent="0.2">
      <c r="B39" s="1200"/>
      <c r="C39" s="2729"/>
      <c r="D39" s="2730"/>
      <c r="E39" s="2730"/>
      <c r="F39" s="2731"/>
      <c r="G39" s="2732"/>
      <c r="H39" s="2732"/>
      <c r="I39" s="2732"/>
    </row>
    <row r="40" spans="2:9" ht="16.5" customHeight="1" x14ac:dyDescent="0.2">
      <c r="B40" s="1200"/>
      <c r="C40" s="2729"/>
      <c r="D40" s="2730"/>
      <c r="E40" s="2730"/>
      <c r="F40" s="2731"/>
      <c r="G40" s="2732"/>
      <c r="H40" s="2732"/>
      <c r="I40" s="2732"/>
    </row>
    <row r="41" spans="2:9" ht="16.5" customHeight="1" x14ac:dyDescent="0.2">
      <c r="B41" s="1200"/>
      <c r="C41" s="2729"/>
      <c r="D41" s="2730"/>
      <c r="E41" s="2730"/>
      <c r="F41" s="2731"/>
      <c r="G41" s="2732"/>
      <c r="H41" s="2732"/>
      <c r="I41" s="2732"/>
    </row>
    <row r="42" spans="2:9" ht="16.5" customHeight="1" x14ac:dyDescent="0.2">
      <c r="B42" s="1200"/>
      <c r="C42" s="2729"/>
      <c r="D42" s="2730"/>
      <c r="E42" s="2730"/>
      <c r="F42" s="2731"/>
      <c r="G42" s="2732"/>
      <c r="H42" s="2732"/>
      <c r="I42" s="2732"/>
    </row>
    <row r="43" spans="2:9" ht="16.5" customHeight="1" x14ac:dyDescent="0.2">
      <c r="B43" s="1200"/>
      <c r="C43" s="2722" t="s">
        <v>1576</v>
      </c>
      <c r="D43" s="2723"/>
      <c r="E43" s="2723"/>
      <c r="F43" s="2724"/>
      <c r="G43" s="2725">
        <f>SUM(G38:I42)</f>
        <v>575275</v>
      </c>
      <c r="H43" s="2725"/>
      <c r="I43" s="2725"/>
    </row>
    <row r="44" spans="2:9" ht="12.75" customHeight="1" x14ac:dyDescent="0.2"/>
    <row r="45" spans="2:9" ht="12.75" customHeight="1" x14ac:dyDescent="0.2">
      <c r="B45" s="1917" t="str">
        <f>"Total Federal Expenditures for 7/1/"&amp;MID('AFR20'!E2,3,2)-1&amp;"-6/30/"&amp;MID('AFR20'!E2,3,2)</f>
        <v>Total Federal Expenditures for 7/1/19-6/30/20</v>
      </c>
      <c r="C45" s="1918"/>
      <c r="D45" s="2726">
        <f>SEFA20!I95</f>
        <v>1400884</v>
      </c>
      <c r="E45" s="2727"/>
    </row>
    <row r="46" spans="2:9" ht="5.25" customHeight="1" x14ac:dyDescent="0.2">
      <c r="B46" s="1201"/>
      <c r="D46" s="1202"/>
      <c r="E46" s="1203"/>
    </row>
    <row r="47" spans="2:9" ht="12.75" customHeight="1" x14ac:dyDescent="0.2">
      <c r="B47" s="1076" t="s">
        <v>1577</v>
      </c>
      <c r="C47" s="1076"/>
      <c r="D47" s="1204">
        <f>+G43/D45</f>
        <v>0.41065141724796628</v>
      </c>
      <c r="E47" s="1205"/>
      <c r="F47" s="1206"/>
      <c r="I47" s="1207"/>
    </row>
    <row r="48" spans="2:9" ht="10.15" customHeight="1" x14ac:dyDescent="0.2"/>
    <row r="49" spans="1:9" x14ac:dyDescent="0.2">
      <c r="B49" s="1138" t="s">
        <v>1262</v>
      </c>
      <c r="C49" s="1058"/>
      <c r="D49" s="1058"/>
      <c r="E49" s="2728">
        <v>750000</v>
      </c>
      <c r="F49" s="2728"/>
      <c r="G49" s="2728"/>
      <c r="H49" s="300"/>
    </row>
    <row r="51" spans="1:9" ht="13.5" customHeight="1" x14ac:dyDescent="0.2">
      <c r="B51" s="1138" t="s">
        <v>1261</v>
      </c>
      <c r="C51" s="1058"/>
      <c r="E51" s="1194"/>
      <c r="F51" s="1076" t="s">
        <v>879</v>
      </c>
      <c r="G51" s="1194" t="s">
        <v>2049</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4.1500000000000004" customHeight="1" x14ac:dyDescent="0.2">
      <c r="A57" s="1214"/>
      <c r="B57" s="1218"/>
      <c r="C57" s="1214"/>
      <c r="D57" s="1214"/>
    </row>
    <row r="58" spans="1:9" s="1217" customFormat="1" ht="13.5" customHeight="1" x14ac:dyDescent="0.2">
      <c r="A58" s="1214"/>
      <c r="B58" s="1219" t="s">
        <v>1728</v>
      </c>
      <c r="C58" s="1220"/>
      <c r="D58" s="1220"/>
    </row>
    <row r="59" spans="1:9" s="1217" customFormat="1" ht="4.1500000000000004" customHeight="1" x14ac:dyDescent="0.2">
      <c r="A59" s="1214"/>
      <c r="B59" s="1219"/>
      <c r="C59" s="1220"/>
      <c r="D59" s="1220"/>
    </row>
    <row r="60" spans="1:9" s="1217" customFormat="1" ht="13.5" customHeight="1" x14ac:dyDescent="0.2">
      <c r="A60" s="1214"/>
      <c r="B60" s="1219" t="s">
        <v>1729</v>
      </c>
      <c r="C60" s="1220"/>
      <c r="D60" s="1220"/>
    </row>
    <row r="61" spans="1:9" s="1217" customFormat="1" ht="4.1500000000000004"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746" t="str">
        <f>'Single Audit Cover'!A7</f>
        <v>East Peoria SD 86</v>
      </c>
      <c r="C1" s="2746"/>
      <c r="D1" s="2746"/>
      <c r="E1" s="2746"/>
      <c r="F1" s="2746"/>
      <c r="G1" s="2746"/>
      <c r="H1" s="2746"/>
      <c r="I1" s="2746"/>
      <c r="J1" s="2746"/>
      <c r="K1" s="2746"/>
      <c r="L1" s="1144"/>
      <c r="M1" s="1144"/>
    </row>
    <row r="2" spans="1:13" ht="12" customHeight="1" x14ac:dyDescent="0.2">
      <c r="B2" s="2748">
        <f>'Single Audit Cover'!E7</f>
        <v>53090086002</v>
      </c>
      <c r="C2" s="2748"/>
      <c r="D2" s="2748"/>
      <c r="E2" s="2748"/>
      <c r="F2" s="2748"/>
      <c r="G2" s="2748"/>
      <c r="H2" s="2748"/>
      <c r="I2" s="2748"/>
      <c r="J2" s="2748"/>
      <c r="K2" s="2748"/>
      <c r="L2" s="1145"/>
      <c r="M2" s="1146"/>
    </row>
    <row r="3" spans="1:13" ht="10.35" customHeight="1" x14ac:dyDescent="0.2">
      <c r="B3" s="2755" t="s">
        <v>1274</v>
      </c>
      <c r="C3" s="2755"/>
      <c r="D3" s="2755"/>
      <c r="E3" s="2755"/>
      <c r="F3" s="2755"/>
      <c r="G3" s="2755"/>
      <c r="H3" s="2755"/>
      <c r="I3" s="2755"/>
      <c r="J3" s="2755"/>
      <c r="K3" s="2755"/>
      <c r="L3" s="1147"/>
      <c r="M3" s="1147"/>
    </row>
    <row r="4" spans="1:13" ht="14.25" customHeight="1" x14ac:dyDescent="0.2">
      <c r="B4" s="2756" t="str">
        <f>'Single Audit Cover'!A4</f>
        <v>Year Ending June 30, 2020</v>
      </c>
      <c r="C4" s="2756"/>
      <c r="D4" s="2756"/>
      <c r="E4" s="2756"/>
      <c r="F4" s="2756"/>
      <c r="G4" s="2756"/>
      <c r="H4" s="2756"/>
      <c r="I4" s="2756"/>
      <c r="J4" s="2756"/>
      <c r="K4" s="275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56" t="s">
        <v>1285</v>
      </c>
      <c r="C7" s="2756"/>
      <c r="D7" s="2757"/>
      <c r="E7" s="2757"/>
      <c r="F7" s="2757"/>
      <c r="G7" s="2757"/>
      <c r="H7" s="2757"/>
      <c r="I7" s="2757"/>
      <c r="J7" s="2757"/>
      <c r="K7" s="275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19" t="str">
        <f>'AFR20'!$E$2&amp;"-"</f>
        <v>2020-</v>
      </c>
      <c r="D10" s="1155" t="s">
        <v>2060</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754"/>
      <c r="C14" s="2754"/>
      <c r="D14" s="2754"/>
      <c r="E14" s="2754"/>
      <c r="F14" s="2754"/>
      <c r="G14" s="2754"/>
      <c r="H14" s="2754"/>
      <c r="I14" s="2754"/>
      <c r="J14" s="2754"/>
      <c r="K14" s="275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754"/>
      <c r="C17" s="2754"/>
      <c r="D17" s="2754"/>
      <c r="E17" s="2754"/>
      <c r="F17" s="2754"/>
      <c r="G17" s="2754"/>
      <c r="H17" s="2754"/>
      <c r="I17" s="2754"/>
      <c r="J17" s="2754"/>
      <c r="K17" s="2754"/>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758"/>
      <c r="C20" s="2758"/>
      <c r="D20" s="2754"/>
      <c r="E20" s="2754"/>
      <c r="F20" s="2754"/>
      <c r="G20" s="2754"/>
      <c r="H20" s="2754"/>
      <c r="I20" s="2754"/>
      <c r="J20" s="2754"/>
      <c r="K20" s="275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754"/>
      <c r="C23" s="2754"/>
      <c r="D23" s="2754"/>
      <c r="E23" s="2754"/>
      <c r="F23" s="2754"/>
      <c r="G23" s="2754"/>
      <c r="H23" s="2754"/>
      <c r="I23" s="2754"/>
      <c r="J23" s="2754"/>
      <c r="K23" s="275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754"/>
      <c r="C26" s="2754"/>
      <c r="D26" s="2754"/>
      <c r="E26" s="2754"/>
      <c r="F26" s="2754"/>
      <c r="G26" s="2754"/>
      <c r="H26" s="2754"/>
      <c r="I26" s="2754"/>
      <c r="J26" s="2754"/>
      <c r="K26" s="275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53"/>
      <c r="C29" s="2753"/>
      <c r="D29" s="2754"/>
      <c r="E29" s="2754"/>
      <c r="F29" s="2754"/>
      <c r="G29" s="2754"/>
      <c r="H29" s="2754"/>
      <c r="I29" s="2754"/>
      <c r="J29" s="2754"/>
      <c r="K29" s="275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753"/>
      <c r="C32" s="2753"/>
      <c r="D32" s="2754"/>
      <c r="E32" s="2754"/>
      <c r="F32" s="2754"/>
      <c r="G32" s="2754"/>
      <c r="H32" s="2754"/>
      <c r="I32" s="2754"/>
      <c r="J32" s="2754"/>
      <c r="K32" s="275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1275</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759" t="str">
        <f>'Single Audit Cover'!A7</f>
        <v>East Peoria SD 86</v>
      </c>
      <c r="C1" s="2759"/>
      <c r="D1" s="2759"/>
      <c r="E1" s="2759"/>
      <c r="F1" s="2759"/>
      <c r="G1" s="2759"/>
      <c r="H1" s="2759"/>
      <c r="I1" s="2759"/>
      <c r="J1" s="2759"/>
      <c r="K1" s="2759"/>
      <c r="L1" s="1221"/>
    </row>
    <row r="2" spans="1:12" ht="12.75" customHeight="1" x14ac:dyDescent="0.2">
      <c r="B2" s="2760">
        <f>'Single Audit Cover'!E7</f>
        <v>53090086002</v>
      </c>
      <c r="C2" s="2760"/>
      <c r="D2" s="2760"/>
      <c r="E2" s="2760"/>
      <c r="F2" s="2760"/>
      <c r="G2" s="2760"/>
      <c r="H2" s="2760"/>
      <c r="I2" s="2760"/>
      <c r="J2" s="2760"/>
      <c r="K2" s="2760"/>
      <c r="L2" s="1222"/>
    </row>
    <row r="3" spans="1:12" ht="12.75" customHeight="1" x14ac:dyDescent="0.2">
      <c r="B3" s="2755" t="s">
        <v>1274</v>
      </c>
      <c r="C3" s="2755"/>
      <c r="D3" s="2755"/>
      <c r="E3" s="2755"/>
      <c r="F3" s="2755"/>
      <c r="G3" s="2755"/>
      <c r="H3" s="2755"/>
      <c r="I3" s="2755"/>
      <c r="J3" s="2755"/>
      <c r="K3" s="2755"/>
      <c r="L3" s="1147"/>
    </row>
    <row r="4" spans="1:12" ht="12.75" customHeight="1" x14ac:dyDescent="0.2">
      <c r="B4" s="2755" t="str">
        <f>'Single Audit Cover'!A4</f>
        <v>Year Ending June 30, 2020</v>
      </c>
      <c r="C4" s="2755"/>
      <c r="D4" s="2755"/>
      <c r="E4" s="2755"/>
      <c r="F4" s="2755"/>
      <c r="G4" s="2755"/>
      <c r="H4" s="2755"/>
      <c r="I4" s="2755"/>
      <c r="J4" s="2755"/>
      <c r="K4" s="2755"/>
      <c r="L4" s="1147"/>
    </row>
    <row r="5" spans="1:12" ht="5.25" customHeight="1" x14ac:dyDescent="0.2">
      <c r="B5" s="1036" t="s">
        <v>1159</v>
      </c>
      <c r="C5" s="1036"/>
      <c r="L5" s="300"/>
    </row>
    <row r="6" spans="1:12" ht="30.75" customHeight="1" x14ac:dyDescent="0.2">
      <c r="A6" s="300"/>
      <c r="B6" s="2761" t="s">
        <v>1297</v>
      </c>
      <c r="C6" s="2761"/>
      <c r="D6" s="2761"/>
      <c r="E6" s="2761"/>
      <c r="F6" s="2761"/>
      <c r="G6" s="2761"/>
      <c r="H6" s="2761"/>
      <c r="I6" s="2761"/>
      <c r="J6" s="2761"/>
      <c r="K6" s="2761"/>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19" t="str">
        <f>'AFR20'!$E$2&amp;"-"</f>
        <v>2020-</v>
      </c>
      <c r="D8" s="1223" t="s">
        <v>2060</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739"/>
      <c r="G12" s="2739"/>
      <c r="H12" s="2739"/>
      <c r="I12" s="2739"/>
      <c r="J12" s="2739"/>
      <c r="K12" s="273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62"/>
      <c r="E14" s="2762"/>
      <c r="F14" s="2762"/>
      <c r="H14" s="1230" t="s">
        <v>1292</v>
      </c>
      <c r="I14" s="2763"/>
      <c r="J14" s="2763"/>
      <c r="K14" s="276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63"/>
      <c r="E16" s="2763"/>
      <c r="F16" s="2763"/>
      <c r="G16" s="2763"/>
      <c r="H16" s="2763"/>
      <c r="I16" s="2763"/>
      <c r="J16" s="2763"/>
      <c r="K16" s="2763"/>
      <c r="L16" s="300"/>
    </row>
    <row r="17" spans="2:12" ht="13.5" customHeight="1" x14ac:dyDescent="0.2">
      <c r="B17" s="1156" t="s">
        <v>1290</v>
      </c>
      <c r="C17" s="1156"/>
      <c r="D17" s="2764"/>
      <c r="E17" s="2764"/>
      <c r="F17" s="2764"/>
      <c r="G17" s="2764"/>
      <c r="H17" s="2764"/>
      <c r="I17" s="2764"/>
      <c r="J17" s="2764"/>
      <c r="K17" s="276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754"/>
      <c r="C20" s="2754"/>
      <c r="D20" s="2754"/>
      <c r="E20" s="2754"/>
      <c r="F20" s="2754"/>
      <c r="G20" s="2754"/>
      <c r="H20" s="2754"/>
      <c r="I20" s="2754"/>
      <c r="J20" s="2754"/>
      <c r="K20" s="27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754"/>
      <c r="C23" s="2754"/>
      <c r="D23" s="2754"/>
      <c r="E23" s="2754"/>
      <c r="F23" s="2754"/>
      <c r="G23" s="2754"/>
      <c r="H23" s="2754"/>
      <c r="I23" s="2754"/>
      <c r="J23" s="2754"/>
      <c r="K23" s="275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754"/>
      <c r="C26" s="2754"/>
      <c r="D26" s="2754"/>
      <c r="E26" s="2754"/>
      <c r="F26" s="2754"/>
      <c r="G26" s="2754"/>
      <c r="H26" s="2754"/>
      <c r="I26" s="2754"/>
      <c r="J26" s="2754"/>
      <c r="K26" s="275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754"/>
      <c r="C29" s="2754"/>
      <c r="D29" s="2754"/>
      <c r="E29" s="2754"/>
      <c r="F29" s="2754"/>
      <c r="G29" s="2754"/>
      <c r="H29" s="2754"/>
      <c r="I29" s="2754"/>
      <c r="J29" s="2754"/>
      <c r="K29" s="275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754"/>
      <c r="C32" s="2754"/>
      <c r="D32" s="2754"/>
      <c r="E32" s="2754"/>
      <c r="F32" s="2754"/>
      <c r="G32" s="2754"/>
      <c r="H32" s="2754"/>
      <c r="I32" s="2754"/>
      <c r="J32" s="2754"/>
      <c r="K32" s="275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754"/>
      <c r="C35" s="2754"/>
      <c r="D35" s="2754"/>
      <c r="E35" s="2754"/>
      <c r="F35" s="2754"/>
      <c r="G35" s="2754"/>
      <c r="H35" s="2754"/>
      <c r="I35" s="2754"/>
      <c r="J35" s="2754"/>
      <c r="K35" s="275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754"/>
      <c r="C38" s="2754"/>
      <c r="D38" s="2754"/>
      <c r="E38" s="2754"/>
      <c r="F38" s="2754"/>
      <c r="G38" s="2754"/>
      <c r="H38" s="2754"/>
      <c r="I38" s="2754"/>
      <c r="J38" s="2754"/>
      <c r="K38" s="275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754"/>
      <c r="C41" s="2754"/>
      <c r="D41" s="2754"/>
      <c r="E41" s="2754"/>
      <c r="F41" s="2754"/>
      <c r="G41" s="2754"/>
      <c r="H41" s="2754"/>
      <c r="I41" s="2754"/>
      <c r="J41" s="2754"/>
      <c r="K41" s="275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8" customFormat="1" ht="12.75" customHeight="1" x14ac:dyDescent="0.2">
      <c r="B1" s="2746" t="str">
        <f>'Single Audit Cover'!A7</f>
        <v>East Peoria SD 86</v>
      </c>
      <c r="C1" s="2746"/>
      <c r="D1" s="2746"/>
      <c r="E1" s="1240"/>
    </row>
    <row r="2" spans="2:5" s="1058" customFormat="1" ht="12.75" customHeight="1" x14ac:dyDescent="0.2">
      <c r="B2" s="2748">
        <f>'Single Audit Cover'!E7</f>
        <v>53090086002</v>
      </c>
      <c r="C2" s="2748"/>
      <c r="D2" s="2748"/>
      <c r="E2" s="1241"/>
    </row>
    <row r="3" spans="2:5" ht="12.75" customHeight="1" x14ac:dyDescent="0.2">
      <c r="B3" s="2755" t="s">
        <v>1741</v>
      </c>
      <c r="C3" s="2755"/>
      <c r="D3" s="2755"/>
      <c r="E3" s="1050"/>
    </row>
    <row r="4" spans="2:5" s="1058" customFormat="1" ht="12.75" customHeight="1" x14ac:dyDescent="0.2">
      <c r="B4" s="2765" t="str">
        <f>'Single Audit Cover'!A4</f>
        <v>Year Ending June 30, 2020</v>
      </c>
      <c r="C4" s="2765"/>
      <c r="D4" s="2765"/>
      <c r="E4" s="1242"/>
    </row>
    <row r="5" spans="2:5" s="1058" customFormat="1" ht="40.15" customHeight="1" x14ac:dyDescent="0.2">
      <c r="B5" s="1243" t="s">
        <v>1742</v>
      </c>
      <c r="C5" s="306"/>
      <c r="D5" s="306"/>
      <c r="E5" s="306"/>
    </row>
    <row r="6" spans="2:5" s="1058" customFormat="1" ht="13.5" customHeight="1" x14ac:dyDescent="0.2">
      <c r="B6" s="1244" t="s">
        <v>1304</v>
      </c>
      <c r="C6" s="1244" t="s">
        <v>1303</v>
      </c>
      <c r="D6" s="1244" t="s">
        <v>1743</v>
      </c>
    </row>
    <row r="7" spans="2:5" ht="13.5" customHeight="1" x14ac:dyDescent="0.2">
      <c r="B7" s="1245" t="s">
        <v>2060</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4" customHeight="1" x14ac:dyDescent="0.2">
      <c r="B44" s="1033" t="s">
        <v>1302</v>
      </c>
      <c r="C44" s="300"/>
    </row>
    <row r="45" spans="2:5" ht="12.4" customHeight="1" x14ac:dyDescent="0.2">
      <c r="B45" s="1254" t="s">
        <v>1744</v>
      </c>
    </row>
    <row r="46" spans="2:5" ht="12.4" customHeight="1" x14ac:dyDescent="0.2">
      <c r="B46" s="1254" t="s">
        <v>1745</v>
      </c>
    </row>
    <row r="47" spans="2:5" ht="12.4" customHeight="1" x14ac:dyDescent="0.2">
      <c r="B47" s="1255" t="s">
        <v>1301</v>
      </c>
    </row>
    <row r="48" spans="2:5" ht="12.4" customHeight="1" x14ac:dyDescent="0.2">
      <c r="B48" s="1255" t="s">
        <v>1300</v>
      </c>
    </row>
    <row r="49" spans="2:5" ht="12.4" customHeight="1" x14ac:dyDescent="0.2">
      <c r="B49" s="1255" t="s">
        <v>1299</v>
      </c>
    </row>
    <row r="50" spans="2:5" ht="12.4"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infopath/2007/PartnerControls"/>
    <ds:schemaRef ds:uri="http://schemas.microsoft.com/sharepoint/v3"/>
    <ds:schemaRef ds:uri="d21dc803-237d-4c68-8692-8d731fd29118"/>
    <ds:schemaRef ds:uri="4d435f69-8686-490b-bd6d-b153bf22ab50"/>
    <ds:schemaRef ds:uri="http://purl.org/dc/elements/1.1/"/>
    <ds:schemaRef ds:uri="http://www.w3.org/XML/1998/namespace"/>
    <ds:schemaRef ds:uri="http://schemas.microsoft.com/office/2006/documentManagement/types"/>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21</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SEFA20</vt:lpstr>
      <vt:lpstr> SEFA</vt:lpstr>
      <vt:lpstr>SEFA NOTES </vt:lpstr>
      <vt:lpstr>SEFA NOTES</vt:lpstr>
      <vt:lpstr>SF&amp;QC Sec-1 (2)</vt:lpstr>
      <vt:lpstr>SF&amp;QC Sec-1</vt:lpstr>
      <vt:lpstr>SF&amp;QC Sec-2</vt:lpstr>
      <vt:lpstr>SF&amp;QC Sec-3</vt:lpstr>
      <vt:lpstr>SSPAF</vt:lpstr>
      <vt:lpstr>' SEFA'!Print_Area</vt:lpstr>
      <vt:lpstr>'SEFA NOTES'!Print_Area</vt:lpstr>
      <vt:lpstr>'SEFA NOTES '!Print_Area</vt:lpstr>
      <vt:lpstr>'SEFA Reconcile'!Print_Area</vt:lpstr>
      <vt:lpstr>SEFA20!Print_Area</vt:lpstr>
      <vt:lpstr>'SF&amp;QC Sec-1'!Print_Area</vt:lpstr>
      <vt:lpstr>'SF&amp;QC Sec-1 (2)'!Print_Area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2020-11-13T20:38:44Z</cp:lastPrinted>
  <dcterms:created xsi:type="dcterms:W3CDTF">2003-10-29T19:06:34Z</dcterms:created>
  <dcterms:modified xsi:type="dcterms:W3CDTF">2020-11-30T23:41:36Z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