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31C121C-63F0-4020-B021-538E0067C579}" xr6:coauthVersionLast="36" xr6:coauthVersionMax="36" xr10:uidLastSave="{00000000-0000-0000-0000-000000000000}"/>
  <bookViews>
    <workbookView xWindow="-120" yWindow="-120" windowWidth="20730" windowHeight="11160" tabRatio="83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state="hidden" r:id="rId25"/>
    <sheet name="Single Audit Checklist" sheetId="170" state="hidden" r:id="rId26"/>
    <sheet name="SEFA Reconcile" sheetId="171" r:id="rId27"/>
    <sheet name=" SEFA" sheetId="179" state="hidden" r:id="rId28"/>
    <sheet name="SEFA NOTES" sheetId="173" state="hidden" r:id="rId29"/>
    <sheet name="SF&amp;QC Sec-1" sheetId="174" state="hidden"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0" i="183" l="1"/>
  <c r="F23" i="183"/>
  <c r="F22" i="183"/>
  <c r="F20" i="183"/>
  <c r="F19" i="183"/>
  <c r="F21" i="183"/>
  <c r="J31" i="8" l="1"/>
  <c r="C9" i="4"/>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39" i="183" l="1"/>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18" i="183"/>
  <c r="F17" i="183"/>
  <c r="F140" i="183" l="1"/>
  <c r="E140" i="183"/>
  <c r="B7885" i="106"/>
  <c r="D7885" i="106" s="1"/>
  <c r="B7884" i="106"/>
  <c r="B7883" i="106"/>
  <c r="B7882" i="106"/>
  <c r="D7882" i="106" s="1"/>
  <c r="D7884" i="106"/>
  <c r="D7883" i="106"/>
  <c r="B11" i="7" l="1"/>
  <c r="D7836" i="106" l="1"/>
  <c r="J88" i="28" l="1"/>
  <c r="J85" i="28"/>
  <c r="J90" i="28" s="1"/>
  <c r="B7819" i="106" l="1"/>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B63"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B5752" i="106"/>
  <c r="D5752" i="106" s="1"/>
  <c r="H28" i="118" l="1"/>
  <c r="F50" i="34"/>
  <c r="F42" i="34"/>
  <c r="B131" i="106"/>
  <c r="D131" i="106" s="1"/>
  <c r="N21" i="3"/>
  <c r="B282" i="106" s="1"/>
  <c r="D282" i="106" s="1"/>
  <c r="I129" i="29"/>
  <c r="B7037" i="106" s="1"/>
  <c r="D7037" i="106" s="1"/>
  <c r="F34" i="34"/>
  <c r="B7826" i="106" s="1"/>
  <c r="D7826" i="106" s="1"/>
  <c r="C342" i="29"/>
  <c r="B7216" i="106" s="1"/>
  <c r="D7216" i="106" s="1"/>
  <c r="B6289" i="106"/>
  <c r="D6289" i="106" s="1"/>
  <c r="H15" i="184"/>
  <c r="F72" i="34"/>
  <c r="F71" i="34"/>
  <c r="G14" i="4"/>
  <c r="B2609" i="106" s="1"/>
  <c r="D2609" i="106" s="1"/>
  <c r="C352" i="29"/>
  <c r="J210" i="29"/>
  <c r="B7072" i="106" s="1"/>
  <c r="D7072" i="106" s="1"/>
  <c r="J129" i="29"/>
  <c r="B7038" i="106" s="1"/>
  <c r="D7038" i="106" s="1"/>
  <c r="H342" i="29"/>
  <c r="B7221" i="106" s="1"/>
  <c r="D7221" i="106" s="1"/>
  <c r="I210" i="29"/>
  <c r="B7071" i="106" s="1"/>
  <c r="D7071" i="106" s="1"/>
  <c r="H76" i="4"/>
  <c r="B3298" i="106" s="1"/>
  <c r="D3298" i="106" s="1"/>
  <c r="C129" i="29"/>
  <c r="C151" i="29" s="1"/>
  <c r="B1226" i="106" s="1"/>
  <c r="D1226" i="106" s="1"/>
  <c r="G30" i="108"/>
  <c r="B7705" i="106"/>
  <c r="D7705" i="106" s="1"/>
  <c r="E67" i="184"/>
  <c r="N67" i="184" s="1"/>
  <c r="B7198" i="106"/>
  <c r="D7198" i="106" s="1"/>
  <c r="E65" i="184"/>
  <c r="N65" i="184" s="1"/>
  <c r="B7126" i="106"/>
  <c r="D7126" i="106" s="1"/>
  <c r="E57" i="184"/>
  <c r="D31" i="108"/>
  <c r="E16" i="184"/>
  <c r="H16" i="184" s="1"/>
  <c r="H12" i="184"/>
  <c r="B7180" i="106"/>
  <c r="D7180" i="106" s="1"/>
  <c r="E63" i="184"/>
  <c r="N63" i="184" s="1"/>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66" i="106" l="1"/>
  <c r="D1266" i="106" s="1"/>
  <c r="K28" i="118"/>
  <c r="O27" i="118" s="1"/>
  <c r="O29" i="118" s="1"/>
  <c r="F66" i="34"/>
  <c r="K77" i="4"/>
  <c r="B3587" i="106" s="1"/>
  <c r="D3587" i="106" s="1"/>
  <c r="B4435" i="106"/>
  <c r="D4435" i="106" s="1"/>
  <c r="J151" i="29"/>
  <c r="B7052" i="106" s="1"/>
  <c r="D7052" i="106" s="1"/>
  <c r="K365" i="29"/>
  <c r="K16" i="4" s="1"/>
  <c r="B5770" i="106"/>
  <c r="D5770" i="106" s="1"/>
  <c r="H77" i="4"/>
  <c r="B3299" i="106" s="1"/>
  <c r="D3299" i="106" s="1"/>
  <c r="N23" i="3"/>
  <c r="B284" i="106" s="1"/>
  <c r="D284" i="106" s="1"/>
  <c r="B1225" i="106"/>
  <c r="D1225" i="106" s="1"/>
  <c r="J16" i="4"/>
  <c r="B6226" i="106" s="1"/>
  <c r="D6226" i="106" s="1"/>
  <c r="B1328" i="106"/>
  <c r="D1328" i="106" s="1"/>
  <c r="B7235" i="106"/>
  <c r="D7235" i="106" s="1"/>
  <c r="K342" i="29"/>
  <c r="F13" i="34" s="1"/>
  <c r="F41" i="108"/>
  <c r="G43" i="108" s="1"/>
  <c r="B1381" i="106"/>
  <c r="D1381" i="106" s="1"/>
  <c r="B5527" i="106"/>
  <c r="D5527" i="106" s="1"/>
  <c r="N57" i="184"/>
  <c r="N68" i="184" s="1"/>
  <c r="E68" i="184"/>
  <c r="L114" i="29"/>
  <c r="E367" i="29"/>
  <c r="B3635" i="106"/>
  <c r="D3635" i="106" s="1"/>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1145" i="106"/>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F8" i="4"/>
  <c r="F10" i="4" s="1"/>
  <c r="B4125" i="106" s="1"/>
  <c r="D4125" i="106" s="1"/>
  <c r="K17" i="4"/>
  <c r="K19" i="4" s="1"/>
  <c r="B4144" i="106" s="1"/>
  <c r="D4144" i="106" s="1"/>
  <c r="J20" i="4"/>
  <c r="B6230" i="106" s="1"/>
  <c r="D6230" i="106" s="1"/>
  <c r="B6223" i="106"/>
  <c r="D6223" i="106" s="1"/>
  <c r="J10" i="4"/>
  <c r="B6225" i="106" s="1"/>
  <c r="D622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3575" i="106"/>
  <c r="D3575" i="106" s="1"/>
  <c r="J78" i="4"/>
  <c r="B6263" i="106" s="1"/>
  <c r="D6263" i="106" s="1"/>
  <c r="K20" i="4"/>
  <c r="K78"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l="1"/>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81" i="4"/>
  <c r="D39" i="3" s="1"/>
  <c r="B6266" i="106" l="1"/>
  <c r="D6266" i="106" s="1"/>
  <c r="J82" i="4"/>
  <c r="D64" i="36"/>
  <c r="J41" i="3"/>
  <c r="B6216" i="106" s="1"/>
  <c r="D6216" i="106" s="1"/>
  <c r="B3567" i="106"/>
  <c r="D3567" i="106" s="1"/>
  <c r="K41" i="3"/>
  <c r="B212" i="106"/>
  <c r="D212" i="106" s="1"/>
  <c r="H41" i="3"/>
  <c r="B123" i="106"/>
  <c r="D123" i="106" s="1"/>
  <c r="D41" i="3"/>
  <c r="B2912" i="106"/>
  <c r="D2912" i="106" s="1"/>
  <c r="I41" i="3"/>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51" i="36" l="1"/>
  <c r="B3568" i="106"/>
  <c r="D3568" i="106" s="1"/>
  <c r="D52" i="36"/>
  <c r="B213" i="106"/>
  <c r="D213" i="106" s="1"/>
  <c r="D49" i="36"/>
  <c r="B189" i="106"/>
  <c r="D189" i="106" s="1"/>
  <c r="G41" i="3"/>
  <c r="B170" i="106"/>
  <c r="D170" i="106" s="1"/>
  <c r="F41" i="3"/>
  <c r="B140" i="106"/>
  <c r="D140" i="106" s="1"/>
  <c r="E41" i="3"/>
  <c r="D45" i="36"/>
  <c r="B124" i="106"/>
  <c r="D124" i="106" s="1"/>
  <c r="B2913" i="106"/>
  <c r="D2913" i="106" s="1"/>
  <c r="D50" i="36"/>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D46" i="36"/>
  <c r="B141" i="106"/>
  <c r="D141" i="106" s="1"/>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<sst xmlns="http://schemas.openxmlformats.org/spreadsheetml/2006/main" count="5194" uniqueCount="2116">
  <si>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</si>
  <si>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</si>
  <si>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</si>
  <si>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</si>
  <si>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</si>
  <si>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</si>
  <si>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</si>
  <si>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</si>
  <si>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</si>
  <si>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</si>
  <si>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</si>
  <si>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</si>
  <si>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</si>
  <si>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</si>
  <si>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</si>
  <si>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</si>
  <si>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</si>
  <si>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</si>
  <si>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</si>
  <si>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</si>
  <si>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</si>
  <si>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</si>
  <si>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</si>
  <si>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</si>
  <si>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</si>
  <si>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</si>
  <si>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</si>
  <si>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</si>
  <si>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</si>
  <si>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</si>
  <si>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</si>
  <si>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</si>
  <si>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</si>
  <si>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</si>
  <si>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</si>
  <si>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</si>
  <si>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</si>
  <si>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</si>
  <si>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</si>
  <si>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</si>
  <si>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</si>
  <si>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</si>
  <si>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</si>
  <si>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</si>
  <si>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</si>
  <si>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</si>
  <si>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</si>
  <si>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</si>
  <si>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</si>
  <si>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</si>
  <si>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</si>
  <si>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</si>
  <si>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</si>
  <si>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</si>
  <si>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</si>
  <si>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</si>
  <si>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</si>
  <si>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</si>
  <si>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</si>
  <si>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</si>
  <si>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</si>
  <si>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</si>
  <si>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</si>
  <si>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</si>
  <si>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</si>
  <si>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</si>
  <si>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</si>
  <si>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</si>
  <si>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</si>
  <si>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</si>
  <si>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</si>
  <si>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</si>
  <si>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</si>
  <si>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</si>
  <si>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</si>
  <si>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</si>
  <si>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</si>
  <si>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</si>
  <si>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</si>
  <si>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</si>
  <si>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</si>
  <si>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</si>
  <si>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</si>
  <si>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</si>
  <si>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</si>
  <si>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</si>
  <si>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</si>
  <si>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</si>
  <si>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</si>
  <si>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</si>
  <si>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</si>
  <si>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</si>
  <si>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</si>
  <si>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</si>
  <si>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</si>
  <si>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</si>
  <si>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</si>
  <si>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</si>
  <si>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</si>
  <si>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</si>
  <si>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</si>
  <si>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</si>
  <si>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</si>
  <si>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</si>
  <si>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</si>
  <si>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</si>
  <si>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</si>
  <si>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</si>
  <si>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</si>
  <si>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</si>
  <si>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</si>
  <si>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</si>
  <si>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</si>
  <si>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</si>
  <si>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</si>
  <si>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</si>
  <si>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</si>
  <si>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</si>
  <si>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</si>
  <si>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</si>
  <si>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</si>
  <si>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</si>
  <si>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</si>
  <si>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</si>
  <si>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</si>
  <si>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</si>
  <si>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</si>
  <si>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</si>
  <si>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</si>
  <si>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</si>
  <si>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</si>
  <si>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</si>
  <si>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</si>
  <si>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</si>
  <si>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</si>
  <si>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</si>
  <si>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</si>
  <si>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</si>
  <si>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</si>
  <si>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</si>
  <si>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</si>
  <si>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</si>
  <si>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</si>
  <si>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</si>
  <si>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</si>
  <si>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</si>
  <si>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</si>
  <si>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</si>
  <si>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</si>
  <si>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</si>
  <si>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</si>
  <si>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</si>
  <si>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</si>
  <si>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</si>
  <si>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</si>
  <si>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</si>
  <si>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</si>
  <si>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</si>
  <si>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</si>
  <si>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</si>
  <si>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</si>
  <si>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</si>
  <si>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</si>
  <si>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</si>
  <si>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</si>
  <si>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</si>
  <si>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</si>
  <si>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</si>
  <si>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</si>
  <si>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</si>
  <si>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</si>
  <si>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</si>
  <si>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</si>
  <si>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</si>
  <si>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</si>
  <si>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</si>
  <si>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</si>
  <si>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</si>
  <si>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</si>
  <si>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</si>
  <si>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</si>
  <si>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</si>
  <si>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</si>
  <si>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</si>
  <si>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</si>
  <si>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</si>
  <si>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</si>
  <si>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</si>
  <si>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</si>
  <si>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</si>
  <si>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</si>
  <si>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</si>
  <si>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</si>
  <si>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</si>
  <si>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</si>
  <si>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</si>
  <si>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</si>
  <si>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</si>
  <si>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</si>
  <si>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</si>
  <si>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</si>
  <si>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</si>
  <si>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</si>
  <si>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</si>
  <si>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</si>
  <si>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</si>
  <si>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</si>
  <si>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</si>
  <si>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</si>
  <si>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</si>
  <si>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</si>
  <si>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</si>
  <si>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</si>
  <si>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</si>
  <si>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</si>
  <si>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</si>
  <si>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</si>
  <si>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</si>
  <si>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</si>
  <si>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</si>
  <si>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</si>
  <si>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</si>
  <si>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</si>
  <si>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</si>
  <si>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</si>
  <si>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</si>
  <si>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</si>
  <si>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</si>
  <si>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</si>
  <si>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</si>
  <si>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</si>
  <si>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</si>
  <si>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</si>
  <si>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</si>
  <si>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</si>
  <si>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</si>
  <si>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</si>
  <si>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</si>
  <si>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</si>
  <si>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</si>
  <si>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</si>
  <si>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</si>
  <si>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</si>
  <si>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</si>
  <si>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</si>
  <si>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</si>
  <si>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</si>
  <si>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</si>
  <si>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</si>
  <si>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</si>
  <si>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</si>
  <si>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</si>
  <si>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</si>
  <si>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</si>
  <si>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</si>
  <si>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</si>
  <si>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</si>
  <si>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</si>
  <si>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</si>
  <si>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</si>
  <si>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</si>
  <si>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</si>
  <si>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</si>
  <si>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</si>
  <si>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</si>
  <si>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</si>
  <si>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</si>
  <si>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</si>
  <si>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</si>
  <si>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</si>
  <si>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</si>
  <si>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</si>
  <si>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</si>
  <si>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</si>
  <si>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</si>
  <si>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</si>
  <si>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</si>
  <si>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</si>
  <si>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</si>
  <si>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</si>
  <si>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</si>
  <si>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</si>
  <si>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</si>
  <si>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</si>
  <si>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</si>
  <si>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</si>
  <si>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</si>
  <si>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</si>
  <si>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</si>
  <si>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</si>
  <si>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</si>
  <si>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</si>
  <si>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</si>
  <si>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</si>
  <si>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</si>
  <si>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</si>
  <si>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</si>
  <si>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</si>
  <si>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</si>
  <si>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</si>
  <si>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</si>
  <si>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</si>
  <si>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</si>
  <si>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</si>
  <si>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</si>
  <si>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</si>
  <si>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</si>
  <si>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</si>
  <si>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</si>
  <si>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</si>
  <si>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</si>
  <si>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</si>
  <si>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</si>
  <si>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</si>
  <si>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</si>
  <si>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</si>
  <si>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</si>
  <si>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</si>
  <si>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</si>
  <si>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</si>
  <si>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</si>
  <si>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</si>
  <si>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</si>
  <si>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</si>
  <si>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</si>
  <si>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</si>
  <si>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</si>
  <si>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</si>
  <si>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</si>
  <si>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</si>
  <si>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</si>
  <si>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</si>
  <si>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</si>
  <si>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</si>
  <si>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</si>
  <si>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</si>
  <si>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</si>
  <si>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</si>
  <si>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</si>
  <si>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</si>
  <si>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</si>
  <si>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</si>
  <si>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</si>
  <si>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</si>
  <si>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</si>
  <si>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</si>
  <si>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</si>
  <si>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</si>
  <si>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</si>
  <si>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</si>
  <si>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</si>
  <si>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</si>
  <si>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</si>
  <si>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</si>
  <si>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</si>
  <si>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</si>
  <si>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</si>
  <si>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</si>
  <si>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</si>
  <si>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</si>
  <si>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</si>
  <si>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</si>
  <si>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</si>
  <si>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</si>
  <si>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</si>
  <si>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</si>
  <si>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</si>
  <si>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</si>
  <si>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</si>
  <si>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</si>
  <si>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</si>
  <si>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</si>
  <si>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</si>
  <si>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</si>
  <si>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</si>
  <si>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</si>
  <si>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</si>
  <si>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</si>
  <si>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</si>
  <si>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</si>
  <si>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</si>
  <si>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</si>
  <si>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</si>
  <si>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</si>
  <si>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</si>
  <si>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</si>
  <si>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</si>
  <si>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</si>
  <si>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</si>
  <si>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</si>
  <si>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</si>
  <si>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</si>
  <si>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</si>
  <si>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</si>
  <si>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</si>
  <si>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</si>
  <si>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</si>
  <si>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</si>
  <si>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</si>
  <si>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</si>
  <si>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</si>
  <si>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</si>
  <si>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</si>
  <si>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</si>
  <si>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</si>
  <si>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</si>
  <si>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</si>
  <si>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</si>
  <si>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</si>
  <si>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</si>
  <si>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</si>
  <si>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</si>
  <si>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</si>
  <si>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</si>
  <si>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</si>
  <si>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</si>
  <si>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</si>
  <si>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</si>
  <si>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</si>
  <si>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</si>
  <si>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</si>
  <si>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</si>
  <si>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</si>
  <si>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</si>
  <si>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</si>
  <si>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</si>
  <si>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</si>
  <si>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</si>
  <si>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</si>
  <si>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</si>
  <si>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</si>
  <si>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</si>
  <si>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</si>
  <si>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</si>
  <si>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</si>
  <si>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</si>
  <si>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</si>
  <si>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</si>
  <si>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</si>
  <si>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</si>
  <si>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</si>
  <si>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</si>
  <si>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</si>
  <si>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</si>
  <si>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</si>
  <si>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</si>
  <si>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</si>
  <si>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</si>
  <si>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</si>
  <si>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</si>
  <si>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</si>
  <si>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</si>
  <si>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</si>
  <si>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</si>
  <si>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</si>
  <si>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</si>
  <si>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</si>
  <si>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</si>
  <si>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</si>
  <si>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</si>
  <si>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</si>
  <si>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</si>
  <si>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</si>
  <si>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</si>
  <si>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</si>
  <si>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</si>
  <si>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</si>
  <si>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</si>
  <si>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</si>
  <si>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</si>
  <si>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</si>
  <si>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</si>
  <si>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</si>
  <si>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</si>
  <si>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</si>
  <si>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</si>
  <si>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</si>
  <si>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</si>
  <si>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</si>
  <si>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</si>
  <si>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</si>
  <si>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</si>
  <si>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</si>
  <si>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</si>
  <si>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</si>
  <si>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</si>
  <si>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</si>
  <si>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</si>
  <si>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</si>
  <si>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</si>
  <si>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</si>
  <si>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</si>
  <si>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</si>
  <si>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</si>
  <si>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</si>
  <si>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</si>
  <si>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</si>
  <si>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</si>
  <si>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</si>
  <si>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</si>
  <si>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</si>
  <si>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</si>
  <si>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</si>
  <si>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</si>
  <si>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</si>
  <si>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</si>
  <si>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</si>
  <si>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</si>
  <si>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</si>
  <si>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</si>
  <si>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</si>
  <si>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</si>
  <si>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</si>
  <si>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</si>
  <si>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</si>
  <si>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</si>
  <si>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</si>
  <si>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</si>
  <si>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</si>
  <si>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</si>
  <si>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</si>
  <si>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</si>
  <si>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</si>
  <si>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</si>
  <si>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</si>
  <si>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</si>
  <si>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</si>
  <si>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</si>
  <si>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</si>
  <si>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</si>
  <si>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</si>
  <si>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</si>
  <si>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</si>
  <si>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</si>
  <si>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</si>
  <si>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</si>
  <si>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</si>
  <si>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</si>
  <si>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</si>
  <si>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</si>
  <si>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</si>
  <si>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</si>
  <si>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</si>
  <si>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</si>
  <si>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</si>
  <si>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</si>
  <si>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</si>
  <si>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</si>
  <si>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</si>
  <si>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</si>
  <si>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</si>
  <si>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</si>
  <si>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</si>
  <si>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</si>
  <si>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</si>
  <si>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</si>
  <si>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</si>
  <si>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</si>
  <si>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</si>
  <si>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</si>
  <si>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</si>
  <si>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</si>
  <si>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</si>
  <si>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</si>
  <si>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</si>
  <si>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</si>
  <si>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</si>
  <si>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</si>
  <si>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</si>
  <si>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</si>
  <si>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</si>
  <si>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</si>
  <si>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</si>
  <si>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</si>
  <si>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</si>
  <si>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</si>
  <si>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</si>
  <si>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</si>
  <si>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</si>
  <si>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</si>
  <si>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</si>
  <si>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</si>
  <si>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</si>
  <si>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</si>
  <si>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</si>
  <si>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</si>
  <si>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</si>
  <si>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</si>
  <si>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</si>
  <si>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</si>
  <si>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</si>
  <si>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</si>
  <si>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</si>
  <si>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</si>
  <si>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</si>
  <si>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</si>
  <si>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</si>
  <si>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</si>
  <si>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</si>
  <si>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</si>
  <si>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</si>
  <si>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</si>
  <si>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</si>
  <si>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</si>
  <si>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</si>
  <si>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</si>
  <si>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</si>
  <si>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</si>
  <si>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</si>
  <si>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</si>
  <si>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</si>
  <si>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</si>
  <si>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</si>
  <si>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</si>
  <si>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</si>
  <si>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</si>
  <si>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</si>
  <si>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</si>
  <si>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</si>
  <si>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</si>
  <si>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</si>
  <si>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</si>
  <si>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</si>
  <si>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</si>
  <si>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</si>
  <si>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</si>
  <si>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</si>
  <si>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</si>
  <si>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</si>
  <si>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</si>
  <si>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</si>
  <si>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</si>
  <si>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</si>
  <si>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</si>
  <si>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</si>
  <si>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</si>
  <si>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</si>
  <si>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</si>
  <si>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</si>
  <si>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</si>
  <si>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</si>
  <si>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</si>
  <si>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</si>
  <si>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</si>
  <si>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</si>
  <si>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</si>
  <si>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</si>
  <si>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</si>
  <si>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</si>
  <si>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</si>
  <si>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</si>
  <si>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</si>
  <si>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</si>
  <si>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</si>
  <si>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</si>
  <si>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</si>
  <si>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</si>
  <si>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</si>
  <si>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</si>
  <si>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</si>
  <si>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</si>
  <si>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</si>
  <si>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</si>
  <si>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</si>
  <si>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</si>
  <si>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</si>
  <si>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</si>
  <si>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</si>
  <si>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</si>
  <si>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</si>
  <si>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</si>
  <si>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</si>
  <si>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</si>
  <si>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</si>
  <si>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</si>
  <si>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</si>
  <si>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</si>
  <si>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</si>
  <si>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</si>
  <si>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</si>
  <si>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</si>
  <si>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</si>
  <si>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</si>
  <si>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</si>
  <si>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</si>
  <si>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</si>
  <si>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</si>
  <si>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</si>
  <si>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</si>
  <si>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</si>
  <si>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</si>
  <si>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</si>
  <si>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</si>
  <si>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</si>
  <si>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</si>
  <si>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</si>
  <si>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</si>
  <si>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</si>
  <si>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</si>
  <si>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</si>
  <si>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</si>
  <si>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</si>
  <si>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</si>
  <si>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</si>
  <si>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</si>
  <si>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</si>
  <si>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</si>
  <si>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</si>
  <si>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</si>
  <si>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</si>
  <si>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</si>
  <si>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</si>
  <si>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</si>
  <si>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</si>
  <si>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</si>
  <si>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</si>
  <si>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</si>
  <si>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</si>
  <si>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</si>
  <si>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</si>
  <si>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</si>
  <si>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</si>
  <si>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</si>
  <si>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</si>
  <si>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</si>
  <si>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</si>
  <si>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</si>
  <si>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</si>
  <si>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</si>
  <si>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</si>
  <si>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</si>
  <si>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</si>
  <si>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</si>
  <si>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</si>
  <si>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</si>
  <si>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</si>
  <si>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</si>
  <si>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</si>
  <si>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</si>
  <si>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</si>
  <si>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</si>
  <si>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</si>
  <si>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</si>
  <si>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</si>
  <si>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</si>
  <si>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</si>
  <si>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</si>
  <si>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</si>
  <si>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</si>
  <si>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</si>
  <si>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</si>
  <si>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</si>
  <si>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</si>
  <si>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</si>
  <si>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</si>
  <si>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</si>
  <si>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</si>
  <si>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</si>
  <si>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</si>
  <si>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</si>
  <si>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</si>
  <si>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</si>
  <si>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</si>
  <si>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</si>
  <si>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</si>
  <si>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</si>
  <si>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</si>
  <si>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</si>
  <si>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</si>
  <si>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</si>
  <si>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</si>
  <si>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</si>
  <si>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</si>
  <si>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</si>
  <si>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</si>
  <si>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</si>
  <si>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</si>
  <si>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</si>
  <si>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</si>
  <si>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</si>
  <si>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</si>
  <si>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</si>
  <si>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</si>
  <si>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</si>
  <si>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</si>
  <si>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</si>
  <si>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</si>
  <si>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</si>
  <si>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</si>
  <si>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</si>
  <si>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</si>
  <si>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</si>
  <si>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</si>
  <si>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</si>
  <si>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</si>
  <si>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</si>
  <si>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</si>
  <si>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</si>
  <si>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</si>
  <si>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</si>
  <si>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</si>
  <si>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</si>
  <si>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</si>
  <si>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</si>
  <si>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</si>
  <si>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</si>
  <si>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</si>
  <si>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</si>
  <si>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</si>
  <si>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</si>
  <si>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</si>
  <si>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</si>
  <si>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</si>
  <si>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</si>
  <si>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</si>
  <si>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</si>
  <si>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</si>
  <si>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</si>
  <si>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</si>
  <si>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</si>
  <si>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</si>
  <si>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</si>
  <si>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</si>
  <si>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</si>
  <si>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</si>
  <si>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</si>
  <si>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</si>
  <si>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</si>
  <si>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</si>
  <si>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</si>
  <si>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</si>
  <si>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</si>
  <si>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</si>
  <si>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</si>
  <si>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</si>
  <si>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</si>
  <si>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</si>
  <si>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</si>
  <si>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</si>
  <si>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</si>
  <si>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</si>
  <si>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</si>
  <si>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</si>
  <si>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</si>
  <si>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</si>
  <si>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</si>
  <si>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</si>
  <si>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</si>
  <si>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</si>
  <si>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</si>
  <si>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</si>
  <si>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</si>
  <si>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</si>
  <si>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</si>
  <si>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</si>
  <si>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</si>
  <si>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</si>
  <si>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</si>
  <si>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</si>
  <si>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</si>
  <si>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</si>
  <si>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</si>
  <si>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</si>
  <si>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</si>
  <si>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</si>
  <si>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</si>
  <si>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</si>
  <si>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</si>
  <si>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</si>
  <si>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</si>
  <si>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</si>
  <si>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</si>
  <si>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</si>
  <si>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</si>
  <si>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</si>
  <si>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</si>
  <si>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</si>
  <si>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</si>
  <si>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</si>
  <si>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</si>
  <si>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</si>
  <si>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</si>
  <si>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</si>
  <si>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</si>
  <si>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</si>
  <si>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</si>
  <si>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</si>
  <si>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</si>
  <si>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</si>
  <si>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</si>
  <si>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</si>
  <si>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</si>
  <si>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</si>
  <si>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</si>
  <si>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</si>
  <si>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</si>
  <si>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</si>
  <si>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</si>
  <si>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</si>
  <si>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</si>
  <si>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</si>
  <si>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</si>
  <si>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</si>
  <si>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</si>
  <si>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</si>
  <si>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</si>
  <si>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</si>
  <si>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</si>
  <si>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</si>
  <si>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</si>
  <si>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</si>
  <si>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</si>
  <si>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</si>
  <si>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</si>
  <si>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</si>
  <si>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</si>
  <si>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</si>
  <si>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</si>
  <si>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</si>
  <si>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</si>
  <si>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</si>
  <si>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</si>
  <si>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</si>
  <si>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</si>
  <si>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</si>
  <si>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</si>
  <si>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</si>
  <si>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</si>
  <si>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</si>
  <si>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</si>
  <si>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</si>
  <si>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</si>
  <si>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</si>
  <si>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</si>
  <si>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</si>
  <si>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</si>
  <si>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</si>
  <si>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</si>
  <si>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</si>
  <si>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</si>
  <si>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</si>
  <si>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</si>
  <si>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</si>
  <si>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</si>
  <si>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</si>
  <si>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</si>
  <si>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</si>
  <si>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</si>
  <si>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</si>
  <si>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</si>
  <si>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</si>
  <si>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</si>
  <si>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</si>
  <si>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</si>
  <si>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</si>
  <si>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</si>
  <si>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</si>
  <si>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</si>
  <si>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</si>
  <si>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</si>
  <si>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</si>
  <si>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</si>
  <si>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</si>
  <si>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</si>
  <si>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</si>
  <si>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</si>
  <si>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</si>
  <si>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</si>
  <si>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</si>
  <si>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</si>
  <si>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</si>
  <si>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</si>
  <si>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</si>
  <si>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</si>
  <si>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</si>
  <si>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</si>
  <si>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</si>
  <si>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</si>
  <si>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</si>
  <si>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</si>
  <si>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</si>
  <si>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</si>
  <si>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</si>
  <si>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</si>
  <si>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</si>
  <si>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</si>
  <si>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</si>
  <si>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</si>
  <si>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</si>
  <si>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</si>
  <si>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</si>
  <si>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</si>
  <si>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</si>
  <si>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</si>
  <si>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</si>
  <si>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</si>
  <si>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</si>
  <si>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</si>
  <si>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</si>
  <si>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</si>
  <si>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</si>
  <si>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</si>
  <si>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</si>
  <si>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</si>
  <si>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</si>
  <si>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</si>
  <si>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</si>
  <si>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</si>
  <si>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</si>
  <si>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</si>
  <si>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</si>
  <si>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</si>
  <si>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</si>
  <si>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</si>
  <si>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</si>
  <si>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</si>
  <si>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</si>
  <si>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</si>
  <si>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</si>
  <si>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</si>
  <si>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</si>
  <si>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</si>
  <si>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</si>
  <si>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</si>
  <si>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</si>
  <si>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</si>
  <si>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</si>
  <si>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</si>
  <si>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</si>
  <si>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</si>
  <si>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</si>
  <si>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</si>
  <si>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</si>
  <si>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</si>
  <si>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</si>
  <si>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</si>
  <si>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</si>
  <si>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</si>
  <si>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</si>
  <si>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</si>
  <si>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</si>
  <si>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</si>
  <si>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</si>
  <si>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</si>
  <si>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</si>
  <si>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</si>
  <si>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</si>
  <si>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</si>
  <si>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</si>
  <si>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</si>
  <si>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</si>
  <si>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</si>
  <si>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</si>
  <si>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</si>
  <si>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</si>
  <si>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</si>
  <si>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</si>
  <si>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</si>
  <si>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</si>
  <si>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</si>
  <si>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</si>
  <si>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</si>
  <si>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</si>
  <si>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</si>
  <si>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</si>
  <si>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</si>
  <si>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</si>
  <si>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</si>
  <si>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</si>
  <si>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</si>
  <si>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</si>
  <si>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</si>
  <si>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</si>
  <si>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</si>
  <si>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</si>
  <si>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</si>
  <si>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</si>
  <si>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</si>
  <si>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</si>
  <si>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</si>
  <si>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</si>
  <si>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</si>
  <si>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</si>
  <si>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</si>
  <si>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</si>
  <si>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</si>
  <si>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</si>
  <si>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</si>
  <si>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</si>
  <si>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</si>
  <si>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</si>
  <si>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</si>
  <si>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</si>
  <si>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</si>
  <si>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</si>
  <si>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</si>
  <si>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</si>
  <si>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</si>
  <si>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</si>
  <si>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</si>
  <si>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</si>
  <si>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</si>
  <si>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</si>
  <si>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</si>
  <si>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</si>
  <si>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</si>
  <si>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</si>
  <si>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</si>
  <si>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</si>
  <si>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</si>
  <si>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</si>
  <si>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</si>
  <si>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</si>
  <si>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</si>
  <si>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</si>
  <si>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</si>
  <si>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</si>
  <si>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</si>
  <si>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</si>
  <si>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</si>
  <si>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</si>
  <si>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</si>
  <si>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</si>
  <si>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</si>
  <si>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</si>
  <si>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</si>
  <si>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</si>
  <si>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</si>
  <si>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</si>
  <si>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</si>
  <si>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</si>
  <si>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</si>
  <si>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</si>
  <si>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</si>
  <si>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</si>
  <si>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</si>
  <si>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</si>
  <si>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</si>
  <si>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</si>
  <si>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</si>
  <si>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</si>
  <si>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</si>
  <si>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</si>
  <si>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</si>
  <si>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</si>
  <si>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</si>
  <si>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</si>
  <si>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</si>
  <si>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</si>
  <si>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</si>
  <si>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</si>
  <si>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</si>
  <si>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</si>
  <si>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</si>
  <si>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</si>
  <si>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</si>
  <si>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</si>
  <si>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</si>
  <si>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</si>
  <si>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</si>
  <si>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</si>
  <si>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</si>
  <si>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</si>
  <si>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</si>
  <si>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</si>
  <si>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</si>
  <si>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</si>
  <si>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</si>
  <si>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</si>
  <si>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</si>
  <si>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</si>
  <si>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</si>
  <si>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</si>
  <si>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</si>
  <si>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</si>
  <si>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</si>
  <si>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</si>
  <si>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</si>
  <si>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</si>
  <si>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</si>
  <si>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</si>
  <si>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</si>
  <si>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</si>
  <si>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</si>
  <si>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</si>
  <si>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</si>
  <si>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</si>
  <si>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</si>
  <si>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</si>
  <si>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</si>
  <si>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</si>
  <si>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</si>
  <si>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</si>
  <si>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</si>
  <si>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</si>
  <si>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</si>
  <si>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</si>
  <si>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</si>
  <si>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</si>
  <si>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</si>
  <si>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</si>
  <si>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</si>
  <si>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</si>
  <si>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</si>
  <si>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</si>
  <si>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</si>
  <si>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</si>
  <si>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</si>
  <si>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</si>
  <si>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</si>
  <si>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</si>
  <si>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</si>
  <si>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</si>
  <si>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</si>
  <si>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</si>
  <si>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</si>
  <si>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</si>
  <si>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</si>
  <si>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</si>
  <si>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</si>
  <si>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</si>
  <si>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</si>
  <si>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</si>
  <si>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</si>
  <si>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</si>
  <si>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</si>
  <si>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</si>
  <si>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</si>
  <si>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</si>
  <si>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</si>
  <si>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</si>
  <si>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</si>
  <si>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</si>
  <si>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</si>
  <si>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</si>
  <si>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</si>
  <si>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</si>
  <si>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</si>
  <si>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</si>
  <si>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</si>
  <si>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</si>
  <si>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</si>
  <si>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</si>
  <si>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</si>
  <si>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</si>
  <si>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</si>
  <si>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</si>
  <si>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</si>
  <si>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</si>
  <si>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</si>
  <si>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</si>
  <si>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</si>
  <si>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</si>
  <si>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</si>
  <si>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</si>
  <si>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</si>
  <si>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</si>
  <si>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</si>
  <si>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</si>
  <si>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</si>
  <si>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</si>
  <si>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</si>
  <si>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</si>
  <si>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</si>
  <si>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</si>
  <si>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</si>
  <si>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</si>
  <si>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</si>
  <si>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</si>
  <si>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</si>
  <si>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</si>
  <si>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</si>
  <si>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</si>
  <si>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</si>
  <si>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</si>
  <si>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</si>
  <si>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</si>
  <si>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</si>
  <si>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</si>
  <si>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</si>
  <si>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</si>
  <si>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</si>
  <si>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</si>
  <si>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</si>
  <si>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</si>
  <si>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</si>
  <si>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</si>
  <si>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</si>
  <si>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</si>
  <si>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</si>
  <si>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</si>
  <si>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</si>
  <si>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</si>
  <si>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</si>
  <si>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</si>
  <si>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</si>
  <si>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</si>
  <si>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</si>
  <si>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</si>
  <si>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</si>
  <si>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</si>
  <si>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</si>
  <si>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</si>
  <si>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</si>
  <si>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</si>
  <si>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</si>
  <si>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</si>
  <si>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</si>
  <si>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</si>
  <si>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</si>
  <si>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</si>
  <si>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</si>
  <si>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</si>
  <si>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</si>
  <si>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</si>
  <si>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</si>
  <si>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</si>
  <si>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</si>
  <si>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</si>
  <si>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</si>
  <si>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</si>
  <si>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</si>
  <si>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</si>
  <si>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</si>
  <si>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</si>
  <si>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</si>
  <si>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</si>
  <si>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</si>
  <si>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</si>
  <si>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</si>
  <si>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</si>
  <si>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</si>
  <si>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</si>
  <si>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</si>
  <si>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</si>
  <si>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</si>
  <si>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</si>
  <si>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</si>
  <si>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</si>
  <si>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</si>
  <si>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</si>
  <si>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</si>
  <si>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</si>
  <si>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</si>
  <si>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</si>
  <si>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</si>
  <si>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</si>
  <si>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</si>
  <si>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</si>
  <si>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</si>
  <si>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</si>
  <si>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</si>
  <si>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</si>
  <si>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</si>
  <si>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</si>
  <si>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</si>
  <si>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</si>
  <si>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</si>
  <si>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</si>
  <si>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</si>
  <si>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</si>
  <si>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</si>
  <si>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</si>
  <si>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</si>
  <si>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</si>
  <si>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</si>
  <si>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</si>
  <si>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</si>
  <si>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</si>
  <si>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</si>
  <si>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</si>
  <si>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</si>
  <si>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</si>
  <si>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</si>
  <si>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</si>
  <si>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</si>
  <si>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</si>
  <si>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</si>
  <si>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</si>
  <si>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</si>
  <si>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</si>
  <si>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</si>
  <si>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</si>
  <si>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</si>
  <si>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</si>
  <si>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</si>
  <si>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</si>
  <si>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</si>
  <si>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</si>
  <si>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</si>
  <si>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</si>
  <si>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</si>
  <si>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</si>
  <si>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</si>
  <si>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</si>
  <si>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</si>
  <si>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</si>
  <si>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</si>
  <si>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</si>
  <si>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</si>
  <si>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</si>
  <si>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</si>
  <si>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</si>
  <si>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</si>
  <si>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</si>
  <si>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</si>
  <si>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</si>
  <si>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</si>
  <si>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</si>
  <si>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</si>
  <si>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</si>
  <si>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</si>
  <si>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</si>
  <si>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</si>
  <si>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</si>
  <si>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</si>
  <si>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</si>
  <si>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</si>
  <si>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</si>
  <si>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</si>
  <si>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</si>
  <si>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</si>
  <si>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</si>
  <si>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</si>
  <si>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</si>
  <si>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</si>
  <si>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</si>
  <si>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</si>
  <si>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</si>
  <si>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</si>
  <si>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</si>
  <si>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</si>
  <si>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</si>
  <si>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</si>
  <si>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</si>
  <si>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</si>
  <si>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</si>
  <si>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</si>
  <si>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</si>
  <si>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</si>
  <si>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</si>
  <si>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</si>
  <si>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</si>
  <si>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</si>
  <si>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</si>
  <si>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</si>
  <si>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</si>
  <si>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</si>
  <si>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</si>
  <si>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</si>
  <si>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</si>
  <si>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</si>
  <si>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</si>
  <si>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</si>
  <si>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</si>
  <si>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</si>
  <si>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</si>
  <si>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</si>
  <si>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</si>
  <si>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</si>
  <si>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</si>
  <si>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</si>
  <si>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</si>
  <si>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</si>
  <si>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</si>
  <si>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</si>
  <si>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</si>
  <si>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</si>
  <si>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</si>
  <si>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</si>
  <si>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</si>
  <si>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</si>
  <si>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</si>
  <si>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</si>
  <si>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</si>
  <si>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</si>
  <si>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</si>
  <si>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</si>
  <si>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</si>
  <si>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</si>
  <si>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</si>
  <si>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</si>
  <si>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</si>
  <si>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</si>
  <si>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</si>
  <si>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</si>
  <si>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</si>
  <si>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</si>
  <si>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</si>
  <si>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</si>
  <si>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</si>
  <si>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</si>
  <si>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</si>
  <si>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</si>
  <si>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</si>
  <si>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</si>
  <si>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</si>
  <si>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</si>
  <si>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</si>
  <si>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</si>
  <si>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</si>
  <si>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</si>
  <si>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</si>
  <si>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</si>
  <si>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</si>
  <si>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</si>
  <si>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</si>
  <si>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</si>
  <si>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</si>
  <si>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</si>
  <si>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</si>
  <si>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</si>
  <si>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</si>
  <si>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</si>
  <si>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</si>
  <si>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</si>
  <si>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</si>
  <si>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</si>
  <si>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</si>
  <si>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</si>
  <si>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</si>
  <si>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</si>
  <si>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</si>
  <si>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</si>
  <si>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</si>
  <si>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</si>
  <si>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</si>
  <si>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</si>
  <si>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</si>
  <si>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</si>
  <si>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</si>
  <si>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</si>
  <si>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</si>
  <si>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</si>
  <si>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</si>
  <si>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</si>
  <si>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</si>
  <si>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</si>
  <si>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</si>
  <si>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</si>
  <si>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</si>
  <si>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</si>
  <si>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</si>
  <si>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</si>
  <si>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</si>
  <si>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</si>
  <si>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</si>
  <si>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</si>
  <si>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</si>
  <si>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</si>
  <si>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</si>
  <si>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</si>
  <si>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</si>
  <si>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</si>
  <si>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</si>
  <si>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</si>
  <si>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</si>
  <si>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</si>
  <si>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</si>
  <si>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</si>
  <si>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</si>
  <si>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</si>
  <si>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</si>
  <si>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</si>
  <si>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</si>
  <si>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</si>
  <si>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</si>
  <si>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</si>
  <si>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</si>
  <si>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</si>
  <si>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</si>
  <si>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</si>
  <si>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</si>
  <si>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</si>
  <si>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</si>
  <si>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</si>
  <si>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</si>
  <si>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</si>
  <si>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</si>
  <si>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</si>
  <si>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</si>
  <si>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</si>
  <si>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</si>
  <si>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</si>
  <si>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</si>
  <si>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</si>
  <si>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</si>
  <si>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</si>
  <si>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</si>
  <si>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</si>
  <si>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</si>
  <si>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</si>
  <si>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</si>
  <si>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</si>
  <si>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</si>
  <si>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</si>
  <si>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</si>
  <si>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</si>
  <si>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</si>
  <si>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</si>
  <si>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</si>
  <si>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</si>
  <si>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</si>
  <si>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</si>
  <si>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</si>
  <si>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</si>
  <si>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</si>
  <si>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</si>
  <si>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</si>
  <si>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</si>
  <si>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</si>
  <si>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</si>
  <si>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</si>
  <si>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</si>
  <si>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</si>
  <si>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</si>
  <si>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</si>
  <si>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</si>
  <si>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</si>
  <si>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</si>
  <si>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</si>
  <si>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</si>
  <si>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</si>
  <si>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</si>
  <si>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</si>
  <si>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</si>
  <si>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</si>
  <si>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</si>
  <si>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</si>
  <si>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</si>
  <si>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</si>
  <si>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</si>
  <si>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</si>
  <si>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</si>
  <si>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</si>
  <si>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</si>
  <si>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</si>
  <si>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</si>
  <si>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</si>
  <si>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</si>
  <si>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</si>
  <si>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</si>
  <si>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</si>
  <si>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</si>
  <si>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</si>
  <si>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</si>
  <si>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</si>
  <si>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</si>
  <si>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</si>
  <si>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</si>
  <si>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</si>
  <si>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</si>
  <si>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</si>
  <si>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</si>
  <si>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</si>
  <si>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</si>
  <si>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</si>
  <si>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</si>
  <si>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</si>
  <si>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</si>
  <si>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</si>
  <si>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</si>
  <si>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</si>
  <si>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</si>
  <si>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</si>
  <si>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</si>
  <si>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</si>
  <si>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</si>
  <si>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</si>
  <si>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</si>
  <si>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</si>
  <si>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</si>
  <si>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</si>
  <si>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</si>
  <si>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</si>
  <si>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</si>
  <si>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</si>
  <si>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</si>
  <si>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</si>
  <si>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</si>
  <si>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</si>
  <si>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</si>
  <si>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</si>
  <si>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</si>
  <si>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</si>
  <si>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</si>
  <si>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</si>
  <si>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</si>
  <si>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</si>
  <si>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</si>
  <si>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</si>
  <si>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</si>
  <si>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</si>
  <si>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</si>
  <si>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</si>
  <si>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</si>
  <si>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</si>
  <si>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</si>
  <si>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</si>
  <si>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</si>
  <si>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</si>
  <si>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</si>
  <si>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</si>
  <si>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</si>
  <si>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</si>
  <si>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</si>
  <si>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</si>
  <si>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</si>
  <si>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</si>
  <si>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</si>
  <si>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</si>
  <si>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</si>
  <si>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</si>
  <si>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</si>
  <si>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</si>
  <si>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</si>
  <si>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</si>
  <si>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</si>
  <si>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</si>
  <si>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</si>
  <si>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</si>
  <si>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</si>
  <si>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</si>
  <si>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</si>
  <si>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</si>
  <si>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</si>
  <si>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</si>
  <si>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</si>
  <si>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</si>
  <si>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</si>
  <si>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</si>
  <si>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</si>
  <si>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</si>
  <si>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</si>
  <si>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</si>
  <si>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</si>
  <si>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</si>
  <si>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</si>
  <si>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</si>
  <si>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</si>
  <si>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</si>
  <si>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</si>
  <si>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</si>
  <si>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</si>
  <si>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</si>
  <si>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</si>
  <si>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</si>
  <si>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</si>
  <si>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</si>
  <si>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</si>
  <si>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</si>
  <si>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</si>
  <si>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</si>
  <si>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</si>
  <si>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</si>
  <si>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</si>
  <si>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</si>
  <si>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</si>
  <si>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</si>
  <si>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</si>
  <si>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</si>
  <si>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</si>
  <si>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</si>
  <si>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</si>
  <si>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</si>
  <si>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</si>
  <si>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</si>
  <si>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</si>
  <si>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</si>
  <si>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</si>
  <si>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</si>
  <si>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</si>
  <si>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</si>
  <si>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</si>
  <si>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</si>
  <si>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</si>
  <si>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</si>
  <si>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</si>
  <si>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</si>
  <si>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</si>
  <si>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</si>
  <si>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</si>
  <si>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</si>
  <si>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</si>
  <si>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</si>
  <si>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</si>
  <si>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</si>
  <si>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</si>
  <si>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</si>
  <si>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</si>
  <si>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</si>
  <si>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</si>
  <si>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</si>
  <si>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</si>
  <si>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</si>
  <si>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</si>
  <si>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</si>
  <si>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</si>
  <si>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</si>
  <si>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</si>
  <si>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</si>
  <si>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</si>
  <si>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</si>
  <si>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</si>
  <si>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</si>
  <si>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</si>
  <si>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</si>
  <si>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</si>
  <si>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</si>
  <si>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</si>
  <si>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</si>
  <si>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</si>
  <si>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</si>
  <si>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</si>
  <si>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</si>
  <si>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</si>
  <si>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</si>
  <si>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</si>
  <si>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</si>
  <si>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</si>
  <si>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</si>
  <si>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</si>
  <si>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</si>
  <si>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</si>
  <si>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</si>
  <si>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</si>
  <si>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</si>
  <si>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</si>
  <si>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</si>
  <si>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</si>
  <si>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</si>
  <si>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</si>
  <si>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</si>
  <si>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</si>
  <si>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</si>
  <si>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</si>
  <si>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</si>
  <si>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</si>
  <si>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</si>
  <si>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</si>
  <si>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</si>
  <si>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</si>
  <si>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</si>
  <si>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</si>
  <si>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</si>
  <si>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</si>
  <si>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</si>
  <si>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</si>
  <si>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</si>
  <si>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</si>
  <si>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</si>
  <si>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</si>
  <si>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</si>
  <si>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</si>
  <si>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</si>
  <si>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</si>
  <si>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</si>
  <si>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</si>
  <si>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</si>
  <si>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</si>
  <si>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</si>
  <si>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</si>
  <si>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</si>
  <si>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</si>
  <si>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</si>
  <si>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</si>
  <si>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</si>
  <si>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</si>
  <si>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</si>
  <si>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</si>
  <si>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</si>
  <si>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</si>
  <si>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</si>
  <si>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</si>
  <si>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</si>
  <si>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</si>
  <si>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</si>
  <si>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</si>
  <si>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</si>
  <si>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</si>
  <si>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</si>
  <si>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</si>
  <si>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</si>
  <si>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</si>
  <si>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</si>
  <si>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</si>
  <si>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</si>
  <si>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</si>
  <si>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</si>
  <si>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</si>
  <si>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</si>
  <si>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</si>
  <si>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</si>
  <si>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</si>
  <si>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</si>
  <si>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</si>
  <si>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</si>
  <si>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</si>
  <si>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</si>
  <si>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</si>
  <si>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</si>
  <si>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</si>
  <si>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</si>
  <si>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</si>
  <si>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</si>
  <si>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</si>
  <si>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</si>
  <si>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</si>
  <si>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</si>
  <si>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</si>
  <si>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</si>
  <si>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</si>
  <si>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</si>
  <si>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</si>
  <si>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</si>
  <si>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</si>
  <si>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</si>
  <si>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</si>
  <si>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</si>
  <si>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</si>
  <si>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</si>
  <si>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</si>
  <si>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</si>
  <si>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</si>
  <si>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</si>
  <si>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</si>
  <si>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</si>
  <si>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</si>
  <si>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</si>
  <si>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</si>
  <si>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</si>
  <si>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</si>
  <si>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</si>
  <si>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</si>
  <si>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</si>
  <si>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</si>
  <si>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</si>
  <si>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</si>
  <si>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</si>
  <si>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</si>
  <si>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</si>
  <si>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</si>
  <si>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</si>
  <si>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</si>
  <si>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</si>
  <si>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</si>
  <si>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</si>
  <si>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</si>
  <si>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</si>
  <si>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</si>
  <si>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</si>
  <si>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</si>
  <si>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</si>
  <si>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</si>
  <si>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</si>
  <si>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</si>
  <si>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</si>
  <si>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</si>
  <si>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</si>
  <si>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</si>
  <si>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</si>
  <si>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</si>
  <si>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</si>
  <si>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</si>
  <si>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</si>
  <si>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</si>
  <si>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</si>
  <si>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</si>
  <si>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</si>
  <si>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</si>
  <si>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</si>
  <si>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</si>
  <si>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</si>
  <si>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</si>
  <si>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</si>
  <si>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</si>
  <si>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</si>
  <si>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</si>
  <si>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</si>
  <si>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</si>
  <si>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</si>
  <si>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</si>
  <si>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</si>
  <si>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</si>
  <si>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</si>
  <si>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</si>
  <si>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</si>
  <si>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</si>
  <si>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</si>
  <si>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</si>
  <si>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</si>
  <si>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</si>
  <si>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</si>
  <si>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</si>
  <si>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</si>
  <si>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</si>
  <si>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</si>
  <si>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</si>
  <si>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</si>
  <si>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</si>
  <si>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</si>
  <si>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</si>
  <si>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</si>
  <si>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</si>
  <si>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</si>
  <si>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</si>
  <si>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</si>
  <si>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</si>
  <si>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</si>
  <si>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</si>
  <si>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</si>
  <si>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</si>
  <si>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</si>
  <si>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</si>
  <si>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</si>
  <si>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</si>
  <si>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</si>
  <si>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</si>
  <si>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</si>
  <si>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</si>
  <si>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</si>
  <si>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</si>
  <si>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</si>
  <si>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</si>
  <si>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</si>
  <si>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</si>
  <si>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</si>
  <si>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</si>
  <si>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</si>
  <si>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</si>
  <si>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</si>
  <si>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</si>
  <si>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</si>
  <si>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</si>
  <si>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</si>
  <si>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</si>
  <si>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</si>
  <si>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</si>
  <si>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</si>
  <si>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</si>
  <si>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</si>
  <si>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</si>
  <si>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</si>
  <si>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</si>
  <si>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</si>
  <si>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</si>
  <si>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</si>
  <si>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</si>
  <si>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</si>
  <si>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Lori Salmi</t>
  </si>
  <si>
    <t>112 S Main Street</t>
  </si>
  <si>
    <t>Washington</t>
  </si>
  <si>
    <t>IL</t>
  </si>
  <si>
    <t>066-004355</t>
  </si>
  <si>
    <t>lsalmi@psa-cpa.com</t>
  </si>
  <si>
    <t>X</t>
  </si>
  <si>
    <t>Tazewell</t>
  </si>
  <si>
    <t>303 Jackson</t>
  </si>
  <si>
    <t xml:space="preserve">Washington  </t>
  </si>
  <si>
    <t>pminasian@d52schools.com</t>
  </si>
  <si>
    <t>Patreak Minasian</t>
  </si>
  <si>
    <t>(309) 444-4182</t>
  </si>
  <si>
    <t>(309) 444-4909</t>
  </si>
  <si>
    <t>(309) 444-8580</t>
  </si>
  <si>
    <t>GO Limited Bond, Series 2013A</t>
  </si>
  <si>
    <t>GO Refunding Bonds, Series 2013B</t>
  </si>
  <si>
    <t>GO Limited Bond, Series 2017</t>
  </si>
  <si>
    <t>District 50 Schools and Central School District 51</t>
  </si>
  <si>
    <t>Heart of Illinois Educators Cooperative</t>
  </si>
  <si>
    <t>ISDLAF+</t>
  </si>
  <si>
    <t>Tazewell Mason County Special Education Association</t>
  </si>
  <si>
    <t>x</t>
  </si>
  <si>
    <t>Page 10</t>
  </si>
  <si>
    <t>1790 - Education - Other District/School Activity Revenue</t>
  </si>
  <si>
    <t>Student Participation fees</t>
  </si>
  <si>
    <t>Page 11</t>
  </si>
  <si>
    <t>1999 - Education - Other Local Revenue</t>
  </si>
  <si>
    <t>E-Rate Reimbursements</t>
  </si>
  <si>
    <t>Page 15</t>
  </si>
  <si>
    <t>2190 (100) Education - Other Support Services - Pupils</t>
  </si>
  <si>
    <t>Playground Supervision/Crossing Guards</t>
  </si>
  <si>
    <t>2190 (200) - Education - Other Support Services - Pupils</t>
  </si>
  <si>
    <t>Benefits - Supervision</t>
  </si>
  <si>
    <t>2190 (300) - Education - Other Support Services - Pupils</t>
  </si>
  <si>
    <t>Aramark Labor</t>
  </si>
  <si>
    <t>Vision &amp; hearing screening</t>
  </si>
  <si>
    <t>TMCSEA PT/OT</t>
  </si>
  <si>
    <t>Nursing Services</t>
  </si>
  <si>
    <t>2190 (400) - Education - Other Support Services - Pupils</t>
  </si>
  <si>
    <t>Visual Art Supplies</t>
  </si>
  <si>
    <t>Page 16</t>
  </si>
  <si>
    <t>2490 (400) - Education - Other Support Services - Pupils</t>
  </si>
  <si>
    <t>Curriculum Director Supplies</t>
  </si>
  <si>
    <t>2490 (600) - Education - Other Support Services - School Admin</t>
  </si>
  <si>
    <t>Curriculum Director Dues/fees</t>
  </si>
  <si>
    <t xml:space="preserve">Page 18 </t>
  </si>
  <si>
    <t>5400 (600) - Debt Services - Debt Services Other</t>
  </si>
  <si>
    <t>Service Fee on bonds</t>
  </si>
  <si>
    <t>Page 19</t>
  </si>
  <si>
    <t>2190 (200) - MR/SS - Other Support Services - Pupils</t>
  </si>
  <si>
    <t>Page 20</t>
  </si>
  <si>
    <t>2490 (200) - MR/SS - Other Support Services - School Admin</t>
  </si>
  <si>
    <t>Benefits - Curriculum Director</t>
  </si>
  <si>
    <t>See PDF at Opinion - Notes 36 Tab</t>
  </si>
  <si>
    <t>Aramark</t>
  </si>
  <si>
    <t>Allen Transportation</t>
  </si>
  <si>
    <t>Children's Home</t>
  </si>
  <si>
    <t>Entec Services</t>
  </si>
  <si>
    <t>OSF Faith Nursing Program</t>
  </si>
  <si>
    <t>KAEB</t>
  </si>
  <si>
    <t>Midwest Transit</t>
  </si>
  <si>
    <t>ED - Food Services - Purchased Services</t>
  </si>
  <si>
    <t>TR - Pupil Transportation Services - Purchased Services</t>
  </si>
  <si>
    <t>ED - Support Services - Pupils - Purchased Services</t>
  </si>
  <si>
    <t>O&amp;M - O&amp;M of Plant Services - Purchased Services</t>
  </si>
  <si>
    <t xml:space="preserve">   Washington SD 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</si>
</sst>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xf numFmtId="0" fontId="3" fillId="0" borderId="0"/>
    <xf numFmtId="0" fontId="11" fillId="0" borderId="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1" fillId="0" borderId="0" applyFont="0" applyFill="0" applyBorder="0" applyAlignment="0" applyProtection="0"/>
  </cellStyleXfs>
  <cellXfs count="262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185" fontId="58" fillId="0" borderId="0" xfId="21" applyNumberFormat="1" applyFont="1"/>
    <xf numFmtId="185" fontId="63" fillId="0" borderId="0" xfId="21" applyNumberFormat="1" applyFont="1"/>
    <xf numFmtId="0" fontId="11" fillId="0" borderId="0" xfId="23"/>
    <xf numFmtId="0" fontId="63" fillId="0" borderId="0" xfId="23" applyFont="1"/>
    <xf numFmtId="164" fontId="63" fillId="0" borderId="0" xfId="23" applyNumberFormat="1" applyFont="1"/>
    <xf numFmtId="164" fontId="58" fillId="0" borderId="0" xfId="23" applyNumberFormat="1" applyFont="1"/>
    <xf numFmtId="185" fontId="63" fillId="0" borderId="0" xfId="32" applyNumberFormat="1" applyFont="1"/>
    <xf numFmtId="0" fontId="2" fillId="0" borderId="155" xfId="19" applyFont="1" applyFill="1" applyBorder="1" applyAlignment="1" applyProtection="1">
      <alignment horizontal="left" vertical="top" wrapText="1"/>
    </xf>
    <xf numFmtId="184" fontId="2" fillId="0" borderId="155" xfId="19" applyNumberFormat="1" applyFont="1" applyFill="1" applyBorder="1" applyAlignment="1" applyProtection="1">
      <alignment horizontal="center" vertical="top"/>
    </xf>
    <xf numFmtId="0" fontId="2" fillId="0" borderId="155" xfId="19" applyFont="1" applyFill="1" applyBorder="1" applyAlignment="1" applyProtection="1">
      <alignment vertical="top"/>
    </xf>
    <xf numFmtId="38" fontId="2" fillId="0" borderId="155" xfId="19" applyNumberFormat="1" applyFont="1" applyFill="1" applyBorder="1" applyAlignment="1" applyProtection="1">
      <alignment horizontal="right" vertical="top"/>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6" fontId="63" fillId="0" borderId="0" xfId="1" applyNumberFormat="1" applyFont="1"/>
    <xf numFmtId="186" fontId="63" fillId="0" borderId="78" xfId="1" applyNumberFormat="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3">
    <cellStyle name="Comma" xfId="1" builtinId="3"/>
    <cellStyle name="Comma 2" xfId="24" xr:uid="{00000000-0005-0000-0000-000001000000}"/>
    <cellStyle name="Currency" xfId="21" builtinId="4"/>
    <cellStyle name="Currency 2" xfId="32" xr:uid="{00000000-0005-0000-0000-000003000000}"/>
    <cellStyle name="Hyperlink" xfId="2" builtinId="8"/>
    <cellStyle name="Hyperlink 2" xfId="15" xr:uid="{00000000-0005-0000-0000-000005000000}"/>
    <cellStyle name="Normal" xfId="0" builtinId="0"/>
    <cellStyle name="Normal 2" xfId="3" xr:uid="{00000000-0005-0000-0000-000007000000}"/>
    <cellStyle name="Normal 3" xfId="4" xr:uid="{00000000-0005-0000-0000-000008000000}"/>
    <cellStyle name="Normal 3 2" xfId="14" xr:uid="{00000000-0005-0000-0000-000009000000}"/>
    <cellStyle name="Normal 3 2 2" xfId="18" xr:uid="{00000000-0005-0000-0000-00000A000000}"/>
    <cellStyle name="Normal 3 2 2 2" xfId="29" xr:uid="{00000000-0005-0000-0000-00000B000000}"/>
    <cellStyle name="Normal 3 2 3" xfId="26" xr:uid="{00000000-0005-0000-0000-00000C000000}"/>
    <cellStyle name="Normal 3 3" xfId="25" xr:uid="{00000000-0005-0000-0000-00000D000000}"/>
    <cellStyle name="Normal 4" xfId="16" xr:uid="{00000000-0005-0000-0000-00000E000000}"/>
    <cellStyle name="Normal 4 2" xfId="27" xr:uid="{00000000-0005-0000-0000-00000F000000}"/>
    <cellStyle name="Normal 5" xfId="17" xr:uid="{00000000-0005-0000-0000-000010000000}"/>
    <cellStyle name="Normal 5 2" xfId="19" xr:uid="{00000000-0005-0000-0000-000011000000}"/>
    <cellStyle name="Normal 5 2 2" xfId="30" xr:uid="{00000000-0005-0000-0000-000012000000}"/>
    <cellStyle name="Normal 5 3" xfId="28" xr:uid="{00000000-0005-0000-0000-000013000000}"/>
    <cellStyle name="Normal 6" xfId="20" xr:uid="{00000000-0005-0000-0000-000014000000}"/>
    <cellStyle name="Normal 6 2" xfId="31" xr:uid="{00000000-0005-0000-0000-000015000000}"/>
    <cellStyle name="Normal 7" xfId="23" xr:uid="{00000000-0005-0000-0000-000016000000}"/>
    <cellStyle name="Normal 8" xfId="22" xr:uid="{00000000-0005-0000-0000-000017000000}"/>
    <cellStyle name="Normal_AFRPG3" xfId="5" xr:uid="{00000000-0005-0000-0000-000018000000}"/>
    <cellStyle name="Normal_AFRPG41" xfId="6" xr:uid="{00000000-0005-0000-0000-000019000000}"/>
    <cellStyle name="Normal_AFRPG47" xfId="7" xr:uid="{00000000-0005-0000-0000-00001A000000}"/>
    <cellStyle name="Normal_AFRPG56" xfId="8" xr:uid="{00000000-0005-0000-0000-00001B000000}"/>
    <cellStyle name="Normal_AFRPG59" xfId="9" xr:uid="{00000000-0005-0000-0000-00001C000000}"/>
    <cellStyle name="Normal_AFRPG63" xfId="10" xr:uid="{00000000-0005-0000-0000-00001D000000}"/>
    <cellStyle name="Normal_AFRPG64" xfId="11" xr:uid="{00000000-0005-0000-0000-00001E000000}"/>
    <cellStyle name="Normal_COVER" xfId="12" xr:uid="{00000000-0005-0000-0000-00001F000000}"/>
    <cellStyle name="Normal_THRESHOLD CALCULATOR v3" xfId="13" xr:uid="{00000000-0005-0000-0000-00002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3457575</xdr:colOff>
          <xdr:row>1</xdr:row>
          <xdr:rowOff>57150</xdr:rowOff>
        </xdr:from>
        <xdr:to>
          <xdr:col>2</xdr:col>
          <xdr:colOff>390525</xdr:colOff>
          <xdr:row>5</xdr:row>
          <xdr:rowOff>95250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1</xdr:row>
          <xdr:rowOff>133350</xdr:rowOff>
        </xdr:from>
        <xdr:to>
          <xdr:col>1</xdr:col>
          <xdr:colOff>2266950</xdr:colOff>
          <xdr:row>6</xdr:row>
          <xdr:rowOff>9525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831" t="str">
        <f>"Due to ISBE on "</f>
        <v xml:space="preserve">Due to ISBE on </v>
      </c>
      <c r="B2" s="2130">
        <f>+'AFR20'!F4</f>
        <v>44151</v>
      </c>
      <c r="C2" s="2130"/>
      <c r="D2" s="2131"/>
      <c r="I2" s="2089" t="s">
        <v>2003</v>
      </c>
      <c r="J2" s="2088"/>
      <c r="K2" s="2088"/>
      <c r="L2" s="2088"/>
      <c r="M2" s="2088"/>
      <c r="N2" s="2088"/>
      <c r="O2" s="2088"/>
      <c r="P2" s="2088"/>
      <c r="Q2" s="2088"/>
      <c r="R2" s="2088"/>
      <c r="S2" s="2088"/>
    </row>
    <row r="3" spans="1:32" ht="12" customHeight="1" x14ac:dyDescent="0.2">
      <c r="A3" s="1834"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2055</v>
      </c>
      <c r="C5" s="26" t="s">
        <v>904</v>
      </c>
      <c r="D5" s="81"/>
      <c r="E5" s="81"/>
      <c r="H5" s="38"/>
      <c r="I5" s="2097" t="s">
        <v>675</v>
      </c>
      <c r="J5" s="2096"/>
      <c r="K5" s="2096"/>
      <c r="L5" s="2096"/>
      <c r="M5" s="2096"/>
      <c r="N5" s="2096"/>
      <c r="O5" s="2096"/>
      <c r="P5" s="2096"/>
      <c r="Q5" s="2096"/>
      <c r="R5" s="2096"/>
      <c r="S5" s="2096"/>
      <c r="AF5" s="1827"/>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t="s">
        <v>2055</v>
      </c>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53090052002</v>
      </c>
      <c r="B13" s="2109"/>
      <c r="C13" s="2109"/>
      <c r="D13" s="2109"/>
      <c r="E13" s="2109"/>
      <c r="F13" s="2109"/>
      <c r="G13" s="2109"/>
      <c r="H13" s="2110"/>
      <c r="I13" s="31"/>
      <c r="J13" s="30"/>
      <c r="K13" s="28"/>
      <c r="L13" s="30"/>
      <c r="M13" s="30"/>
      <c r="N13" s="30"/>
      <c r="O13" s="30"/>
      <c r="P13" s="30"/>
      <c r="Q13" s="30"/>
      <c r="R13" s="30"/>
      <c r="S13" s="30"/>
      <c r="T13" s="2114" t="s">
        <v>2048</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11" t="s">
        <v>2056</v>
      </c>
      <c r="B15" s="2112"/>
      <c r="C15" s="2112"/>
      <c r="D15" s="2112"/>
      <c r="E15" s="2112"/>
      <c r="F15" s="2112"/>
      <c r="G15" s="2112"/>
      <c r="H15" s="2113"/>
      <c r="T15" s="2118" t="s">
        <v>2049</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2115</v>
      </c>
      <c r="B17" s="2082"/>
      <c r="C17" s="2082"/>
      <c r="D17" s="2082"/>
      <c r="E17" s="2082"/>
      <c r="F17" s="2082"/>
      <c r="G17" s="2082"/>
      <c r="H17" s="2107"/>
      <c r="T17" s="2125" t="s">
        <v>2050</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2057</v>
      </c>
      <c r="B19" s="2067"/>
      <c r="C19" s="2067"/>
      <c r="D19" s="2067"/>
      <c r="E19" s="2067"/>
      <c r="F19" s="2067"/>
      <c r="G19" s="2067"/>
      <c r="H19" s="2047"/>
      <c r="I19" s="30"/>
      <c r="J19" s="96"/>
      <c r="K19" s="40"/>
      <c r="L19" s="38"/>
      <c r="M19" s="109" t="s">
        <v>312</v>
      </c>
      <c r="P19" s="27"/>
      <c r="Q19" s="27"/>
      <c r="R19" s="27"/>
      <c r="S19" s="31"/>
      <c r="T19" s="2111" t="s">
        <v>2051</v>
      </c>
      <c r="U19" s="2046"/>
      <c r="V19" s="2046"/>
      <c r="W19" s="2047"/>
      <c r="X19" s="2123" t="s">
        <v>2052</v>
      </c>
      <c r="Y19" s="2124"/>
      <c r="Z19" s="2121">
        <v>61571</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2058</v>
      </c>
      <c r="B21" s="2046"/>
      <c r="C21" s="2046"/>
      <c r="D21" s="2046"/>
      <c r="E21" s="2046"/>
      <c r="F21" s="2046"/>
      <c r="G21" s="2046"/>
      <c r="H21" s="2047"/>
      <c r="I21" s="2101" t="s">
        <v>673</v>
      </c>
      <c r="J21" s="2096"/>
      <c r="K21" s="2096"/>
      <c r="L21" s="2096"/>
      <c r="M21" s="2096"/>
      <c r="N21" s="2096"/>
      <c r="O21" s="2096"/>
      <c r="P21" s="2096"/>
      <c r="Q21" s="2096"/>
      <c r="R21" s="2096"/>
      <c r="S21" s="2102"/>
      <c r="T21" s="2136" t="s">
        <v>2062</v>
      </c>
      <c r="U21" s="2137"/>
      <c r="V21" s="2137"/>
      <c r="W21" s="2137"/>
      <c r="X21" s="2142" t="s">
        <v>2063</v>
      </c>
      <c r="Y21" s="2143"/>
      <c r="Z21" s="2143"/>
      <c r="AA21" s="2144"/>
    </row>
    <row r="22" spans="1:27" ht="13.5" customHeight="1" x14ac:dyDescent="0.2">
      <c r="A22" s="84" t="s">
        <v>528</v>
      </c>
      <c r="B22" s="56"/>
      <c r="C22" s="56"/>
      <c r="D22" s="56"/>
      <c r="E22" s="56"/>
      <c r="F22" s="56"/>
      <c r="G22" s="56"/>
      <c r="H22" s="57"/>
      <c r="I22" s="2103" t="s">
        <v>1415</v>
      </c>
      <c r="J22" s="2104"/>
      <c r="K22" s="2104"/>
      <c r="L22" s="2104"/>
      <c r="M22" s="2104"/>
      <c r="N22" s="2104"/>
      <c r="O22" s="2104"/>
      <c r="P22" s="2104"/>
      <c r="Q22" s="2104"/>
      <c r="R22" s="2104"/>
      <c r="S22" s="2105"/>
      <c r="T22" s="82" t="s">
        <v>1502</v>
      </c>
      <c r="U22" s="48"/>
      <c r="V22" s="69"/>
      <c r="W22" s="48"/>
      <c r="X22" s="155" t="s">
        <v>1309</v>
      </c>
      <c r="Z22" s="43"/>
      <c r="AA22" s="44"/>
    </row>
    <row r="23" spans="1:27" ht="13.5" customHeight="1" x14ac:dyDescent="0.2">
      <c r="A23" s="2098" t="s">
        <v>2059</v>
      </c>
      <c r="B23" s="2099"/>
      <c r="C23" s="2099"/>
      <c r="D23" s="2099"/>
      <c r="E23" s="2099"/>
      <c r="F23" s="2099"/>
      <c r="G23" s="2099"/>
      <c r="H23" s="2100"/>
      <c r="T23" s="2081" t="s">
        <v>2053</v>
      </c>
      <c r="U23" s="2135"/>
      <c r="V23" s="2135"/>
      <c r="W23" s="2135"/>
      <c r="X23" s="2139">
        <v>44530</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2019-2020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61571</v>
      </c>
      <c r="B25" s="2046"/>
      <c r="C25" s="2046"/>
      <c r="D25" s="2046"/>
      <c r="E25" s="2046"/>
      <c r="F25" s="2046"/>
      <c r="G25" s="2046"/>
      <c r="H25" s="2047"/>
      <c r="I25" s="110"/>
      <c r="J25" s="2070"/>
      <c r="K25" s="2070"/>
      <c r="L25" s="2070"/>
      <c r="M25" s="2070"/>
      <c r="N25" s="2070"/>
      <c r="O25" s="2070"/>
      <c r="P25" s="2070"/>
      <c r="Q25" s="2070"/>
      <c r="R25" s="2070"/>
      <c r="S25" s="2071"/>
      <c r="T25" s="2132" t="s">
        <v>2054</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6" t="s">
        <v>1497</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2055</v>
      </c>
      <c r="F29" s="137" t="s">
        <v>1307</v>
      </c>
      <c r="G29" s="111"/>
      <c r="I29" s="51"/>
      <c r="J29" s="99"/>
      <c r="K29" s="28" t="s">
        <v>572</v>
      </c>
      <c r="L29" s="144" t="s">
        <v>2055</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2055</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2055</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2060</v>
      </c>
      <c r="B38" s="2082"/>
      <c r="C38" s="2082"/>
      <c r="D38" s="2082"/>
      <c r="E38" s="2082"/>
      <c r="F38" s="2046"/>
      <c r="G38" s="2046"/>
      <c r="H38" s="2047"/>
      <c r="I38" s="2074"/>
      <c r="J38" s="2075"/>
      <c r="K38" s="2075"/>
      <c r="L38" s="2075"/>
      <c r="M38" s="2075"/>
      <c r="N38" s="2075"/>
      <c r="O38" s="2075"/>
      <c r="P38" s="2076"/>
      <c r="Q38" s="2076"/>
      <c r="R38" s="2076"/>
      <c r="S38" s="2077"/>
      <c r="T38" s="2118"/>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t="s">
        <v>2059</v>
      </c>
      <c r="B40" s="2060"/>
      <c r="C40" s="2061"/>
      <c r="D40" s="2061"/>
      <c r="E40" s="2061"/>
      <c r="F40" s="2062"/>
      <c r="G40" s="2062"/>
      <c r="H40" s="2063"/>
      <c r="I40" s="2084"/>
      <c r="J40" s="2085"/>
      <c r="K40" s="2085"/>
      <c r="L40" s="2085"/>
      <c r="M40" s="2085"/>
      <c r="N40" s="2085"/>
      <c r="O40" s="2085"/>
      <c r="P40" s="2085"/>
      <c r="Q40" s="2085"/>
      <c r="R40" s="2085"/>
      <c r="S40" s="2086"/>
      <c r="T40" s="2084"/>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t="s">
        <v>2061</v>
      </c>
      <c r="B42" s="2065"/>
      <c r="C42" s="2066"/>
      <c r="D42" s="2064"/>
      <c r="E42" s="2065"/>
      <c r="F42" s="2065"/>
      <c r="G42" s="2065"/>
      <c r="H42" s="2066"/>
      <c r="I42" s="2048"/>
      <c r="J42" s="2049"/>
      <c r="K42" s="2049"/>
      <c r="L42" s="2049"/>
      <c r="M42" s="2049"/>
      <c r="N42" s="2049"/>
      <c r="O42" s="2050"/>
      <c r="P42" s="2083"/>
      <c r="Q42" s="2049"/>
      <c r="R42" s="2049"/>
      <c r="S42" s="2050"/>
      <c r="T42" s="2048"/>
      <c r="U42" s="2049"/>
      <c r="V42" s="2049"/>
      <c r="W42" s="2050"/>
      <c r="X42" s="2083"/>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Normal="100" workbookViewId="0">
      <selection activeCell="H21" sqref="H2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1147</v>
      </c>
      <c r="B4" s="1721">
        <f>'Revenues 9-14'!C5</f>
        <v>3132446</v>
      </c>
      <c r="C4" s="1722"/>
      <c r="D4" s="1723">
        <f>B4-C4</f>
        <v>3132446</v>
      </c>
      <c r="E4" s="1722">
        <v>3165500</v>
      </c>
      <c r="F4" s="1723">
        <f>E4-C4</f>
        <v>3165500</v>
      </c>
    </row>
    <row r="5" spans="1:8" ht="13.7" customHeight="1" x14ac:dyDescent="0.2">
      <c r="A5" s="579" t="s">
        <v>865</v>
      </c>
      <c r="B5" s="1724">
        <f>'Revenues 9-14'!D5</f>
        <v>243678</v>
      </c>
      <c r="C5" s="1664"/>
      <c r="D5" s="1725">
        <f t="shared" ref="D5:D18" si="0">B5-C5</f>
        <v>243678</v>
      </c>
      <c r="E5" s="1664">
        <v>253264</v>
      </c>
      <c r="F5" s="1725">
        <f>E5-C5</f>
        <v>253264</v>
      </c>
    </row>
    <row r="6" spans="1:8" ht="13.7" customHeight="1" x14ac:dyDescent="0.2">
      <c r="A6" s="579" t="s">
        <v>408</v>
      </c>
      <c r="B6" s="1724">
        <f>'Revenues 9-14'!E5</f>
        <v>453859</v>
      </c>
      <c r="C6" s="1664"/>
      <c r="D6" s="1725">
        <f t="shared" si="0"/>
        <v>453859</v>
      </c>
      <c r="E6" s="1664">
        <v>458716</v>
      </c>
      <c r="F6" s="1725">
        <f t="shared" ref="F6:F18" si="1">E6-C6</f>
        <v>458716</v>
      </c>
    </row>
    <row r="7" spans="1:8" ht="13.7" customHeight="1" x14ac:dyDescent="0.2">
      <c r="A7" s="579" t="s">
        <v>154</v>
      </c>
      <c r="B7" s="1724">
        <f>'Revenues 9-14'!F5</f>
        <v>263363</v>
      </c>
      <c r="C7" s="1664"/>
      <c r="D7" s="1725">
        <f t="shared" si="0"/>
        <v>263363</v>
      </c>
      <c r="E7" s="1664">
        <v>301972</v>
      </c>
      <c r="F7" s="1725">
        <f t="shared" si="1"/>
        <v>301972</v>
      </c>
    </row>
    <row r="8" spans="1:8" ht="13.7" customHeight="1" x14ac:dyDescent="0.2">
      <c r="A8" s="579" t="s">
        <v>1171</v>
      </c>
      <c r="B8" s="1724">
        <f>'Revenues 9-14'!G5</f>
        <v>39002</v>
      </c>
      <c r="C8" s="1664"/>
      <c r="D8" s="1725">
        <f t="shared" si="0"/>
        <v>39002</v>
      </c>
      <c r="E8" s="1664">
        <v>47735</v>
      </c>
      <c r="F8" s="1725">
        <f t="shared" si="1"/>
        <v>47735</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4017</v>
      </c>
      <c r="C10" s="1664"/>
      <c r="D10" s="1725">
        <f t="shared" si="0"/>
        <v>4017</v>
      </c>
      <c r="E10" s="1664">
        <v>4400</v>
      </c>
      <c r="F10" s="1725">
        <f t="shared" si="1"/>
        <v>4400</v>
      </c>
    </row>
    <row r="11" spans="1:8" x14ac:dyDescent="0.2">
      <c r="A11" s="579" t="s">
        <v>406</v>
      </c>
      <c r="B11" s="1724">
        <f>'Revenues 9-14'!J5</f>
        <v>37058</v>
      </c>
      <c r="C11" s="1664"/>
      <c r="D11" s="1725">
        <f t="shared" si="0"/>
        <v>37058</v>
      </c>
      <c r="E11" s="1664">
        <v>37700</v>
      </c>
      <c r="F11" s="1725">
        <f t="shared" si="1"/>
        <v>37700</v>
      </c>
    </row>
    <row r="12" spans="1:8" ht="13.7" customHeight="1" x14ac:dyDescent="0.2">
      <c r="A12" s="579" t="s">
        <v>156</v>
      </c>
      <c r="B12" s="1724">
        <f>'Revenues 9-14'!K5</f>
        <v>29269</v>
      </c>
      <c r="C12" s="1664"/>
      <c r="D12" s="1725">
        <f t="shared" si="0"/>
        <v>29269</v>
      </c>
      <c r="E12" s="1664">
        <v>29240</v>
      </c>
      <c r="F12" s="1725">
        <f t="shared" si="1"/>
        <v>29240</v>
      </c>
    </row>
    <row r="13" spans="1:8" ht="13.7" customHeight="1" x14ac:dyDescent="0.2">
      <c r="A13" s="579" t="s">
        <v>930</v>
      </c>
      <c r="B13" s="1724">
        <f>SUM('Revenues 9-14'!C6:D6)</f>
        <v>2164</v>
      </c>
      <c r="C13" s="1664"/>
      <c r="D13" s="1725">
        <f t="shared" si="0"/>
        <v>2164</v>
      </c>
      <c r="E13" s="1664">
        <v>2254</v>
      </c>
      <c r="F13" s="1725">
        <f t="shared" si="1"/>
        <v>2254</v>
      </c>
    </row>
    <row r="14" spans="1:8" ht="13.7" customHeight="1" x14ac:dyDescent="0.2">
      <c r="A14" s="579" t="s">
        <v>407</v>
      </c>
      <c r="B14" s="1724">
        <f>SUM('Revenues 9-14'!C7:D7,'Revenues 9-14'!F7:H7)</f>
        <v>32182</v>
      </c>
      <c r="C14" s="1664"/>
      <c r="D14" s="1725">
        <f t="shared" si="0"/>
        <v>32182</v>
      </c>
      <c r="E14" s="1664">
        <v>33130</v>
      </c>
      <c r="F14" s="1725">
        <f t="shared" si="1"/>
        <v>33130</v>
      </c>
    </row>
    <row r="15" spans="1:8" ht="13.7" customHeight="1" x14ac:dyDescent="0.2">
      <c r="A15" s="579" t="s">
        <v>1150</v>
      </c>
      <c r="B15" s="1724">
        <f>SUM('Revenues 9-14'!D9:E9,'Revenues 9-14'!H9)</f>
        <v>0</v>
      </c>
      <c r="C15" s="1664"/>
      <c r="D15" s="1725">
        <f t="shared" si="0"/>
        <v>0</v>
      </c>
      <c r="E15" s="1664">
        <v>0</v>
      </c>
      <c r="F15" s="1725">
        <f t="shared" si="1"/>
        <v>0</v>
      </c>
    </row>
    <row r="16" spans="1:8" ht="13.7" customHeight="1" x14ac:dyDescent="0.2">
      <c r="A16" s="579" t="s">
        <v>1151</v>
      </c>
      <c r="B16" s="1724">
        <f>'Revenues 9-14'!G8</f>
        <v>143289</v>
      </c>
      <c r="C16" s="1664"/>
      <c r="D16" s="1725">
        <f t="shared" si="0"/>
        <v>143289</v>
      </c>
      <c r="E16" s="1664">
        <v>146123</v>
      </c>
      <c r="F16" s="1725">
        <f t="shared" si="1"/>
        <v>146123</v>
      </c>
    </row>
    <row r="17" spans="1:6" ht="13.7" customHeight="1" x14ac:dyDescent="0.2">
      <c r="A17" s="579" t="s">
        <v>1152</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1153</v>
      </c>
      <c r="B19" s="1726">
        <f>SUM(B4:B18)</f>
        <v>4380327</v>
      </c>
      <c r="C19" s="1726">
        <f>SUM(C4:C18)</f>
        <v>0</v>
      </c>
      <c r="D19" s="1726">
        <f>SUM(D4:D18)</f>
        <v>4380327</v>
      </c>
      <c r="E19" s="1726">
        <f>SUM(E4:E18)</f>
        <v>4480034</v>
      </c>
      <c r="F19" s="1726">
        <f>SUM(F4:F18)</f>
        <v>4480034</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Normal="10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1782</v>
      </c>
      <c r="B2" s="232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5" t="s">
        <v>1106</v>
      </c>
      <c r="B3" s="2326"/>
      <c r="C3" s="2319"/>
      <c r="D3" s="2320"/>
      <c r="E3" s="2320"/>
      <c r="F3" s="2321"/>
    </row>
    <row r="4" spans="1:7" ht="12.75" customHeight="1" thickBot="1" x14ac:dyDescent="0.25">
      <c r="A4" s="2313" t="s">
        <v>626</v>
      </c>
      <c r="B4" s="2314"/>
      <c r="C4" s="1656"/>
      <c r="D4" s="1656"/>
      <c r="E4" s="1656"/>
      <c r="F4" s="1732">
        <f>SUM(C4+D4)-E4</f>
        <v>0</v>
      </c>
    </row>
    <row r="5" spans="1:7" ht="15.75" customHeight="1" thickTop="1" x14ac:dyDescent="0.2">
      <c r="A5" s="2317" t="s">
        <v>1103</v>
      </c>
      <c r="B5" s="2312"/>
      <c r="C5" s="2306"/>
      <c r="D5" s="2307"/>
      <c r="E5" s="2307"/>
      <c r="F5" s="230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9" t="s">
        <v>627</v>
      </c>
      <c r="B15" s="2310"/>
      <c r="C15" s="1732">
        <f>SUM(C6:C14)</f>
        <v>0</v>
      </c>
      <c r="D15" s="1732">
        <f>SUM(D6:D14)</f>
        <v>0</v>
      </c>
      <c r="E15" s="1732">
        <f>SUM(E6:E14)</f>
        <v>0</v>
      </c>
      <c r="F15" s="1732">
        <f>SUM(F6:F14)</f>
        <v>0</v>
      </c>
      <c r="G15" s="473"/>
    </row>
    <row r="16" spans="1:7" s="197" customFormat="1" ht="15.75" customHeight="1" thickTop="1" x14ac:dyDescent="0.2">
      <c r="A16" s="2322" t="s">
        <v>1104</v>
      </c>
      <c r="B16" s="2312"/>
      <c r="C16" s="2306"/>
      <c r="D16" s="2307"/>
      <c r="E16" s="2307"/>
      <c r="F16" s="2308"/>
    </row>
    <row r="17" spans="1:11" ht="12.75" customHeight="1" thickBot="1" x14ac:dyDescent="0.25">
      <c r="A17" s="2304" t="s">
        <v>64</v>
      </c>
      <c r="B17" s="2305"/>
      <c r="C17" s="1733"/>
      <c r="D17" s="1664"/>
      <c r="E17" s="1733"/>
      <c r="F17" s="1732">
        <f>SUM(C17+D17)-E17</f>
        <v>0</v>
      </c>
    </row>
    <row r="18" spans="1:11" ht="12.75" customHeight="1" thickTop="1" thickBot="1" x14ac:dyDescent="0.25">
      <c r="A18" s="2304" t="s">
        <v>6</v>
      </c>
      <c r="B18" s="2305"/>
      <c r="C18" s="1733"/>
      <c r="D18" s="1664"/>
      <c r="E18" s="1733"/>
      <c r="F18" s="1732">
        <f>SUM(C18+D18)-E18</f>
        <v>0</v>
      </c>
    </row>
    <row r="19" spans="1:11" ht="12.75" customHeight="1" thickTop="1" thickBot="1" x14ac:dyDescent="0.25">
      <c r="A19" s="2304" t="s">
        <v>385</v>
      </c>
      <c r="B19" s="2305"/>
      <c r="C19" s="1733"/>
      <c r="D19" s="1664"/>
      <c r="E19" s="1733"/>
      <c r="F19" s="1732">
        <f>SUM(C19+D19)-E19</f>
        <v>0</v>
      </c>
    </row>
    <row r="20" spans="1:11" ht="12.75" customHeight="1" thickTop="1" thickBot="1" x14ac:dyDescent="0.25">
      <c r="A20" s="2304" t="s">
        <v>445</v>
      </c>
      <c r="B20" s="2305"/>
      <c r="C20" s="1733"/>
      <c r="D20" s="1664"/>
      <c r="E20" s="1733"/>
      <c r="F20" s="1732">
        <f>SUM(C20+D20)-E20</f>
        <v>0</v>
      </c>
    </row>
    <row r="21" spans="1:11" ht="14.25" thickTop="1" thickBot="1" x14ac:dyDescent="0.25">
      <c r="A21" s="2309" t="s">
        <v>628</v>
      </c>
      <c r="B21" s="2310"/>
      <c r="C21" s="1732">
        <f>SUM(C17:C20)</f>
        <v>0</v>
      </c>
      <c r="D21" s="1732">
        <f>SUM(D17:D20)</f>
        <v>0</v>
      </c>
      <c r="E21" s="1732">
        <f>SUM(E17:E20)</f>
        <v>0</v>
      </c>
      <c r="F21" s="1732">
        <f>SUM(F17:F20)</f>
        <v>0</v>
      </c>
      <c r="G21" s="473"/>
    </row>
    <row r="22" spans="1:11" ht="15.75" customHeight="1" thickTop="1" x14ac:dyDescent="0.2">
      <c r="A22" s="2311" t="s">
        <v>1105</v>
      </c>
      <c r="B22" s="2312"/>
      <c r="C22" s="2306"/>
      <c r="D22" s="2307"/>
      <c r="E22" s="2307"/>
      <c r="F22" s="2308"/>
    </row>
    <row r="23" spans="1:11" ht="13.5" thickBot="1" x14ac:dyDescent="0.25">
      <c r="A23" s="2313" t="s">
        <v>629</v>
      </c>
      <c r="B23" s="2314"/>
      <c r="C23" s="1656"/>
      <c r="D23" s="1656"/>
      <c r="E23" s="1656"/>
      <c r="F23" s="1732">
        <f>SUM(C23+D23)-E23</f>
        <v>0</v>
      </c>
      <c r="G23" s="473"/>
    </row>
    <row r="24" spans="1:11" ht="15.75" customHeight="1" thickTop="1" x14ac:dyDescent="0.2">
      <c r="A24" s="2311" t="s">
        <v>2006</v>
      </c>
      <c r="B24" s="2312"/>
      <c r="C24" s="2306"/>
      <c r="D24" s="2307"/>
      <c r="E24" s="2307"/>
      <c r="F24" s="2308"/>
    </row>
    <row r="25" spans="1:11" ht="13.5" thickBot="1" x14ac:dyDescent="0.25">
      <c r="A25" s="2313" t="s">
        <v>2007</v>
      </c>
      <c r="B25" s="2314"/>
      <c r="C25" s="1656"/>
      <c r="D25" s="1656"/>
      <c r="E25" s="1656"/>
      <c r="F25" s="1732">
        <f>SUM(C25+D25)-E25</f>
        <v>0</v>
      </c>
      <c r="G25" s="473"/>
    </row>
    <row r="26" spans="1:11" ht="15.75" customHeight="1" thickTop="1" x14ac:dyDescent="0.2">
      <c r="A26" s="2317" t="s">
        <v>652</v>
      </c>
      <c r="B26" s="2312"/>
      <c r="C26" s="589"/>
      <c r="D26" s="589"/>
      <c r="E26" s="589"/>
      <c r="F26" s="590"/>
    </row>
    <row r="27" spans="1:11" ht="13.5" thickBot="1" x14ac:dyDescent="0.25">
      <c r="A27" s="2309" t="s">
        <v>1063</v>
      </c>
      <c r="B27" s="2310"/>
      <c r="C27" s="1664"/>
      <c r="D27" s="1664"/>
      <c r="E27" s="1664"/>
      <c r="F27" s="1732">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41365</v>
      </c>
      <c r="C31" s="1734">
        <v>3230000</v>
      </c>
      <c r="D31" s="1735">
        <v>1</v>
      </c>
      <c r="E31" s="1734">
        <v>1800000</v>
      </c>
      <c r="F31" s="1734"/>
      <c r="G31" s="1734"/>
      <c r="H31" s="1734">
        <v>215000</v>
      </c>
      <c r="I31" s="1736">
        <f>((E31+F31)-H31)+G31</f>
        <v>1585000</v>
      </c>
      <c r="J31" s="1734">
        <f>1585000-45690</f>
        <v>1539310</v>
      </c>
      <c r="K31" s="596"/>
    </row>
    <row r="32" spans="1:11" ht="12" customHeight="1" x14ac:dyDescent="0.2">
      <c r="A32" s="594" t="s">
        <v>2065</v>
      </c>
      <c r="B32" s="595">
        <v>41365</v>
      </c>
      <c r="C32" s="1734">
        <v>1600000</v>
      </c>
      <c r="D32" s="1735">
        <v>3</v>
      </c>
      <c r="E32" s="1734">
        <v>1335000</v>
      </c>
      <c r="F32" s="1734"/>
      <c r="G32" s="1734"/>
      <c r="H32" s="1734">
        <v>80000</v>
      </c>
      <c r="I32" s="1736">
        <f>((E32+F32)-H32)+G32</f>
        <v>1255000</v>
      </c>
      <c r="J32" s="1734">
        <v>1255000</v>
      </c>
      <c r="K32" s="596"/>
    </row>
    <row r="33" spans="1:11" ht="12" customHeight="1" x14ac:dyDescent="0.2">
      <c r="A33" s="594" t="s">
        <v>2066</v>
      </c>
      <c r="B33" s="595">
        <v>42921</v>
      </c>
      <c r="C33" s="1734">
        <v>250000</v>
      </c>
      <c r="D33" s="1735">
        <v>1</v>
      </c>
      <c r="E33" s="1734">
        <v>195000</v>
      </c>
      <c r="F33" s="1734"/>
      <c r="G33" s="1734"/>
      <c r="H33" s="1734">
        <v>70000</v>
      </c>
      <c r="I33" s="1736">
        <f t="shared" ref="I33:I48" si="1">((E33+F33)-H33)+G33</f>
        <v>125000</v>
      </c>
      <c r="J33" s="1734">
        <v>125000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5080000</v>
      </c>
      <c r="D49" s="1742"/>
      <c r="E49" s="1736">
        <f t="shared" ref="E49:J49" si="2">SUM(E31:E48)</f>
        <v>3330000</v>
      </c>
      <c r="F49" s="1736">
        <f t="shared" si="2"/>
        <v>0</v>
      </c>
      <c r="G49" s="1736">
        <f t="shared" si="2"/>
        <v>0</v>
      </c>
      <c r="H49" s="1736">
        <f t="shared" si="2"/>
        <v>365000</v>
      </c>
      <c r="I49" s="1736">
        <f t="shared" si="2"/>
        <v>2965000</v>
      </c>
      <c r="J49" s="1736">
        <f t="shared" si="2"/>
        <v>2919310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8"/>
      <c r="I1" s="614"/>
      <c r="J1" s="400"/>
    </row>
    <row r="2" spans="1:11" ht="26.25" x14ac:dyDescent="0.2">
      <c r="A2" s="2346" t="s">
        <v>1661</v>
      </c>
      <c r="B2" s="2347"/>
      <c r="C2" s="2347"/>
      <c r="D2" s="2347"/>
      <c r="E2" s="2348"/>
      <c r="F2" s="615" t="s">
        <v>898</v>
      </c>
      <c r="G2" s="616" t="s">
        <v>1658</v>
      </c>
      <c r="H2" s="616" t="s">
        <v>407</v>
      </c>
      <c r="I2" s="616" t="s">
        <v>1150</v>
      </c>
      <c r="J2" s="616" t="s">
        <v>1792</v>
      </c>
      <c r="K2" s="616" t="s">
        <v>137</v>
      </c>
    </row>
    <row r="3" spans="1:11" x14ac:dyDescent="0.2">
      <c r="A3" s="2349" t="str">
        <f>"Cash Basis Fund Balance as of July 1, "&amp;'AFR20'!E2-1</f>
        <v>Cash Basis Fund Balance as of July 1, 2019</v>
      </c>
      <c r="B3" s="2350"/>
      <c r="C3" s="2350"/>
      <c r="D3" s="2350"/>
      <c r="E3" s="2351"/>
      <c r="F3" s="617"/>
      <c r="G3" s="1744"/>
      <c r="H3" s="1744"/>
      <c r="I3" s="1744"/>
      <c r="J3" s="1745"/>
      <c r="K3" s="1745"/>
    </row>
    <row r="4" spans="1:11" x14ac:dyDescent="0.2">
      <c r="A4" s="2352" t="s">
        <v>366</v>
      </c>
      <c r="B4" s="2353"/>
      <c r="C4" s="2353"/>
      <c r="D4" s="2353"/>
      <c r="E4" s="2299"/>
      <c r="F4" s="620"/>
      <c r="G4" s="1746"/>
      <c r="H4" s="1747"/>
      <c r="I4" s="1746"/>
      <c r="J4" s="1748"/>
      <c r="K4" s="1748"/>
    </row>
    <row r="5" spans="1:11" x14ac:dyDescent="0.2">
      <c r="A5" s="2330" t="s">
        <v>1062</v>
      </c>
      <c r="B5" s="2331"/>
      <c r="C5" s="2331"/>
      <c r="D5" s="2331"/>
      <c r="E5" s="2332"/>
      <c r="F5" s="622" t="s">
        <v>843</v>
      </c>
      <c r="G5" s="1749"/>
      <c r="H5" s="1744">
        <v>32182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30" t="s">
        <v>1793</v>
      </c>
      <c r="B10" s="2331"/>
      <c r="C10" s="2331"/>
      <c r="D10" s="2331"/>
      <c r="E10" s="2333"/>
      <c r="F10" s="633" t="s">
        <v>857</v>
      </c>
      <c r="G10" s="1753"/>
      <c r="H10" s="1754"/>
      <c r="I10" s="1744"/>
      <c r="J10" s="1745"/>
      <c r="K10" s="1745"/>
    </row>
    <row r="11" spans="1:11" x14ac:dyDescent="0.2">
      <c r="A11" s="2330" t="s">
        <v>159</v>
      </c>
      <c r="B11" s="2331"/>
      <c r="C11" s="2331"/>
      <c r="D11" s="2331"/>
      <c r="E11" s="2332"/>
      <c r="F11" s="622" t="s">
        <v>847</v>
      </c>
      <c r="G11" s="1749"/>
      <c r="H11" s="1744"/>
      <c r="I11" s="1744"/>
      <c r="J11" s="1745"/>
      <c r="K11" s="1751"/>
    </row>
    <row r="12" spans="1:11" ht="13.5" thickBot="1" x14ac:dyDescent="0.25">
      <c r="A12" s="2357" t="s">
        <v>899</v>
      </c>
      <c r="B12" s="2358"/>
      <c r="C12" s="2358"/>
      <c r="D12" s="2358"/>
      <c r="E12" s="2359"/>
      <c r="F12" s="1433"/>
      <c r="G12" s="1755">
        <f>SUM(G5:G11)</f>
        <v>0</v>
      </c>
      <c r="H12" s="1755">
        <f>SUM(H5:H11)</f>
        <v>32182</v>
      </c>
      <c r="I12" s="1755">
        <f>SUM(I5:I11)</f>
        <v>0</v>
      </c>
      <c r="J12" s="1755">
        <f>SUM(J5:J11)</f>
        <v>0</v>
      </c>
      <c r="K12" s="1755">
        <f>SUM(K5:K11)</f>
        <v>0</v>
      </c>
    </row>
    <row r="13" spans="1:11" ht="13.5" thickTop="1" x14ac:dyDescent="0.2">
      <c r="A13" s="2354" t="s">
        <v>367</v>
      </c>
      <c r="B13" s="2355"/>
      <c r="C13" s="2355"/>
      <c r="D13" s="2355"/>
      <c r="E13" s="2356"/>
      <c r="F13" s="634"/>
      <c r="G13" s="1756"/>
      <c r="H13" s="1757"/>
      <c r="I13" s="1758"/>
      <c r="J13" s="1758"/>
      <c r="K13" s="1758"/>
    </row>
    <row r="14" spans="1:11" x14ac:dyDescent="0.2">
      <c r="A14" s="2337" t="s">
        <v>453</v>
      </c>
      <c r="B14" s="2337"/>
      <c r="C14" s="2337"/>
      <c r="D14" s="2337"/>
      <c r="E14" s="2338"/>
      <c r="F14" s="635" t="s">
        <v>849</v>
      </c>
      <c r="G14" s="1753"/>
      <c r="H14" s="1744">
        <v>32182</v>
      </c>
      <c r="I14" s="1749"/>
      <c r="J14" s="1751"/>
      <c r="K14" s="1745"/>
    </row>
    <row r="15" spans="1:11" x14ac:dyDescent="0.2">
      <c r="A15" s="2331" t="s">
        <v>4</v>
      </c>
      <c r="B15" s="2331"/>
      <c r="C15" s="2331"/>
      <c r="D15" s="2331"/>
      <c r="E15" s="2332"/>
      <c r="F15" s="635" t="s">
        <v>850</v>
      </c>
      <c r="G15" s="1749"/>
      <c r="H15" s="1744"/>
      <c r="I15" s="1744"/>
      <c r="J15" s="1745"/>
      <c r="K15" s="1745"/>
    </row>
    <row r="16" spans="1:11" x14ac:dyDescent="0.2">
      <c r="A16" s="2331" t="s">
        <v>295</v>
      </c>
      <c r="B16" s="2331"/>
      <c r="C16" s="2331"/>
      <c r="D16" s="2331"/>
      <c r="E16" s="2332"/>
      <c r="F16" s="635" t="s">
        <v>917</v>
      </c>
      <c r="G16" s="1750"/>
      <c r="H16" s="1746"/>
      <c r="I16" s="1746"/>
      <c r="J16" s="1748"/>
      <c r="K16" s="1748"/>
    </row>
    <row r="17" spans="1:15" x14ac:dyDescent="0.2">
      <c r="A17" s="2364" t="s">
        <v>929</v>
      </c>
      <c r="B17" s="2364"/>
      <c r="C17" s="2364"/>
      <c r="D17" s="2364"/>
      <c r="E17" s="2365"/>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39" t="s">
        <v>1789</v>
      </c>
      <c r="B19" s="2339"/>
      <c r="C19" s="2339"/>
      <c r="D19" s="2339"/>
      <c r="E19" s="2340"/>
      <c r="F19" s="635" t="s">
        <v>927</v>
      </c>
      <c r="G19" s="1753"/>
      <c r="H19" s="1753"/>
      <c r="I19" s="1753"/>
      <c r="J19" s="1745"/>
      <c r="K19" s="1763"/>
    </row>
    <row r="20" spans="1:15" x14ac:dyDescent="0.2">
      <c r="A20" s="2341" t="s">
        <v>1794</v>
      </c>
      <c r="B20" s="2342"/>
      <c r="C20" s="2342"/>
      <c r="D20" s="2342"/>
      <c r="E20" s="2343"/>
      <c r="F20" s="635" t="s">
        <v>928</v>
      </c>
      <c r="G20" s="1753"/>
      <c r="H20" s="1753"/>
      <c r="I20" s="1753"/>
      <c r="J20" s="1745"/>
      <c r="K20" s="1763"/>
    </row>
    <row r="21" spans="1:15" ht="13.5" thickBot="1" x14ac:dyDescent="0.25">
      <c r="A21" s="2360" t="s">
        <v>633</v>
      </c>
      <c r="B21" s="2360"/>
      <c r="C21" s="2360"/>
      <c r="D21" s="2360"/>
      <c r="E21" s="2360"/>
      <c r="F21" s="1434"/>
      <c r="G21" s="1760"/>
      <c r="H21" s="1764"/>
      <c r="I21" s="1764"/>
      <c r="J21" s="1765">
        <f>SUM(J18:J20)</f>
        <v>0</v>
      </c>
      <c r="K21" s="1761"/>
    </row>
    <row r="22" spans="1:15" ht="13.5" thickTop="1" x14ac:dyDescent="0.2">
      <c r="A22" s="2331" t="s">
        <v>1795</v>
      </c>
      <c r="B22" s="2331"/>
      <c r="C22" s="2331"/>
      <c r="D22" s="2331"/>
      <c r="E22" s="2332"/>
      <c r="F22" s="635" t="s">
        <v>857</v>
      </c>
      <c r="G22" s="1753"/>
      <c r="H22" s="1744"/>
      <c r="I22" s="1744"/>
      <c r="J22" s="1766"/>
      <c r="K22" s="1745"/>
    </row>
    <row r="23" spans="1:15" ht="13.5" thickBot="1" x14ac:dyDescent="0.25">
      <c r="A23" s="2361" t="s">
        <v>900</v>
      </c>
      <c r="B23" s="2360"/>
      <c r="C23" s="2360"/>
      <c r="D23" s="2360"/>
      <c r="E23" s="2360"/>
      <c r="F23" s="1436"/>
      <c r="G23" s="1755">
        <f>SUM(G14:G16,G21,G22)</f>
        <v>0</v>
      </c>
      <c r="H23" s="1755">
        <f>SUM(H14:H16,H21,H22)</f>
        <v>32182</v>
      </c>
      <c r="I23" s="1755">
        <f>SUM(I14:I16,I21,I22)</f>
        <v>0</v>
      </c>
      <c r="J23" s="1755">
        <f>SUM(J14:J16,J21,J22)</f>
        <v>0</v>
      </c>
      <c r="K23" s="1755">
        <f>SUM(K14:K16,K21,K22)</f>
        <v>0</v>
      </c>
      <c r="M23" s="1846"/>
      <c r="N23" s="1846"/>
      <c r="O23" s="1846"/>
    </row>
    <row r="24" spans="1:15" ht="14.25" thickTop="1" thickBot="1" x14ac:dyDescent="0.25">
      <c r="A24" s="2362" t="str">
        <f>"Ending Cash Basis Fund Balance as of June 30, "&amp;'AFR20'!E2</f>
        <v>Ending Cash Basis Fund Balance as of June 30, 2020</v>
      </c>
      <c r="B24" s="2363"/>
      <c r="C24" s="2363"/>
      <c r="D24" s="2363"/>
      <c r="E24" s="236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2055</v>
      </c>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1161</v>
      </c>
      <c r="B33" s="341"/>
      <c r="C33" s="341"/>
      <c r="D33" s="341"/>
      <c r="E33" s="341"/>
      <c r="F33" s="341"/>
      <c r="G33" s="653"/>
      <c r="H33" s="2336"/>
      <c r="I33" s="2335"/>
      <c r="J33" s="2335"/>
      <c r="K33" s="233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1875</v>
      </c>
      <c r="B1" s="2369"/>
      <c r="C1" s="2370"/>
      <c r="D1" s="666"/>
      <c r="E1" s="667"/>
      <c r="F1" s="667"/>
      <c r="G1" s="668"/>
      <c r="H1" s="669"/>
      <c r="I1" s="670"/>
      <c r="J1" s="2366"/>
      <c r="K1" s="2367"/>
      <c r="L1" s="2367"/>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676588</v>
      </c>
      <c r="D5" s="1770"/>
      <c r="E5" s="1770"/>
      <c r="F5" s="1765">
        <f>(C5+D5)-E5</f>
        <v>676588</v>
      </c>
      <c r="G5" s="676"/>
      <c r="H5" s="680"/>
      <c r="I5" s="680"/>
      <c r="J5" s="680"/>
      <c r="K5" s="637"/>
      <c r="L5" s="1442">
        <f>F5-K5</f>
        <v>676588</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14968781</v>
      </c>
      <c r="D8" s="1771"/>
      <c r="E8" s="1771"/>
      <c r="F8" s="1765">
        <f>(C8+D8)-E8</f>
        <v>14968781</v>
      </c>
      <c r="G8" s="681">
        <v>50</v>
      </c>
      <c r="H8" s="619">
        <v>5468808</v>
      </c>
      <c r="I8" s="619">
        <v>295143</v>
      </c>
      <c r="J8" s="619"/>
      <c r="K8" s="1442">
        <f>(H8+I8)-J8</f>
        <v>5763951</v>
      </c>
      <c r="L8" s="1442">
        <f>F8-K8</f>
        <v>9204830</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233017</v>
      </c>
      <c r="D10" s="1772"/>
      <c r="E10" s="1772"/>
      <c r="F10" s="1773">
        <f>(C10+D10)-E10</f>
        <v>233017</v>
      </c>
      <c r="G10" s="681">
        <v>20</v>
      </c>
      <c r="H10" s="683">
        <v>102020</v>
      </c>
      <c r="I10" s="683">
        <v>9020</v>
      </c>
      <c r="J10" s="683"/>
      <c r="K10" s="1442">
        <f>(H10+I10)-J10</f>
        <v>111040</v>
      </c>
      <c r="L10" s="1442">
        <f>F10-K10</f>
        <v>121977</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737846</v>
      </c>
      <c r="D12" s="1771">
        <v>81071</v>
      </c>
      <c r="E12" s="1771"/>
      <c r="F12" s="1765">
        <f>(C12+D12)-E12</f>
        <v>818917</v>
      </c>
      <c r="G12" s="681">
        <v>10</v>
      </c>
      <c r="H12" s="619">
        <v>303441</v>
      </c>
      <c r="I12" s="619">
        <v>73783</v>
      </c>
      <c r="J12" s="619"/>
      <c r="K12" s="1442">
        <f>(H12+I12)-J12</f>
        <v>377224</v>
      </c>
      <c r="L12" s="1442">
        <f>F12-K12</f>
        <v>441693</v>
      </c>
    </row>
    <row r="13" spans="1:14" ht="14.25" thickTop="1" thickBot="1" x14ac:dyDescent="0.25">
      <c r="A13" s="684" t="s">
        <v>1114</v>
      </c>
      <c r="B13" s="679">
        <v>252</v>
      </c>
      <c r="C13" s="1771">
        <v>290834</v>
      </c>
      <c r="D13" s="1771">
        <v>175417</v>
      </c>
      <c r="E13" s="1771"/>
      <c r="F13" s="1765">
        <f>(C13+D13)-E13</f>
        <v>466251</v>
      </c>
      <c r="G13" s="681">
        <v>5</v>
      </c>
      <c r="H13" s="619">
        <v>267900</v>
      </c>
      <c r="I13" s="619">
        <v>103468</v>
      </c>
      <c r="J13" s="619"/>
      <c r="K13" s="1442">
        <f>(H13+I13)-J13</f>
        <v>371368</v>
      </c>
      <c r="L13" s="1442">
        <f>F13-K13</f>
        <v>94883</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16907066</v>
      </c>
      <c r="D16" s="1765">
        <f>SUM(D3,D5:D6,D8:D10,D12:D15)</f>
        <v>256488</v>
      </c>
      <c r="E16" s="1765">
        <f>SUM(E3,E5:E6,E8:E10,E12:E15)</f>
        <v>0</v>
      </c>
      <c r="F16" s="1765">
        <f>SUM(F3,F5:F6,F8:F10,F12:F15)</f>
        <v>17163554</v>
      </c>
      <c r="G16" s="681"/>
      <c r="H16" s="1435">
        <f>SUM(H3,H6,H8:H10,H12:H14,)</f>
        <v>6142169</v>
      </c>
      <c r="I16" s="1435">
        <f>SUM(I3,I6,I8:I10,I12:I14,)</f>
        <v>481414</v>
      </c>
      <c r="J16" s="1435">
        <f>SUM(J3,J6,J8:J10,J12:J14,)</f>
        <v>0</v>
      </c>
      <c r="K16" s="1435">
        <f>(H16+I16)-J16</f>
        <v>6623583</v>
      </c>
      <c r="L16" s="1435">
        <f>F16-K16</f>
        <v>10539971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481414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Normal="100" workbookViewId="0">
      <selection activeCell="K93" sqref="K9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1097</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6559612</v>
      </c>
      <c r="G8" s="701"/>
    </row>
    <row r="9" spans="1:9" x14ac:dyDescent="0.2">
      <c r="A9" s="705" t="s">
        <v>457</v>
      </c>
      <c r="B9" s="706" t="s">
        <v>1848</v>
      </c>
      <c r="C9" s="707"/>
      <c r="D9" s="705" t="s">
        <v>498</v>
      </c>
      <c r="E9" s="704"/>
      <c r="F9" s="1775">
        <f>'Expenditures 15-22'!K151</f>
        <v>350899</v>
      </c>
      <c r="G9" s="708"/>
    </row>
    <row r="10" spans="1:9" x14ac:dyDescent="0.2">
      <c r="A10" s="705" t="s">
        <v>496</v>
      </c>
      <c r="B10" s="706" t="s">
        <v>1849</v>
      </c>
      <c r="C10" s="707"/>
      <c r="D10" s="705" t="s">
        <v>498</v>
      </c>
      <c r="E10" s="704"/>
      <c r="F10" s="1775">
        <f>'Expenditures 15-22'!K174</f>
        <v>451489</v>
      </c>
      <c r="G10" s="708"/>
    </row>
    <row r="11" spans="1:9" x14ac:dyDescent="0.2">
      <c r="A11" s="705" t="s">
        <v>458</v>
      </c>
      <c r="B11" s="706" t="s">
        <v>1850</v>
      </c>
      <c r="C11" s="707"/>
      <c r="D11" s="705" t="s">
        <v>498</v>
      </c>
      <c r="E11" s="704"/>
      <c r="F11" s="1775">
        <f>'Expenditures 15-22'!K210</f>
        <v>456999</v>
      </c>
      <c r="G11" s="708"/>
    </row>
    <row r="12" spans="1:9" x14ac:dyDescent="0.2">
      <c r="A12" s="705" t="s">
        <v>459</v>
      </c>
      <c r="B12" s="706" t="s">
        <v>1851</v>
      </c>
      <c r="C12" s="707"/>
      <c r="D12" s="705" t="s">
        <v>498</v>
      </c>
      <c r="E12" s="704"/>
      <c r="F12" s="1775">
        <f>'Expenditures 15-22'!K295</f>
        <v>215453</v>
      </c>
      <c r="G12" s="708"/>
    </row>
    <row r="13" spans="1:9" x14ac:dyDescent="0.2">
      <c r="A13" s="705" t="s">
        <v>106</v>
      </c>
      <c r="B13" s="706" t="s">
        <v>1852</v>
      </c>
      <c r="C13" s="707"/>
      <c r="D13" s="705" t="s">
        <v>498</v>
      </c>
      <c r="E13" s="704"/>
      <c r="F13" s="1775">
        <f>'Expenditures 15-22'!K342</f>
        <v>34560</v>
      </c>
      <c r="G13" s="709"/>
    </row>
    <row r="14" spans="1:9" ht="12" customHeight="1" thickBot="1" x14ac:dyDescent="0.25">
      <c r="A14" s="1443"/>
      <c r="B14" s="1444"/>
      <c r="C14" s="1445"/>
      <c r="D14" s="1446" t="s">
        <v>498</v>
      </c>
      <c r="E14" s="1447" t="s">
        <v>952</v>
      </c>
      <c r="F14" s="1776">
        <f>SUM(F8:F13)</f>
        <v>8069012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8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89504</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97494</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89832</v>
      </c>
      <c r="G52" s="701"/>
    </row>
    <row r="53" spans="1:7" x14ac:dyDescent="0.2">
      <c r="A53" s="705" t="s">
        <v>456</v>
      </c>
      <c r="B53" s="705" t="s">
        <v>1461</v>
      </c>
      <c r="C53" s="724">
        <f>'Expenditures 15-22'!B102</f>
        <v>4000</v>
      </c>
      <c r="D53" s="723" t="str">
        <f>'Expenditures 15-22'!A102</f>
        <v>Total Payments to Other Govt Units</v>
      </c>
      <c r="E53" s="704"/>
      <c r="F53" s="1782">
        <f>'Expenditures 15-22'!K102</f>
        <v>371112</v>
      </c>
      <c r="G53" s="701"/>
    </row>
    <row r="54" spans="1:7" x14ac:dyDescent="0.2">
      <c r="A54" s="705" t="s">
        <v>456</v>
      </c>
      <c r="B54" s="705" t="s">
        <v>1462</v>
      </c>
      <c r="C54" s="724" t="s">
        <v>975</v>
      </c>
      <c r="D54" s="720" t="s">
        <v>1088</v>
      </c>
      <c r="E54" s="704"/>
      <c r="F54" s="1782">
        <f>'Expenditures 15-22'!G114</f>
        <v>81071</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1088</v>
      </c>
      <c r="E58" s="704"/>
      <c r="F58" s="1784">
        <f>'Expenditures 15-22'!G151</f>
        <v>18083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365000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1088</v>
      </c>
      <c r="E65" s="704"/>
      <c r="F65" s="1782">
        <f>'Expenditures 15-22'!G210</f>
        <v>157334</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5146</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11484</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1473</v>
      </c>
      <c r="E74" s="704"/>
      <c r="F74" s="1786">
        <f>'Expenditures 15-22'!K334</f>
        <v>0</v>
      </c>
      <c r="G74" s="701"/>
    </row>
    <row r="75" spans="1:9" x14ac:dyDescent="0.2">
      <c r="A75" s="705" t="s">
        <v>2008</v>
      </c>
      <c r="B75" s="705" t="s">
        <v>2009</v>
      </c>
      <c r="C75" s="721" t="s">
        <v>975</v>
      </c>
      <c r="D75" s="722" t="s">
        <v>1088</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1286060</v>
      </c>
      <c r="G77" s="701"/>
    </row>
    <row r="78" spans="1:9" s="728" customFormat="1" ht="12" customHeight="1" thickTop="1" thickBot="1" x14ac:dyDescent="0.25">
      <c r="A78" s="1450"/>
      <c r="B78" s="1448"/>
      <c r="C78" s="1445"/>
      <c r="D78" s="1449" t="s">
        <v>2012</v>
      </c>
      <c r="E78" s="1447"/>
      <c r="F78" s="1788">
        <f>(F14-F77)</f>
        <v>6782952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920.9</v>
      </c>
      <c r="G79" s="733"/>
      <c r="H79" s="705"/>
      <c r="I79" s="705"/>
    </row>
    <row r="80" spans="1:9" s="728" customFormat="1" ht="12" customHeight="1" thickBot="1" x14ac:dyDescent="0.25">
      <c r="A80" s="1452"/>
      <c r="B80" s="1448"/>
      <c r="C80" s="1445"/>
      <c r="D80" s="1449" t="s">
        <v>2013</v>
      </c>
      <c r="E80" s="1447" t="s">
        <v>952</v>
      </c>
      <c r="F80" s="1790">
        <f>IF(F79&gt;0,F78/F79," Complete Line 79")</f>
        <v>7365.5684656314479</v>
      </c>
      <c r="G80" s="705"/>
    </row>
    <row r="81" spans="1:7" s="728" customFormat="1" ht="8.25" customHeight="1" thickTop="1" x14ac:dyDescent="0.2">
      <c r="A81" s="734"/>
      <c r="B81" s="705"/>
      <c r="C81" s="707"/>
      <c r="D81" s="735"/>
      <c r="E81" s="704"/>
      <c r="F81" s="1791"/>
      <c r="G81" s="705"/>
    </row>
    <row r="82" spans="1:7" s="728" customFormat="1" ht="12" thickBot="1" x14ac:dyDescent="0.25">
      <c r="A82" s="2371" t="s">
        <v>1098</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93988</v>
      </c>
      <c r="G95" s="745"/>
    </row>
    <row r="96" spans="1:7" x14ac:dyDescent="0.2">
      <c r="A96" s="741" t="s">
        <v>139</v>
      </c>
      <c r="B96" s="741" t="s">
        <v>174</v>
      </c>
      <c r="C96" s="743">
        <v>1700</v>
      </c>
      <c r="D96" s="751" t="str">
        <f>'Revenues 9-14'!A82</f>
        <v>Total District/School Activity Income</v>
      </c>
      <c r="E96" s="739"/>
      <c r="F96" s="1793">
        <f>SUM('Revenues 9-14'!C82,'Revenues 9-14'!D82)</f>
        <v>21242</v>
      </c>
      <c r="G96" s="745"/>
    </row>
    <row r="97" spans="1:7" x14ac:dyDescent="0.2">
      <c r="A97" s="741" t="s">
        <v>456</v>
      </c>
      <c r="B97" s="741" t="s">
        <v>175</v>
      </c>
      <c r="C97" s="743">
        <f>'Revenues 9-14'!B84</f>
        <v>1811</v>
      </c>
      <c r="D97" s="744" t="str">
        <f>'Revenues 9-14'!A84</f>
        <v>Rentals - Regular Textbooks</v>
      </c>
      <c r="E97" s="739"/>
      <c r="F97" s="1793">
        <f>'Revenues 9-14'!C84</f>
        <v>81487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2450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83322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885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254556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113333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73626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97389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1413</v>
      </c>
      <c r="D159" s="774" t="s">
        <v>1414</v>
      </c>
      <c r="E159" s="775"/>
      <c r="F159" s="1793">
        <f>SUM('Revenues 9-14'!C253)</f>
        <v>0</v>
      </c>
      <c r="G159" s="738"/>
    </row>
    <row r="160" spans="1:7" s="703" customFormat="1" x14ac:dyDescent="0.2">
      <c r="A160" s="771" t="s">
        <v>497</v>
      </c>
      <c r="B160" s="772" t="s">
        <v>1953</v>
      </c>
      <c r="C160" s="773" t="s">
        <v>1452</v>
      </c>
      <c r="D160" s="774" t="s">
        <v>1453</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13687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13080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13565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269303</v>
      </c>
      <c r="G172" s="760"/>
    </row>
    <row r="173" spans="1:7" x14ac:dyDescent="0.2">
      <c r="A173" s="1529" t="s">
        <v>659</v>
      </c>
      <c r="B173" s="1530" t="s">
        <v>1885</v>
      </c>
      <c r="C173" s="1531">
        <v>3300</v>
      </c>
      <c r="D173" s="1532" t="s">
        <v>1888</v>
      </c>
      <c r="E173" s="739"/>
      <c r="F173" s="1794">
        <v>194</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1182107</v>
      </c>
    </row>
    <row r="176" spans="1:7" ht="12" customHeight="1" x14ac:dyDescent="0.2">
      <c r="A176" s="1443"/>
      <c r="B176" s="1453"/>
      <c r="C176" s="1454"/>
      <c r="D176" s="1455" t="s">
        <v>2014</v>
      </c>
      <c r="E176" s="1456"/>
      <c r="F176" s="1793">
        <f>'PCTC-OEPP 27-28'!F78-F175</f>
        <v>5600845</v>
      </c>
    </row>
    <row r="177" spans="1:9" ht="12" customHeight="1" x14ac:dyDescent="0.2">
      <c r="A177" s="1443"/>
      <c r="B177" s="1453"/>
      <c r="C177" s="1454"/>
      <c r="D177" s="1455" t="s">
        <v>1797</v>
      </c>
      <c r="E177" s="1456"/>
      <c r="F177" s="1793">
        <f>'Cap Outlay Deprec 26'!I18</f>
        <v>481414</v>
      </c>
    </row>
    <row r="178" spans="1:9" ht="12" customHeight="1" x14ac:dyDescent="0.2">
      <c r="A178" s="1443"/>
      <c r="B178" s="1453"/>
      <c r="C178" s="1454"/>
      <c r="D178" s="1455" t="s">
        <v>2015</v>
      </c>
      <c r="E178" s="1456"/>
      <c r="F178" s="1793">
        <f>F176+F177</f>
        <v>6082259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920.9</v>
      </c>
      <c r="G179" s="763"/>
      <c r="I179" s="701"/>
    </row>
    <row r="180" spans="1:9" ht="12" customHeight="1" thickBot="1" x14ac:dyDescent="0.25">
      <c r="A180" s="1443"/>
      <c r="B180" s="1457"/>
      <c r="C180" s="1454"/>
      <c r="D180" s="1455" t="s">
        <v>2017</v>
      </c>
      <c r="E180" s="1456" t="s">
        <v>1531</v>
      </c>
      <c r="F180" s="1798">
        <f>F178/F179</f>
        <v>6604.6899771962217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0"/>
  <sheetViews>
    <sheetView showGridLines="0" zoomScale="90" zoomScaleNormal="90" workbookViewId="0">
      <selection activeCell="B22" sqref="B22"/>
    </sheetView>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2"/>
  </cols>
  <sheetData>
    <row r="1" spans="1:6" ht="15" customHeight="1" x14ac:dyDescent="0.25">
      <c r="A1" s="1859" t="s">
        <v>1808</v>
      </c>
      <c r="B1" s="1860"/>
      <c r="C1" s="1861"/>
      <c r="D1" s="1861"/>
      <c r="E1" s="1861"/>
      <c r="F1" s="1861"/>
    </row>
    <row r="2" spans="1:6" x14ac:dyDescent="0.25">
      <c r="A2" s="1863"/>
      <c r="B2" s="1864"/>
      <c r="C2" s="1908" t="s">
        <v>2003</v>
      </c>
      <c r="D2" s="1863"/>
      <c r="E2" s="1863"/>
      <c r="F2" s="1863"/>
    </row>
    <row r="3" spans="1:6" ht="5.25" customHeight="1" x14ac:dyDescent="0.25">
      <c r="A3" s="1865"/>
      <c r="B3" s="1866"/>
      <c r="C3" s="1865"/>
      <c r="D3" s="1865"/>
      <c r="E3" s="1865"/>
      <c r="F3" s="1865"/>
    </row>
    <row r="4" spans="1:6" ht="18.75" customHeight="1" x14ac:dyDescent="0.25">
      <c r="A4" s="2385" t="s">
        <v>1798</v>
      </c>
      <c r="B4" s="2386"/>
      <c r="C4" s="2386"/>
      <c r="D4" s="2386"/>
      <c r="E4" s="2386"/>
      <c r="F4" s="2387"/>
    </row>
    <row r="5" spans="1:6" x14ac:dyDescent="0.25">
      <c r="A5" s="2388"/>
      <c r="B5" s="2389"/>
      <c r="C5" s="2389"/>
      <c r="D5" s="2389"/>
      <c r="E5" s="2389"/>
      <c r="F5" s="2390"/>
    </row>
    <row r="6" spans="1:6" ht="18.75" x14ac:dyDescent="0.25">
      <c r="A6" s="1867" t="s">
        <v>1799</v>
      </c>
      <c r="B6" s="1868"/>
      <c r="C6" s="1869"/>
      <c r="D6" s="1869"/>
      <c r="E6" s="1869"/>
      <c r="F6" s="1870"/>
    </row>
    <row r="7" spans="1:6" ht="47.25" customHeight="1" x14ac:dyDescent="0.25">
      <c r="A7" s="2391" t="s">
        <v>1985</v>
      </c>
      <c r="B7" s="2392"/>
      <c r="C7" s="2392"/>
      <c r="D7" s="2392"/>
      <c r="E7" s="2392"/>
      <c r="F7" s="2393"/>
    </row>
    <row r="8" spans="1:6" ht="20.25" customHeight="1" x14ac:dyDescent="0.25">
      <c r="A8" s="1898" t="s">
        <v>1987</v>
      </c>
      <c r="B8" s="1899"/>
      <c r="C8" s="1899"/>
      <c r="D8" s="1899"/>
      <c r="E8" s="1871"/>
      <c r="F8" s="1872"/>
    </row>
    <row r="9" spans="1:6" ht="18" customHeight="1" x14ac:dyDescent="0.25">
      <c r="A9" s="1873" t="s">
        <v>1984</v>
      </c>
      <c r="B9" s="1875"/>
      <c r="C9" s="1875"/>
      <c r="D9" s="1875"/>
      <c r="E9" s="1871"/>
      <c r="F9" s="1872"/>
    </row>
    <row r="10" spans="1:6" ht="15.75" customHeight="1" x14ac:dyDescent="0.25">
      <c r="A10" s="2394" t="s">
        <v>1981</v>
      </c>
      <c r="B10" s="2395"/>
      <c r="C10" s="2395"/>
      <c r="D10" s="2395"/>
      <c r="E10" s="2395"/>
      <c r="F10" s="2396"/>
    </row>
    <row r="11" spans="1:6" ht="33" customHeight="1" x14ac:dyDescent="0.25">
      <c r="A11" s="2391" t="s">
        <v>1986</v>
      </c>
      <c r="B11" s="2392"/>
      <c r="C11" s="2392"/>
      <c r="D11" s="2392"/>
      <c r="E11" s="2392"/>
      <c r="F11" s="2393"/>
    </row>
    <row r="12" spans="1:6" ht="15" customHeight="1" x14ac:dyDescent="0.25">
      <c r="A12" s="1873" t="s">
        <v>1982</v>
      </c>
      <c r="B12" s="1874"/>
      <c r="C12" s="1875"/>
      <c r="D12" s="1875"/>
      <c r="E12" s="1875"/>
      <c r="F12" s="1876"/>
    </row>
    <row r="13" spans="1:6" ht="17.25" customHeight="1" x14ac:dyDescent="0.25">
      <c r="A13" s="2391" t="s">
        <v>1983</v>
      </c>
      <c r="B13" s="2392"/>
      <c r="C13" s="2392"/>
      <c r="D13" s="2392"/>
      <c r="E13" s="2392"/>
      <c r="F13" s="2393"/>
    </row>
    <row r="14" spans="1:6" ht="15" customHeight="1" x14ac:dyDescent="0.25">
      <c r="A14" s="1873" t="s">
        <v>1801</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1802</v>
      </c>
      <c r="B16" s="1878" t="s">
        <v>1803</v>
      </c>
      <c r="C16" s="1877" t="s">
        <v>1804</v>
      </c>
      <c r="D16" s="1879" t="s">
        <v>1805</v>
      </c>
      <c r="E16" s="1879" t="s">
        <v>1806</v>
      </c>
      <c r="F16" s="1879" t="s">
        <v>1807</v>
      </c>
    </row>
    <row r="17" spans="1:7" x14ac:dyDescent="0.25">
      <c r="A17" s="2037" t="s">
        <v>2111</v>
      </c>
      <c r="B17" s="2038">
        <v>102560300</v>
      </c>
      <c r="C17" s="2039" t="s">
        <v>2104</v>
      </c>
      <c r="D17" s="2040">
        <v>171535</v>
      </c>
      <c r="E17" s="1902">
        <v>25000</v>
      </c>
      <c r="F17" s="1902">
        <f>IF(D17&gt;=25000,(D17-E17),"0")</f>
        <v>146535</v>
      </c>
    </row>
    <row r="18" spans="1:7" x14ac:dyDescent="0.25">
      <c r="A18" s="2042" t="s">
        <v>2112</v>
      </c>
      <c r="B18" s="1903">
        <v>402550300</v>
      </c>
      <c r="C18" s="2041" t="s">
        <v>2105</v>
      </c>
      <c r="D18" s="1882">
        <v>162706</v>
      </c>
      <c r="E18" s="1902">
        <v>25000</v>
      </c>
      <c r="F18" s="1902">
        <f t="shared" ref="F18:F79" si="0">IF(D18&gt;=25000,(D18-E18),"0")</f>
        <v>137706</v>
      </c>
      <c r="G18" s="1883"/>
    </row>
    <row r="19" spans="1:7" x14ac:dyDescent="0.25">
      <c r="A19" s="2042" t="s">
        <v>2113</v>
      </c>
      <c r="B19" s="1903">
        <v>102100300</v>
      </c>
      <c r="C19" s="2041" t="s">
        <v>2106</v>
      </c>
      <c r="D19" s="1882">
        <v>89559</v>
      </c>
      <c r="E19" s="1902">
        <v>25000</v>
      </c>
      <c r="F19" s="1902">
        <f>IF(D19&gt;=25000,(D19-E19),"0")</f>
        <v>64559</v>
      </c>
    </row>
    <row r="20" spans="1:7" x14ac:dyDescent="0.25">
      <c r="A20" s="2042" t="s">
        <v>2114</v>
      </c>
      <c r="B20" s="1903">
        <v>202540300</v>
      </c>
      <c r="C20" s="2041" t="s">
        <v>2107</v>
      </c>
      <c r="D20" s="1882">
        <v>36466</v>
      </c>
      <c r="E20" s="1902">
        <v>25000</v>
      </c>
      <c r="F20" s="1902">
        <f>IF(D20&gt;=25000,(D20-E20),"0")</f>
        <v>11466</v>
      </c>
    </row>
    <row r="21" spans="1:7" x14ac:dyDescent="0.25">
      <c r="A21" s="2042" t="s">
        <v>2113</v>
      </c>
      <c r="B21" s="1903">
        <v>102100300</v>
      </c>
      <c r="C21" s="2041" t="s">
        <v>2108</v>
      </c>
      <c r="D21" s="1882">
        <v>28577</v>
      </c>
      <c r="E21" s="1902">
        <v>25000</v>
      </c>
      <c r="F21" s="1902">
        <f t="shared" si="0"/>
        <v>3577</v>
      </c>
    </row>
    <row r="22" spans="1:7" x14ac:dyDescent="0.25">
      <c r="A22" s="2042" t="s">
        <v>2114</v>
      </c>
      <c r="B22" s="1903">
        <v>202540300</v>
      </c>
      <c r="C22" s="2041" t="s">
        <v>2109</v>
      </c>
      <c r="D22" s="1882">
        <v>27301</v>
      </c>
      <c r="E22" s="1902">
        <v>25000</v>
      </c>
      <c r="F22" s="1902">
        <f>IF(D22&gt;=25000,(D22-E22),"0")</f>
        <v>2301</v>
      </c>
    </row>
    <row r="23" spans="1:7" x14ac:dyDescent="0.25">
      <c r="A23" s="2042" t="s">
        <v>2112</v>
      </c>
      <c r="B23" s="1903">
        <v>402550300</v>
      </c>
      <c r="C23" s="2041" t="s">
        <v>2110</v>
      </c>
      <c r="D23" s="1882">
        <v>25528</v>
      </c>
      <c r="E23" s="1902">
        <v>25000</v>
      </c>
      <c r="F23" s="1902">
        <f>IF(D23&gt;=25000,(D23-E23),"0")</f>
        <v>528</v>
      </c>
    </row>
    <row r="24" spans="1:7" hidden="1" x14ac:dyDescent="0.25">
      <c r="A24" s="1884"/>
      <c r="B24" s="1903"/>
      <c r="C24" s="1881"/>
      <c r="E24" s="1902"/>
      <c r="F24" s="1902"/>
    </row>
    <row r="25" spans="1:7" hidden="1" x14ac:dyDescent="0.25">
      <c r="A25" s="1884"/>
      <c r="B25" s="1903"/>
      <c r="C25" s="1885"/>
      <c r="D25" s="1882"/>
      <c r="E25" s="1902">
        <f t="shared" ref="E25:E79" si="1">IF(D25&lt;25000,D25,"25,000")</f>
        <v>0</v>
      </c>
      <c r="F25" s="1902" t="str">
        <f t="shared" si="0"/>
        <v>0</v>
      </c>
    </row>
    <row r="26" spans="1:7" hidden="1" x14ac:dyDescent="0.25">
      <c r="A26" s="1884"/>
      <c r="B26" s="1903"/>
      <c r="C26" s="1885"/>
      <c r="D26" s="1882"/>
      <c r="E26" s="1902">
        <f t="shared" si="1"/>
        <v>0</v>
      </c>
      <c r="F26" s="1902" t="str">
        <f t="shared" si="0"/>
        <v>0</v>
      </c>
    </row>
    <row r="27" spans="1:7" hidden="1" x14ac:dyDescent="0.25">
      <c r="A27" s="1884"/>
      <c r="B27" s="1903"/>
      <c r="C27" s="1885"/>
      <c r="D27" s="1882"/>
      <c r="E27" s="1902">
        <f t="shared" si="1"/>
        <v>0</v>
      </c>
      <c r="F27" s="1902" t="str">
        <f t="shared" si="0"/>
        <v>0</v>
      </c>
    </row>
    <row r="28" spans="1:7" hidden="1" x14ac:dyDescent="0.25">
      <c r="A28" s="1884"/>
      <c r="B28" s="1903"/>
      <c r="C28" s="1885"/>
      <c r="D28" s="1882"/>
      <c r="E28" s="1902">
        <f t="shared" si="1"/>
        <v>0</v>
      </c>
      <c r="F28" s="1902" t="str">
        <f t="shared" si="0"/>
        <v>0</v>
      </c>
    </row>
    <row r="29" spans="1:7" hidden="1" x14ac:dyDescent="0.25">
      <c r="A29" s="1884"/>
      <c r="B29" s="1903"/>
      <c r="C29" s="1885"/>
      <c r="D29" s="1882"/>
      <c r="E29" s="1902">
        <f t="shared" si="1"/>
        <v>0</v>
      </c>
      <c r="F29" s="1902" t="str">
        <f t="shared" si="0"/>
        <v>0</v>
      </c>
    </row>
    <row r="30" spans="1:7" hidden="1" x14ac:dyDescent="0.25">
      <c r="A30" s="1884"/>
      <c r="B30" s="1903"/>
      <c r="C30" s="1885"/>
      <c r="D30" s="1882"/>
      <c r="E30" s="1902">
        <f t="shared" si="1"/>
        <v>0</v>
      </c>
      <c r="F30" s="1902" t="str">
        <f t="shared" si="0"/>
        <v>0</v>
      </c>
    </row>
    <row r="31" spans="1:7" hidden="1" x14ac:dyDescent="0.25">
      <c r="A31" s="1884"/>
      <c r="B31" s="1903"/>
      <c r="C31" s="1885"/>
      <c r="D31" s="1882"/>
      <c r="E31" s="1902">
        <f t="shared" si="1"/>
        <v>0</v>
      </c>
      <c r="F31" s="1902" t="str">
        <f t="shared" si="0"/>
        <v>0</v>
      </c>
    </row>
    <row r="32" spans="1:7" hidden="1" x14ac:dyDescent="0.25">
      <c r="A32" s="1884"/>
      <c r="B32" s="1903"/>
      <c r="C32" s="1885"/>
      <c r="D32" s="1882"/>
      <c r="E32" s="1902">
        <f t="shared" si="1"/>
        <v>0</v>
      </c>
      <c r="F32" s="1902" t="str">
        <f t="shared" si="0"/>
        <v>0</v>
      </c>
    </row>
    <row r="33" spans="1:6" hidden="1" x14ac:dyDescent="0.25">
      <c r="A33" s="1884"/>
      <c r="B33" s="1903"/>
      <c r="C33" s="1885"/>
      <c r="D33" s="1882"/>
      <c r="E33" s="1902">
        <f t="shared" si="1"/>
        <v>0</v>
      </c>
      <c r="F33" s="1902" t="str">
        <f t="shared" si="0"/>
        <v>0</v>
      </c>
    </row>
    <row r="34" spans="1:6" hidden="1" x14ac:dyDescent="0.25">
      <c r="A34" s="1884"/>
      <c r="B34" s="1903"/>
      <c r="C34" s="1885"/>
      <c r="D34" s="1882"/>
      <c r="E34" s="1902">
        <f t="shared" si="1"/>
        <v>0</v>
      </c>
      <c r="F34" s="1902" t="str">
        <f t="shared" si="0"/>
        <v>0</v>
      </c>
    </row>
    <row r="35" spans="1:6" hidden="1" x14ac:dyDescent="0.25">
      <c r="A35" s="1884"/>
      <c r="B35" s="1903"/>
      <c r="C35" s="1885"/>
      <c r="D35" s="1882"/>
      <c r="E35" s="1902">
        <f t="shared" si="1"/>
        <v>0</v>
      </c>
      <c r="F35" s="1902" t="str">
        <f t="shared" si="0"/>
        <v>0</v>
      </c>
    </row>
    <row r="36" spans="1:6" hidden="1" x14ac:dyDescent="0.25">
      <c r="A36" s="1884"/>
      <c r="B36" s="1903"/>
      <c r="C36" s="1885"/>
      <c r="D36" s="1882"/>
      <c r="E36" s="1902">
        <f t="shared" si="1"/>
        <v>0</v>
      </c>
      <c r="F36" s="1902" t="str">
        <f t="shared" si="0"/>
        <v>0</v>
      </c>
    </row>
    <row r="37" spans="1:6" hidden="1" x14ac:dyDescent="0.25">
      <c r="A37" s="1884"/>
      <c r="B37" s="1904"/>
      <c r="C37" s="1885"/>
      <c r="D37" s="1882"/>
      <c r="E37" s="1902">
        <f t="shared" si="1"/>
        <v>0</v>
      </c>
      <c r="F37" s="1902" t="str">
        <f t="shared" si="0"/>
        <v>0</v>
      </c>
    </row>
    <row r="38" spans="1:6" hidden="1" x14ac:dyDescent="0.25">
      <c r="A38" s="1884"/>
      <c r="B38" s="1904"/>
      <c r="C38" s="1885"/>
      <c r="D38" s="1882"/>
      <c r="E38" s="1902">
        <f t="shared" si="1"/>
        <v>0</v>
      </c>
      <c r="F38" s="1902" t="str">
        <f t="shared" si="0"/>
        <v>0</v>
      </c>
    </row>
    <row r="39" spans="1:6" hidden="1" x14ac:dyDescent="0.25">
      <c r="A39" s="1884"/>
      <c r="B39" s="1904"/>
      <c r="C39" s="1885"/>
      <c r="D39" s="1882"/>
      <c r="E39" s="1902">
        <f t="shared" si="1"/>
        <v>0</v>
      </c>
      <c r="F39" s="1902" t="str">
        <f t="shared" si="0"/>
        <v>0</v>
      </c>
    </row>
    <row r="40" spans="1:6" hidden="1" x14ac:dyDescent="0.25">
      <c r="A40" s="1884"/>
      <c r="B40" s="1904"/>
      <c r="C40" s="1885"/>
      <c r="D40" s="1882"/>
      <c r="E40" s="1902">
        <f t="shared" si="1"/>
        <v>0</v>
      </c>
      <c r="F40" s="1902" t="str">
        <f t="shared" si="0"/>
        <v>0</v>
      </c>
    </row>
    <row r="41" spans="1:6" hidden="1" x14ac:dyDescent="0.25">
      <c r="A41" s="1884"/>
      <c r="B41" s="1904"/>
      <c r="C41" s="1885"/>
      <c r="D41" s="1882"/>
      <c r="E41" s="1902">
        <f t="shared" si="1"/>
        <v>0</v>
      </c>
      <c r="F41" s="1902" t="str">
        <f t="shared" si="0"/>
        <v>0</v>
      </c>
    </row>
    <row r="42" spans="1:6" hidden="1" x14ac:dyDescent="0.25">
      <c r="A42" s="1884"/>
      <c r="B42" s="1904"/>
      <c r="C42" s="1885"/>
      <c r="D42" s="1882"/>
      <c r="E42" s="1902">
        <f t="shared" si="1"/>
        <v>0</v>
      </c>
      <c r="F42" s="1902" t="str">
        <f t="shared" si="0"/>
        <v>0</v>
      </c>
    </row>
    <row r="43" spans="1:6" hidden="1" x14ac:dyDescent="0.25">
      <c r="A43" s="1884"/>
      <c r="B43" s="1904"/>
      <c r="C43" s="1885"/>
      <c r="D43" s="1882"/>
      <c r="E43" s="1902">
        <f t="shared" si="1"/>
        <v>0</v>
      </c>
      <c r="F43" s="1902" t="str">
        <f t="shared" si="0"/>
        <v>0</v>
      </c>
    </row>
    <row r="44" spans="1:6" hidden="1" x14ac:dyDescent="0.25">
      <c r="A44" s="1884"/>
      <c r="B44" s="1904"/>
      <c r="C44" s="1885"/>
      <c r="D44" s="1882"/>
      <c r="E44" s="1902">
        <f t="shared" si="1"/>
        <v>0</v>
      </c>
      <c r="F44" s="1902" t="str">
        <f t="shared" si="0"/>
        <v>0</v>
      </c>
    </row>
    <row r="45" spans="1:6" hidden="1" x14ac:dyDescent="0.25">
      <c r="A45" s="1884"/>
      <c r="B45" s="1904"/>
      <c r="C45" s="1885"/>
      <c r="D45" s="1882"/>
      <c r="E45" s="1902">
        <f t="shared" si="1"/>
        <v>0</v>
      </c>
      <c r="F45" s="1902" t="str">
        <f t="shared" si="0"/>
        <v>0</v>
      </c>
    </row>
    <row r="46" spans="1:6" hidden="1" x14ac:dyDescent="0.25">
      <c r="A46" s="1884"/>
      <c r="B46" s="1904"/>
      <c r="C46" s="1885"/>
      <c r="D46" s="1882"/>
      <c r="E46" s="1902">
        <f t="shared" si="1"/>
        <v>0</v>
      </c>
      <c r="F46" s="1902" t="str">
        <f t="shared" si="0"/>
        <v>0</v>
      </c>
    </row>
    <row r="47" spans="1:6" hidden="1" x14ac:dyDescent="0.25">
      <c r="A47" s="1884"/>
      <c r="B47" s="1904"/>
      <c r="C47" s="1885"/>
      <c r="D47" s="1882"/>
      <c r="E47" s="1902">
        <f t="shared" si="1"/>
        <v>0</v>
      </c>
      <c r="F47" s="1902" t="str">
        <f t="shared" si="0"/>
        <v>0</v>
      </c>
    </row>
    <row r="48" spans="1:6" hidden="1" x14ac:dyDescent="0.25">
      <c r="A48" s="1884"/>
      <c r="B48" s="1904"/>
      <c r="C48" s="1885"/>
      <c r="D48" s="1882"/>
      <c r="E48" s="1902">
        <f t="shared" si="1"/>
        <v>0</v>
      </c>
      <c r="F48" s="1902" t="str">
        <f t="shared" si="0"/>
        <v>0</v>
      </c>
    </row>
    <row r="49" spans="1:6" hidden="1" x14ac:dyDescent="0.25">
      <c r="A49" s="1884"/>
      <c r="B49" s="1904"/>
      <c r="C49" s="1885"/>
      <c r="D49" s="1882"/>
      <c r="E49" s="1902">
        <f t="shared" si="1"/>
        <v>0</v>
      </c>
      <c r="F49" s="1902" t="str">
        <f t="shared" si="0"/>
        <v>0</v>
      </c>
    </row>
    <row r="50" spans="1:6" hidden="1" x14ac:dyDescent="0.25">
      <c r="A50" s="1884"/>
      <c r="B50" s="1904"/>
      <c r="C50" s="1885"/>
      <c r="D50" s="1882"/>
      <c r="E50" s="1902">
        <f t="shared" si="1"/>
        <v>0</v>
      </c>
      <c r="F50" s="1902" t="str">
        <f t="shared" si="0"/>
        <v>0</v>
      </c>
    </row>
    <row r="51" spans="1:6" hidden="1" x14ac:dyDescent="0.25">
      <c r="A51" s="1884"/>
      <c r="B51" s="1904"/>
      <c r="C51" s="1885"/>
      <c r="D51" s="1882"/>
      <c r="E51" s="1902">
        <f t="shared" si="1"/>
        <v>0</v>
      </c>
      <c r="F51" s="1902" t="str">
        <f t="shared" si="0"/>
        <v>0</v>
      </c>
    </row>
    <row r="52" spans="1:6" hidden="1" x14ac:dyDescent="0.25">
      <c r="A52" s="1884"/>
      <c r="B52" s="1904"/>
      <c r="C52" s="1885"/>
      <c r="D52" s="1882"/>
      <c r="E52" s="1902">
        <f t="shared" si="1"/>
        <v>0</v>
      </c>
      <c r="F52" s="1902" t="str">
        <f t="shared" si="0"/>
        <v>0</v>
      </c>
    </row>
    <row r="53" spans="1:6" hidden="1" x14ac:dyDescent="0.25">
      <c r="A53" s="1884"/>
      <c r="B53" s="1904"/>
      <c r="C53" s="1885"/>
      <c r="D53" s="1882"/>
      <c r="E53" s="1902">
        <f t="shared" si="1"/>
        <v>0</v>
      </c>
      <c r="F53" s="1902" t="str">
        <f t="shared" si="0"/>
        <v>0</v>
      </c>
    </row>
    <row r="54" spans="1:6" hidden="1" x14ac:dyDescent="0.25">
      <c r="A54" s="1884"/>
      <c r="B54" s="1904"/>
      <c r="C54" s="1885"/>
      <c r="D54" s="1882"/>
      <c r="E54" s="1902">
        <f t="shared" si="1"/>
        <v>0</v>
      </c>
      <c r="F54" s="1902" t="str">
        <f t="shared" si="0"/>
        <v>0</v>
      </c>
    </row>
    <row r="55" spans="1:6" hidden="1" x14ac:dyDescent="0.25">
      <c r="A55" s="1884"/>
      <c r="B55" s="1904"/>
      <c r="C55" s="1885"/>
      <c r="D55" s="1882"/>
      <c r="E55" s="1902">
        <f t="shared" si="1"/>
        <v>0</v>
      </c>
      <c r="F55" s="1902" t="str">
        <f t="shared" si="0"/>
        <v>0</v>
      </c>
    </row>
    <row r="56" spans="1:6" hidden="1" x14ac:dyDescent="0.25">
      <c r="A56" s="1884"/>
      <c r="B56" s="1904"/>
      <c r="C56" s="1885"/>
      <c r="D56" s="1882"/>
      <c r="E56" s="1902">
        <f t="shared" si="1"/>
        <v>0</v>
      </c>
      <c r="F56" s="1902" t="str">
        <f t="shared" si="0"/>
        <v>0</v>
      </c>
    </row>
    <row r="57" spans="1:6" hidden="1" x14ac:dyDescent="0.25">
      <c r="A57" s="1884"/>
      <c r="B57" s="1904"/>
      <c r="C57" s="1885"/>
      <c r="D57" s="1882"/>
      <c r="E57" s="1902">
        <f t="shared" si="1"/>
        <v>0</v>
      </c>
      <c r="F57" s="1902" t="str">
        <f t="shared" si="0"/>
        <v>0</v>
      </c>
    </row>
    <row r="58" spans="1:6" hidden="1" x14ac:dyDescent="0.25">
      <c r="A58" s="1884"/>
      <c r="B58" s="1904"/>
      <c r="C58" s="1885"/>
      <c r="D58" s="1882"/>
      <c r="E58" s="1902">
        <f t="shared" si="1"/>
        <v>0</v>
      </c>
      <c r="F58" s="1902" t="str">
        <f t="shared" si="0"/>
        <v>0</v>
      </c>
    </row>
    <row r="59" spans="1:6" hidden="1" x14ac:dyDescent="0.25">
      <c r="A59" s="1884"/>
      <c r="B59" s="1904"/>
      <c r="C59" s="1885"/>
      <c r="D59" s="1882"/>
      <c r="E59" s="1902">
        <f t="shared" si="1"/>
        <v>0</v>
      </c>
      <c r="F59" s="1902" t="str">
        <f t="shared" si="0"/>
        <v>0</v>
      </c>
    </row>
    <row r="60" spans="1:6" hidden="1" x14ac:dyDescent="0.25">
      <c r="A60" s="1884"/>
      <c r="B60" s="1904"/>
      <c r="C60" s="1885"/>
      <c r="D60" s="1882"/>
      <c r="E60" s="1902">
        <f t="shared" si="1"/>
        <v>0</v>
      </c>
      <c r="F60" s="1902" t="str">
        <f t="shared" si="0"/>
        <v>0</v>
      </c>
    </row>
    <row r="61" spans="1:6" hidden="1" x14ac:dyDescent="0.25">
      <c r="A61" s="1884"/>
      <c r="B61" s="1904"/>
      <c r="C61" s="1885"/>
      <c r="D61" s="1882"/>
      <c r="E61" s="1902">
        <f t="shared" si="1"/>
        <v>0</v>
      </c>
      <c r="F61" s="1902" t="str">
        <f t="shared" si="0"/>
        <v>0</v>
      </c>
    </row>
    <row r="62" spans="1:6" hidden="1" x14ac:dyDescent="0.25">
      <c r="A62" s="1884"/>
      <c r="B62" s="1904"/>
      <c r="C62" s="1885"/>
      <c r="D62" s="1882"/>
      <c r="E62" s="1902">
        <f t="shared" si="1"/>
        <v>0</v>
      </c>
      <c r="F62" s="1902" t="str">
        <f t="shared" si="0"/>
        <v>0</v>
      </c>
    </row>
    <row r="63" spans="1:6" hidden="1" x14ac:dyDescent="0.25">
      <c r="A63" s="1880"/>
      <c r="B63" s="1904"/>
      <c r="C63" s="1881"/>
      <c r="D63" s="1882"/>
      <c r="E63" s="1902">
        <f t="shared" si="1"/>
        <v>0</v>
      </c>
      <c r="F63" s="1902" t="str">
        <f t="shared" si="0"/>
        <v>0</v>
      </c>
    </row>
    <row r="64" spans="1:6" hidden="1" x14ac:dyDescent="0.25">
      <c r="A64" s="1884"/>
      <c r="B64" s="1904"/>
      <c r="C64" s="1885"/>
      <c r="D64" s="1882"/>
      <c r="E64" s="1902">
        <f t="shared" si="1"/>
        <v>0</v>
      </c>
      <c r="F64" s="1902" t="str">
        <f t="shared" si="0"/>
        <v>0</v>
      </c>
    </row>
    <row r="65" spans="1:6" hidden="1" x14ac:dyDescent="0.25">
      <c r="A65" s="1884"/>
      <c r="B65" s="1904"/>
      <c r="C65" s="1885"/>
      <c r="D65" s="1882"/>
      <c r="E65" s="1902">
        <f t="shared" si="1"/>
        <v>0</v>
      </c>
      <c r="F65" s="1902" t="str">
        <f t="shared" si="0"/>
        <v>0</v>
      </c>
    </row>
    <row r="66" spans="1:6" hidden="1" x14ac:dyDescent="0.25">
      <c r="A66" s="1884"/>
      <c r="B66" s="1904"/>
      <c r="C66" s="1885"/>
      <c r="D66" s="1882"/>
      <c r="E66" s="1902">
        <f t="shared" si="1"/>
        <v>0</v>
      </c>
      <c r="F66" s="1902" t="str">
        <f t="shared" si="0"/>
        <v>0</v>
      </c>
    </row>
    <row r="67" spans="1:6" hidden="1" x14ac:dyDescent="0.25">
      <c r="A67" s="1884"/>
      <c r="B67" s="1904"/>
      <c r="C67" s="1885"/>
      <c r="D67" s="1882"/>
      <c r="E67" s="1902">
        <f t="shared" si="1"/>
        <v>0</v>
      </c>
      <c r="F67" s="1902" t="str">
        <f t="shared" si="0"/>
        <v>0</v>
      </c>
    </row>
    <row r="68" spans="1:6" hidden="1" x14ac:dyDescent="0.25">
      <c r="A68" s="1884"/>
      <c r="B68" s="1904"/>
      <c r="C68" s="1885"/>
      <c r="D68" s="1882"/>
      <c r="E68" s="1902">
        <f t="shared" si="1"/>
        <v>0</v>
      </c>
      <c r="F68" s="1902" t="str">
        <f t="shared" si="0"/>
        <v>0</v>
      </c>
    </row>
    <row r="69" spans="1:6" hidden="1" x14ac:dyDescent="0.25">
      <c r="A69" s="1884"/>
      <c r="B69" s="1904"/>
      <c r="C69" s="1885"/>
      <c r="D69" s="1882"/>
      <c r="E69" s="1902">
        <f t="shared" si="1"/>
        <v>0</v>
      </c>
      <c r="F69" s="1902" t="str">
        <f t="shared" si="0"/>
        <v>0</v>
      </c>
    </row>
    <row r="70" spans="1:6" hidden="1" x14ac:dyDescent="0.25">
      <c r="A70" s="1884"/>
      <c r="B70" s="1904"/>
      <c r="C70" s="1885"/>
      <c r="D70" s="1882"/>
      <c r="E70" s="1902">
        <f t="shared" si="1"/>
        <v>0</v>
      </c>
      <c r="F70" s="1902" t="str">
        <f t="shared" si="0"/>
        <v>0</v>
      </c>
    </row>
    <row r="71" spans="1:6" hidden="1" x14ac:dyDescent="0.25">
      <c r="A71" s="1884"/>
      <c r="B71" s="1904"/>
      <c r="C71" s="1885"/>
      <c r="D71" s="1882"/>
      <c r="E71" s="1902">
        <f t="shared" si="1"/>
        <v>0</v>
      </c>
      <c r="F71" s="1902" t="str">
        <f t="shared" si="0"/>
        <v>0</v>
      </c>
    </row>
    <row r="72" spans="1:6" hidden="1" x14ac:dyDescent="0.25">
      <c r="A72" s="1884"/>
      <c r="B72" s="1904"/>
      <c r="C72" s="1885"/>
      <c r="D72" s="1882"/>
      <c r="E72" s="1902">
        <f t="shared" si="1"/>
        <v>0</v>
      </c>
      <c r="F72" s="1902" t="str">
        <f t="shared" si="0"/>
        <v>0</v>
      </c>
    </row>
    <row r="73" spans="1:6" hidden="1" x14ac:dyDescent="0.25">
      <c r="A73" s="1884"/>
      <c r="B73" s="1904"/>
      <c r="C73" s="1885"/>
      <c r="D73" s="1882"/>
      <c r="E73" s="1902">
        <f t="shared" si="1"/>
        <v>0</v>
      </c>
      <c r="F73" s="1902" t="str">
        <f t="shared" si="0"/>
        <v>0</v>
      </c>
    </row>
    <row r="74" spans="1:6" hidden="1" x14ac:dyDescent="0.25">
      <c r="A74" s="1884"/>
      <c r="B74" s="1904"/>
      <c r="C74" s="1885"/>
      <c r="D74" s="1882"/>
      <c r="E74" s="1902">
        <f t="shared" si="1"/>
        <v>0</v>
      </c>
      <c r="F74" s="1902" t="str">
        <f t="shared" si="0"/>
        <v>0</v>
      </c>
    </row>
    <row r="75" spans="1:6" hidden="1" x14ac:dyDescent="0.25">
      <c r="A75" s="1884"/>
      <c r="B75" s="1904"/>
      <c r="C75" s="1885"/>
      <c r="D75" s="1882"/>
      <c r="E75" s="1902">
        <f t="shared" si="1"/>
        <v>0</v>
      </c>
      <c r="F75" s="1902" t="str">
        <f t="shared" si="0"/>
        <v>0</v>
      </c>
    </row>
    <row r="76" spans="1:6" hidden="1" x14ac:dyDescent="0.25">
      <c r="A76" s="1884"/>
      <c r="B76" s="1904"/>
      <c r="C76" s="1885"/>
      <c r="D76" s="1882"/>
      <c r="E76" s="1902">
        <f t="shared" si="1"/>
        <v>0</v>
      </c>
      <c r="F76" s="1902" t="str">
        <f t="shared" si="0"/>
        <v>0</v>
      </c>
    </row>
    <row r="77" spans="1:6" hidden="1" x14ac:dyDescent="0.25">
      <c r="A77" s="1884"/>
      <c r="B77" s="1904"/>
      <c r="C77" s="1885"/>
      <c r="D77" s="1882"/>
      <c r="E77" s="1902">
        <f t="shared" si="1"/>
        <v>0</v>
      </c>
      <c r="F77" s="1902" t="str">
        <f t="shared" si="0"/>
        <v>0</v>
      </c>
    </row>
    <row r="78" spans="1:6" hidden="1" x14ac:dyDescent="0.25">
      <c r="A78" s="1884"/>
      <c r="B78" s="1904"/>
      <c r="C78" s="1885"/>
      <c r="D78" s="1882"/>
      <c r="E78" s="1902">
        <f t="shared" si="1"/>
        <v>0</v>
      </c>
      <c r="F78" s="1902" t="str">
        <f t="shared" si="0"/>
        <v>0</v>
      </c>
    </row>
    <row r="79" spans="1:6" hidden="1" x14ac:dyDescent="0.25">
      <c r="A79" s="1884"/>
      <c r="B79" s="1904"/>
      <c r="C79" s="1885"/>
      <c r="D79" s="1882"/>
      <c r="E79" s="1902">
        <f t="shared" si="1"/>
        <v>0</v>
      </c>
      <c r="F79" s="1902" t="str">
        <f t="shared" si="0"/>
        <v>0</v>
      </c>
    </row>
    <row r="80" spans="1:6" hidden="1" x14ac:dyDescent="0.25">
      <c r="A80" s="1884"/>
      <c r="B80" s="1904"/>
      <c r="C80" s="1885"/>
      <c r="D80" s="1882"/>
      <c r="E80" s="1902">
        <f t="shared" ref="E80:E139" si="2">IF(D80&lt;25000,D80,"25,000")</f>
        <v>0</v>
      </c>
      <c r="F80" s="1902" t="str">
        <f t="shared" ref="F80:F139" si="3">IF(D80&gt;=25000,(D80-E80),"0")</f>
        <v>0</v>
      </c>
    </row>
    <row r="81" spans="1:6" hidden="1" x14ac:dyDescent="0.25">
      <c r="A81" s="1884"/>
      <c r="B81" s="1904"/>
      <c r="C81" s="1885"/>
      <c r="D81" s="1882"/>
      <c r="E81" s="1902">
        <f t="shared" si="2"/>
        <v>0</v>
      </c>
      <c r="F81" s="1902" t="str">
        <f t="shared" si="3"/>
        <v>0</v>
      </c>
    </row>
    <row r="82" spans="1:6" hidden="1" x14ac:dyDescent="0.25">
      <c r="A82" s="1884"/>
      <c r="B82" s="1904"/>
      <c r="C82" s="1885"/>
      <c r="D82" s="1882"/>
      <c r="E82" s="1902">
        <f t="shared" si="2"/>
        <v>0</v>
      </c>
      <c r="F82" s="1902" t="str">
        <f t="shared" si="3"/>
        <v>0</v>
      </c>
    </row>
    <row r="83" spans="1:6" hidden="1" x14ac:dyDescent="0.25">
      <c r="A83" s="1884"/>
      <c r="B83" s="1904"/>
      <c r="C83" s="1885"/>
      <c r="D83" s="1882"/>
      <c r="E83" s="1902">
        <f t="shared" si="2"/>
        <v>0</v>
      </c>
      <c r="F83" s="1902" t="str">
        <f t="shared" si="3"/>
        <v>0</v>
      </c>
    </row>
    <row r="84" spans="1:6" hidden="1" x14ac:dyDescent="0.25">
      <c r="A84" s="1884"/>
      <c r="B84" s="1904"/>
      <c r="C84" s="1885"/>
      <c r="D84" s="1882"/>
      <c r="E84" s="1902">
        <f t="shared" si="2"/>
        <v>0</v>
      </c>
      <c r="F84" s="1902" t="str">
        <f t="shared" si="3"/>
        <v>0</v>
      </c>
    </row>
    <row r="85" spans="1:6" hidden="1" x14ac:dyDescent="0.25">
      <c r="A85" s="1884"/>
      <c r="B85" s="1904"/>
      <c r="C85" s="1885"/>
      <c r="D85" s="1882"/>
      <c r="E85" s="1902">
        <f t="shared" si="2"/>
        <v>0</v>
      </c>
      <c r="F85" s="1902" t="str">
        <f t="shared" si="3"/>
        <v>0</v>
      </c>
    </row>
    <row r="86" spans="1:6" hidden="1" x14ac:dyDescent="0.25">
      <c r="A86" s="1884"/>
      <c r="B86" s="1904"/>
      <c r="C86" s="1885"/>
      <c r="D86" s="1882"/>
      <c r="E86" s="1902">
        <f t="shared" si="2"/>
        <v>0</v>
      </c>
      <c r="F86" s="1902" t="str">
        <f t="shared" si="3"/>
        <v>0</v>
      </c>
    </row>
    <row r="87" spans="1:6" hidden="1" x14ac:dyDescent="0.25">
      <c r="A87" s="1884"/>
      <c r="B87" s="1904"/>
      <c r="C87" s="1885"/>
      <c r="D87" s="1882"/>
      <c r="E87" s="1902">
        <f t="shared" si="2"/>
        <v>0</v>
      </c>
      <c r="F87" s="1902" t="str">
        <f t="shared" si="3"/>
        <v>0</v>
      </c>
    </row>
    <row r="88" spans="1:6" hidden="1" x14ac:dyDescent="0.25">
      <c r="A88" s="1884"/>
      <c r="B88" s="1904"/>
      <c r="C88" s="1885"/>
      <c r="D88" s="1882"/>
      <c r="E88" s="1902">
        <f t="shared" si="2"/>
        <v>0</v>
      </c>
      <c r="F88" s="1902" t="str">
        <f t="shared" si="3"/>
        <v>0</v>
      </c>
    </row>
    <row r="89" spans="1:6" hidden="1" x14ac:dyDescent="0.25">
      <c r="A89" s="1884"/>
      <c r="B89" s="1904"/>
      <c r="C89" s="1885"/>
      <c r="D89" s="1882"/>
      <c r="E89" s="1902">
        <f t="shared" si="2"/>
        <v>0</v>
      </c>
      <c r="F89" s="1902" t="str">
        <f t="shared" si="3"/>
        <v>0</v>
      </c>
    </row>
    <row r="90" spans="1:6" hidden="1" x14ac:dyDescent="0.25">
      <c r="A90" s="1884"/>
      <c r="B90" s="1904"/>
      <c r="C90" s="1885"/>
      <c r="D90" s="1882"/>
      <c r="E90" s="1902">
        <f t="shared" si="2"/>
        <v>0</v>
      </c>
      <c r="F90" s="1902" t="str">
        <f t="shared" si="3"/>
        <v>0</v>
      </c>
    </row>
    <row r="91" spans="1:6" hidden="1" x14ac:dyDescent="0.25">
      <c r="A91" s="1884"/>
      <c r="B91" s="1904"/>
      <c r="C91" s="1885"/>
      <c r="D91" s="1882"/>
      <c r="E91" s="1902">
        <f t="shared" si="2"/>
        <v>0</v>
      </c>
      <c r="F91" s="1902" t="str">
        <f t="shared" si="3"/>
        <v>0</v>
      </c>
    </row>
    <row r="92" spans="1:6" hidden="1" x14ac:dyDescent="0.25">
      <c r="A92" s="1884"/>
      <c r="B92" s="1904"/>
      <c r="C92" s="1885"/>
      <c r="D92" s="1882"/>
      <c r="E92" s="1902">
        <f t="shared" si="2"/>
        <v>0</v>
      </c>
      <c r="F92" s="1902" t="str">
        <f t="shared" si="3"/>
        <v>0</v>
      </c>
    </row>
    <row r="93" spans="1:6" hidden="1" x14ac:dyDescent="0.25">
      <c r="A93" s="1884"/>
      <c r="B93" s="1904"/>
      <c r="C93" s="1885"/>
      <c r="D93" s="1882"/>
      <c r="E93" s="1902">
        <f t="shared" si="2"/>
        <v>0</v>
      </c>
      <c r="F93" s="1902" t="str">
        <f t="shared" si="3"/>
        <v>0</v>
      </c>
    </row>
    <row r="94" spans="1:6" hidden="1" x14ac:dyDescent="0.25">
      <c r="A94" s="1884"/>
      <c r="B94" s="1904"/>
      <c r="C94" s="1885"/>
      <c r="D94" s="1882"/>
      <c r="E94" s="1902">
        <f t="shared" si="2"/>
        <v>0</v>
      </c>
      <c r="F94" s="1902" t="str">
        <f t="shared" si="3"/>
        <v>0</v>
      </c>
    </row>
    <row r="95" spans="1:6" hidden="1" x14ac:dyDescent="0.25">
      <c r="A95" s="1884"/>
      <c r="B95" s="1904"/>
      <c r="C95" s="1885"/>
      <c r="D95" s="1882"/>
      <c r="E95" s="1902">
        <f t="shared" si="2"/>
        <v>0</v>
      </c>
      <c r="F95" s="1902" t="str">
        <f t="shared" si="3"/>
        <v>0</v>
      </c>
    </row>
    <row r="96" spans="1:6" hidden="1" x14ac:dyDescent="0.25">
      <c r="A96" s="1884"/>
      <c r="B96" s="1904"/>
      <c r="C96" s="1885"/>
      <c r="D96" s="1882"/>
      <c r="E96" s="1902">
        <f t="shared" si="2"/>
        <v>0</v>
      </c>
      <c r="F96" s="1902" t="str">
        <f t="shared" si="3"/>
        <v>0</v>
      </c>
    </row>
    <row r="97" spans="1:6" hidden="1" x14ac:dyDescent="0.25">
      <c r="A97" s="1884"/>
      <c r="B97" s="1904"/>
      <c r="C97" s="1885"/>
      <c r="D97" s="1882"/>
      <c r="E97" s="1902">
        <f t="shared" si="2"/>
        <v>0</v>
      </c>
      <c r="F97" s="1902" t="str">
        <f t="shared" si="3"/>
        <v>0</v>
      </c>
    </row>
    <row r="98" spans="1:6" hidden="1" x14ac:dyDescent="0.25">
      <c r="A98" s="1884"/>
      <c r="B98" s="1904"/>
      <c r="C98" s="1885"/>
      <c r="D98" s="1882"/>
      <c r="E98" s="1902">
        <f t="shared" si="2"/>
        <v>0</v>
      </c>
      <c r="F98" s="1902" t="str">
        <f t="shared" si="3"/>
        <v>0</v>
      </c>
    </row>
    <row r="99" spans="1:6" hidden="1" x14ac:dyDescent="0.25">
      <c r="A99" s="1884"/>
      <c r="B99" s="1904"/>
      <c r="C99" s="1885"/>
      <c r="D99" s="1882"/>
      <c r="E99" s="1902">
        <f t="shared" si="2"/>
        <v>0</v>
      </c>
      <c r="F99" s="1902" t="str">
        <f t="shared" si="3"/>
        <v>0</v>
      </c>
    </row>
    <row r="100" spans="1:6" hidden="1" x14ac:dyDescent="0.25">
      <c r="A100" s="1884"/>
      <c r="B100" s="1904"/>
      <c r="C100" s="1885"/>
      <c r="D100" s="1882"/>
      <c r="E100" s="1902">
        <f t="shared" si="2"/>
        <v>0</v>
      </c>
      <c r="F100" s="1902" t="str">
        <f t="shared" si="3"/>
        <v>0</v>
      </c>
    </row>
    <row r="101" spans="1:6" hidden="1" x14ac:dyDescent="0.25">
      <c r="A101" s="1884"/>
      <c r="B101" s="1904"/>
      <c r="C101" s="1885"/>
      <c r="D101" s="1882"/>
      <c r="E101" s="1902">
        <f t="shared" si="2"/>
        <v>0</v>
      </c>
      <c r="F101" s="1902" t="str">
        <f t="shared" si="3"/>
        <v>0</v>
      </c>
    </row>
    <row r="102" spans="1:6" hidden="1" x14ac:dyDescent="0.25">
      <c r="A102" s="1884"/>
      <c r="B102" s="1904"/>
      <c r="C102" s="1885"/>
      <c r="D102" s="1882"/>
      <c r="E102" s="1902">
        <f t="shared" si="2"/>
        <v>0</v>
      </c>
      <c r="F102" s="1902" t="str">
        <f t="shared" si="3"/>
        <v>0</v>
      </c>
    </row>
    <row r="103" spans="1:6" hidden="1" x14ac:dyDescent="0.25">
      <c r="A103" s="1884"/>
      <c r="B103" s="1904"/>
      <c r="C103" s="1885"/>
      <c r="D103" s="1882"/>
      <c r="E103" s="1902">
        <f t="shared" si="2"/>
        <v>0</v>
      </c>
      <c r="F103" s="1902" t="str">
        <f t="shared" si="3"/>
        <v>0</v>
      </c>
    </row>
    <row r="104" spans="1:6" hidden="1" x14ac:dyDescent="0.25">
      <c r="A104" s="1884"/>
      <c r="B104" s="1904"/>
      <c r="C104" s="1885"/>
      <c r="D104" s="1882"/>
      <c r="E104" s="1902">
        <f t="shared" si="2"/>
        <v>0</v>
      </c>
      <c r="F104" s="1902" t="str">
        <f t="shared" si="3"/>
        <v>0</v>
      </c>
    </row>
    <row r="105" spans="1:6" hidden="1" x14ac:dyDescent="0.25">
      <c r="A105" s="1884"/>
      <c r="B105" s="1904"/>
      <c r="C105" s="1885"/>
      <c r="D105" s="1882"/>
      <c r="E105" s="1902">
        <f t="shared" si="2"/>
        <v>0</v>
      </c>
      <c r="F105" s="1902" t="str">
        <f t="shared" si="3"/>
        <v>0</v>
      </c>
    </row>
    <row r="106" spans="1:6" hidden="1" x14ac:dyDescent="0.25">
      <c r="A106" s="1884"/>
      <c r="B106" s="1904"/>
      <c r="C106" s="1885"/>
      <c r="D106" s="1882"/>
      <c r="E106" s="1902">
        <f t="shared" si="2"/>
        <v>0</v>
      </c>
      <c r="F106" s="1902" t="str">
        <f t="shared" si="3"/>
        <v>0</v>
      </c>
    </row>
    <row r="107" spans="1:6" hidden="1" x14ac:dyDescent="0.25">
      <c r="A107" s="1884"/>
      <c r="B107" s="1904"/>
      <c r="C107" s="1885"/>
      <c r="D107" s="1882"/>
      <c r="E107" s="1902">
        <f t="shared" si="2"/>
        <v>0</v>
      </c>
      <c r="F107" s="1902" t="str">
        <f t="shared" si="3"/>
        <v>0</v>
      </c>
    </row>
    <row r="108" spans="1:6" hidden="1" x14ac:dyDescent="0.25">
      <c r="A108" s="1884"/>
      <c r="B108" s="1904"/>
      <c r="C108" s="1885"/>
      <c r="D108" s="1882"/>
      <c r="E108" s="1902">
        <f t="shared" si="2"/>
        <v>0</v>
      </c>
      <c r="F108" s="1902" t="str">
        <f t="shared" si="3"/>
        <v>0</v>
      </c>
    </row>
    <row r="109" spans="1:6" hidden="1" x14ac:dyDescent="0.25">
      <c r="A109" s="1884"/>
      <c r="B109" s="1904"/>
      <c r="C109" s="1885"/>
      <c r="D109" s="1882"/>
      <c r="E109" s="1902">
        <f t="shared" si="2"/>
        <v>0</v>
      </c>
      <c r="F109" s="1902" t="str">
        <f t="shared" si="3"/>
        <v>0</v>
      </c>
    </row>
    <row r="110" spans="1:6" hidden="1" x14ac:dyDescent="0.25">
      <c r="A110" s="1884"/>
      <c r="B110" s="1904"/>
      <c r="C110" s="1885"/>
      <c r="D110" s="1882"/>
      <c r="E110" s="1902">
        <f t="shared" si="2"/>
        <v>0</v>
      </c>
      <c r="F110" s="1902" t="str">
        <f t="shared" si="3"/>
        <v>0</v>
      </c>
    </row>
    <row r="111" spans="1:6" hidden="1" x14ac:dyDescent="0.25">
      <c r="A111" s="1884"/>
      <c r="B111" s="1904"/>
      <c r="C111" s="1885"/>
      <c r="D111" s="1882"/>
      <c r="E111" s="1902">
        <f t="shared" si="2"/>
        <v>0</v>
      </c>
      <c r="F111" s="1902" t="str">
        <f t="shared" si="3"/>
        <v>0</v>
      </c>
    </row>
    <row r="112" spans="1:6" hidden="1" x14ac:dyDescent="0.25">
      <c r="A112" s="1884"/>
      <c r="B112" s="1904"/>
      <c r="C112" s="1885"/>
      <c r="D112" s="1882"/>
      <c r="E112" s="1902">
        <f t="shared" si="2"/>
        <v>0</v>
      </c>
      <c r="F112" s="1902" t="str">
        <f t="shared" si="3"/>
        <v>0</v>
      </c>
    </row>
    <row r="113" spans="1:6" hidden="1" x14ac:dyDescent="0.25">
      <c r="A113" s="1884"/>
      <c r="B113" s="1904"/>
      <c r="C113" s="1885"/>
      <c r="D113" s="1882"/>
      <c r="E113" s="1902">
        <f t="shared" si="2"/>
        <v>0</v>
      </c>
      <c r="F113" s="1902" t="str">
        <f t="shared" si="3"/>
        <v>0</v>
      </c>
    </row>
    <row r="114" spans="1:6" hidden="1" x14ac:dyDescent="0.25">
      <c r="A114" s="1884"/>
      <c r="B114" s="1904"/>
      <c r="C114" s="1885"/>
      <c r="D114" s="1882"/>
      <c r="E114" s="1902">
        <f t="shared" si="2"/>
        <v>0</v>
      </c>
      <c r="F114" s="1902" t="str">
        <f t="shared" si="3"/>
        <v>0</v>
      </c>
    </row>
    <row r="115" spans="1:6" hidden="1" x14ac:dyDescent="0.25">
      <c r="A115" s="1884"/>
      <c r="B115" s="1904"/>
      <c r="C115" s="1885"/>
      <c r="D115" s="1882"/>
      <c r="E115" s="1902">
        <f t="shared" si="2"/>
        <v>0</v>
      </c>
      <c r="F115" s="1902" t="str">
        <f t="shared" si="3"/>
        <v>0</v>
      </c>
    </row>
    <row r="116" spans="1:6" hidden="1" x14ac:dyDescent="0.25">
      <c r="A116" s="1884"/>
      <c r="B116" s="1904"/>
      <c r="C116" s="1885"/>
      <c r="D116" s="1882"/>
      <c r="E116" s="1902">
        <f t="shared" si="2"/>
        <v>0</v>
      </c>
      <c r="F116" s="1902" t="str">
        <f t="shared" si="3"/>
        <v>0</v>
      </c>
    </row>
    <row r="117" spans="1:6" hidden="1" x14ac:dyDescent="0.25">
      <c r="A117" s="1884"/>
      <c r="B117" s="1904"/>
      <c r="C117" s="1885"/>
      <c r="D117" s="1882"/>
      <c r="E117" s="1902">
        <f t="shared" si="2"/>
        <v>0</v>
      </c>
      <c r="F117" s="1902" t="str">
        <f t="shared" si="3"/>
        <v>0</v>
      </c>
    </row>
    <row r="118" spans="1:6" hidden="1" x14ac:dyDescent="0.25">
      <c r="A118" s="1884"/>
      <c r="B118" s="1904"/>
      <c r="C118" s="1885"/>
      <c r="D118" s="1882"/>
      <c r="E118" s="1902">
        <f t="shared" si="2"/>
        <v>0</v>
      </c>
      <c r="F118" s="1902" t="str">
        <f t="shared" si="3"/>
        <v>0</v>
      </c>
    </row>
    <row r="119" spans="1:6" hidden="1" x14ac:dyDescent="0.25">
      <c r="A119" s="1884"/>
      <c r="B119" s="1904"/>
      <c r="C119" s="1885"/>
      <c r="D119" s="1882"/>
      <c r="E119" s="1902">
        <f t="shared" si="2"/>
        <v>0</v>
      </c>
      <c r="F119" s="1902" t="str">
        <f t="shared" si="3"/>
        <v>0</v>
      </c>
    </row>
    <row r="120" spans="1:6" hidden="1" x14ac:dyDescent="0.25">
      <c r="A120" s="1884"/>
      <c r="B120" s="1904"/>
      <c r="C120" s="1885"/>
      <c r="D120" s="1882"/>
      <c r="E120" s="1902">
        <f t="shared" si="2"/>
        <v>0</v>
      </c>
      <c r="F120" s="1902" t="str">
        <f t="shared" si="3"/>
        <v>0</v>
      </c>
    </row>
    <row r="121" spans="1:6" hidden="1" x14ac:dyDescent="0.25">
      <c r="A121" s="1884"/>
      <c r="B121" s="1904"/>
      <c r="C121" s="1885"/>
      <c r="D121" s="1882"/>
      <c r="E121" s="1902">
        <f t="shared" si="2"/>
        <v>0</v>
      </c>
      <c r="F121" s="1902" t="str">
        <f t="shared" si="3"/>
        <v>0</v>
      </c>
    </row>
    <row r="122" spans="1:6" hidden="1" x14ac:dyDescent="0.25">
      <c r="A122" s="1884"/>
      <c r="B122" s="1904"/>
      <c r="C122" s="1885"/>
      <c r="D122" s="1882"/>
      <c r="E122" s="1902">
        <f t="shared" si="2"/>
        <v>0</v>
      </c>
      <c r="F122" s="1902" t="str">
        <f t="shared" si="3"/>
        <v>0</v>
      </c>
    </row>
    <row r="123" spans="1:6" hidden="1" x14ac:dyDescent="0.25">
      <c r="A123" s="1884"/>
      <c r="B123" s="1904"/>
      <c r="C123" s="1885"/>
      <c r="D123" s="1882"/>
      <c r="E123" s="1902">
        <f t="shared" si="2"/>
        <v>0</v>
      </c>
      <c r="F123" s="1902" t="str">
        <f t="shared" si="3"/>
        <v>0</v>
      </c>
    </row>
    <row r="124" spans="1:6" hidden="1" x14ac:dyDescent="0.25">
      <c r="A124" s="1884"/>
      <c r="B124" s="1904"/>
      <c r="C124" s="1885"/>
      <c r="D124" s="1882"/>
      <c r="E124" s="1902">
        <f t="shared" si="2"/>
        <v>0</v>
      </c>
      <c r="F124" s="1902" t="str">
        <f t="shared" si="3"/>
        <v>0</v>
      </c>
    </row>
    <row r="125" spans="1:6" hidden="1" x14ac:dyDescent="0.25">
      <c r="A125" s="1884"/>
      <c r="B125" s="1904"/>
      <c r="C125" s="1885"/>
      <c r="D125" s="1882"/>
      <c r="E125" s="1902">
        <f t="shared" si="2"/>
        <v>0</v>
      </c>
      <c r="F125" s="1902" t="str">
        <f t="shared" si="3"/>
        <v>0</v>
      </c>
    </row>
    <row r="126" spans="1:6" hidden="1" x14ac:dyDescent="0.25">
      <c r="A126" s="1884"/>
      <c r="B126" s="1904"/>
      <c r="C126" s="1885"/>
      <c r="D126" s="1882"/>
      <c r="E126" s="1902">
        <f t="shared" si="2"/>
        <v>0</v>
      </c>
      <c r="F126" s="1902" t="str">
        <f t="shared" si="3"/>
        <v>0</v>
      </c>
    </row>
    <row r="127" spans="1:6" hidden="1" x14ac:dyDescent="0.25">
      <c r="A127" s="1884"/>
      <c r="B127" s="1904"/>
      <c r="C127" s="1885"/>
      <c r="D127" s="1882"/>
      <c r="E127" s="1902">
        <f t="shared" si="2"/>
        <v>0</v>
      </c>
      <c r="F127" s="1902" t="str">
        <f t="shared" si="3"/>
        <v>0</v>
      </c>
    </row>
    <row r="128" spans="1:6" hidden="1" x14ac:dyDescent="0.25">
      <c r="A128" s="1884"/>
      <c r="B128" s="1904"/>
      <c r="C128" s="1885"/>
      <c r="D128" s="1882"/>
      <c r="E128" s="1902">
        <f t="shared" si="2"/>
        <v>0</v>
      </c>
      <c r="F128" s="1902" t="str">
        <f t="shared" si="3"/>
        <v>0</v>
      </c>
    </row>
    <row r="129" spans="1:6" hidden="1" x14ac:dyDescent="0.25">
      <c r="A129" s="1884"/>
      <c r="B129" s="1904"/>
      <c r="C129" s="1885"/>
      <c r="D129" s="1882"/>
      <c r="E129" s="1902">
        <f t="shared" si="2"/>
        <v>0</v>
      </c>
      <c r="F129" s="1902" t="str">
        <f t="shared" si="3"/>
        <v>0</v>
      </c>
    </row>
    <row r="130" spans="1:6" hidden="1" x14ac:dyDescent="0.25">
      <c r="A130" s="1884"/>
      <c r="B130" s="1904"/>
      <c r="C130" s="1885"/>
      <c r="D130" s="1882"/>
      <c r="E130" s="1902">
        <f t="shared" si="2"/>
        <v>0</v>
      </c>
      <c r="F130" s="1902" t="str">
        <f t="shared" si="3"/>
        <v>0</v>
      </c>
    </row>
    <row r="131" spans="1:6" hidden="1" x14ac:dyDescent="0.25">
      <c r="A131" s="1884"/>
      <c r="B131" s="1904"/>
      <c r="C131" s="1885"/>
      <c r="D131" s="1882"/>
      <c r="E131" s="1902">
        <f t="shared" si="2"/>
        <v>0</v>
      </c>
      <c r="F131" s="1902" t="str">
        <f t="shared" si="3"/>
        <v>0</v>
      </c>
    </row>
    <row r="132" spans="1:6" hidden="1" x14ac:dyDescent="0.25">
      <c r="A132" s="1884"/>
      <c r="B132" s="1904"/>
      <c r="C132" s="1885"/>
      <c r="D132" s="1882"/>
      <c r="E132" s="1902">
        <f t="shared" si="2"/>
        <v>0</v>
      </c>
      <c r="F132" s="1902" t="str">
        <f t="shared" si="3"/>
        <v>0</v>
      </c>
    </row>
    <row r="133" spans="1:6" hidden="1" x14ac:dyDescent="0.25">
      <c r="A133" s="1884"/>
      <c r="B133" s="1904"/>
      <c r="C133" s="1885"/>
      <c r="D133" s="1882"/>
      <c r="E133" s="1902">
        <f t="shared" si="2"/>
        <v>0</v>
      </c>
      <c r="F133" s="1902" t="str">
        <f t="shared" si="3"/>
        <v>0</v>
      </c>
    </row>
    <row r="134" spans="1:6" hidden="1" x14ac:dyDescent="0.25">
      <c r="A134" s="1884"/>
      <c r="B134" s="1904"/>
      <c r="C134" s="1885"/>
      <c r="D134" s="1882"/>
      <c r="E134" s="1902">
        <f t="shared" si="2"/>
        <v>0</v>
      </c>
      <c r="F134" s="1902" t="str">
        <f t="shared" si="3"/>
        <v>0</v>
      </c>
    </row>
    <row r="135" spans="1:6" hidden="1" x14ac:dyDescent="0.25">
      <c r="A135" s="1884"/>
      <c r="B135" s="1904"/>
      <c r="C135" s="1885"/>
      <c r="D135" s="1882"/>
      <c r="E135" s="1902">
        <f t="shared" si="2"/>
        <v>0</v>
      </c>
      <c r="F135" s="1902" t="str">
        <f t="shared" si="3"/>
        <v>0</v>
      </c>
    </row>
    <row r="136" spans="1:6" hidden="1" x14ac:dyDescent="0.25">
      <c r="A136" s="1884"/>
      <c r="B136" s="1904"/>
      <c r="C136" s="1885"/>
      <c r="D136" s="1882"/>
      <c r="E136" s="1902">
        <f t="shared" si="2"/>
        <v>0</v>
      </c>
      <c r="F136" s="1902" t="str">
        <f t="shared" si="3"/>
        <v>0</v>
      </c>
    </row>
    <row r="137" spans="1:6" hidden="1" x14ac:dyDescent="0.25">
      <c r="A137" s="1884"/>
      <c r="B137" s="1904"/>
      <c r="C137" s="1885"/>
      <c r="D137" s="1882"/>
      <c r="E137" s="1902">
        <f t="shared" si="2"/>
        <v>0</v>
      </c>
      <c r="F137" s="1902" t="str">
        <f t="shared" si="3"/>
        <v>0</v>
      </c>
    </row>
    <row r="138" spans="1:6" hidden="1" x14ac:dyDescent="0.25">
      <c r="A138" s="1884"/>
      <c r="B138" s="1904"/>
      <c r="C138" s="1885"/>
      <c r="D138" s="1882"/>
      <c r="E138" s="1902">
        <f t="shared" si="2"/>
        <v>0</v>
      </c>
      <c r="F138" s="1902" t="str">
        <f t="shared" si="3"/>
        <v>0</v>
      </c>
    </row>
    <row r="139" spans="1:6" hidden="1" x14ac:dyDescent="0.25">
      <c r="A139" s="1884"/>
      <c r="B139" s="1905"/>
      <c r="C139" s="1885"/>
      <c r="D139" s="1882"/>
      <c r="E139" s="1902">
        <f t="shared" si="2"/>
        <v>0</v>
      </c>
      <c r="F139" s="1902" t="str">
        <f t="shared" si="3"/>
        <v>0</v>
      </c>
    </row>
    <row r="140" spans="1:6" x14ac:dyDescent="0.25">
      <c r="A140" s="1886" t="s">
        <v>155</v>
      </c>
      <c r="B140" s="1906"/>
      <c r="C140" s="1887"/>
      <c r="D140" s="1888">
        <f>SUM(D17:D139)</f>
        <v>541672</v>
      </c>
      <c r="E140" s="1889">
        <f>SUM(E17:E139)</f>
        <v>175000</v>
      </c>
      <c r="F140" s="1890">
        <f>SUM(F17:F139)</f>
        <v>366672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Normal="10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1663</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18157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4264981</v>
      </c>
      <c r="F19" s="1802"/>
      <c r="G19" s="1804">
        <f>'Expenditures 15-22'!K33-SUM('Expenditures 15-22'!G33,'Expenditures 15-22'!I33)+'Expenditures 15-22'!D229</f>
        <v>4264981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268264</v>
      </c>
      <c r="F21" s="1805"/>
      <c r="G21" s="1808">
        <f>'Expenditures 15-22'!K42-SUM('Expenditures 15-22'!G42,'Expenditures 15-22'!I42)+'Expenditures 15-22'!K120-SUM('Expenditures 15-22'!G120,'Expenditures 15-22'!I120)+'Expenditures 15-22'!K180-SUM('Expenditures 15-22'!G180,'Expenditures 15-22'!I180)+'Expenditures 15-22'!D238</f>
        <v>268264</v>
      </c>
      <c r="H21" s="817"/>
      <c r="I21" s="157"/>
    </row>
    <row r="22" spans="1:9" s="542" customFormat="1" ht="12" customHeight="1" x14ac:dyDescent="0.2">
      <c r="A22" s="824" t="s">
        <v>560</v>
      </c>
      <c r="B22" s="825"/>
      <c r="C22" s="823">
        <v>2200</v>
      </c>
      <c r="D22" s="1805"/>
      <c r="E22" s="1807">
        <f>'Expenditures 15-22'!K47-SUM('Expenditures 15-22'!G47,'Expenditures 15-22'!I47)+'Expenditures 15-22'!D243</f>
        <v>333417</v>
      </c>
      <c r="F22" s="1805"/>
      <c r="G22" s="1808">
        <f>'Expenditures 15-22'!K47-SUM('Expenditures 15-22'!G47,'Expenditures 15-22'!I47)+'Expenditures 15-22'!D243</f>
        <v>333417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409033</v>
      </c>
      <c r="F23" s="1805"/>
      <c r="G23" s="1807">
        <f>'Expenditures 15-22'!K53-SUM('Expenditures 15-22'!G53,'Expenditures 15-22'!I53)+'Expenditures 15-22'!D257+'Expenditures 15-22'!K330-SUM('Expenditures 15-22'!G330,'Expenditures 15-22'!I330)</f>
        <v>409033</v>
      </c>
      <c r="H23" s="817"/>
      <c r="I23" s="157"/>
    </row>
    <row r="24" spans="1:9" s="542" customFormat="1" ht="12" customHeight="1" x14ac:dyDescent="0.2">
      <c r="A24" s="824" t="s">
        <v>562</v>
      </c>
      <c r="B24" s="825"/>
      <c r="C24" s="823">
        <v>2400</v>
      </c>
      <c r="D24" s="1805"/>
      <c r="E24" s="1807">
        <f>'Expenditures 15-22'!K57-SUM('Expenditures 15-22'!G57,'Expenditures 15-22'!I57)+'Expenditures 15-22'!D261</f>
        <v>410757</v>
      </c>
      <c r="F24" s="1805"/>
      <c r="G24" s="1808">
        <f>'Expenditures 15-22'!K57-SUM('Expenditures 15-22'!G57,'Expenditures 15-22'!I57)+'Expenditures 15-22'!D261</f>
        <v>410757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55404</v>
      </c>
      <c r="E27" s="1807">
        <f>E8</f>
        <v>0</v>
      </c>
      <c r="F27" s="1807">
        <f>'Expenditures 15-22'!K60-SUM('Expenditures 15-22'!G60,'Expenditures 15-22'!I60)+'Expenditures 15-22'!D264-E8</f>
        <v>55404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668184</v>
      </c>
      <c r="F28" s="1809">
        <f>'Expenditures 15-22'!K61-SUM('Expenditures 15-22'!G61,'Expenditures 15-22'!I61)+'Expenditures 15-22'!K124-SUM('Expenditures 15-22'!G124,'Expenditures 15-22'!I124)+'Expenditures 15-22'!D266-E9</f>
        <v>668184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311606</v>
      </c>
      <c r="F29" s="1805"/>
      <c r="G29" s="1808">
        <f>'Expenditures 15-22'!K62-SUM('Expenditures 15-22'!G62,'Expenditures 15-22'!I62)+'Expenditures 15-22'!K125-SUM('Expenditures 15-22'!G125,'Expenditures 15-22'!I125)+'Expenditures 15-22'!K182-SUM('Expenditures 15-22'!G182,'Expenditures 15-22'!I182)+'Expenditures 15-22'!D267</f>
        <v>311606</v>
      </c>
      <c r="H29" s="815"/>
    </row>
    <row r="30" spans="1:9" ht="12" customHeight="1" x14ac:dyDescent="0.2">
      <c r="A30" s="824" t="s">
        <v>100</v>
      </c>
      <c r="B30" s="827"/>
      <c r="C30" s="823">
        <v>2560</v>
      </c>
      <c r="D30" s="1805"/>
      <c r="E30" s="1807">
        <f>'Expenditures 15-22'!K63-SUM('Expenditures 15-22'!G63,'Expenditures 15-22'!I63)+'Expenditures 15-22'!D268-E10</f>
        <v>166961</v>
      </c>
      <c r="F30" s="1805"/>
      <c r="G30" s="1807">
        <f>'Expenditures 15-22'!K63-SUM('Expenditures 15-22'!G63,'Expenditures 15-22'!I63)+'Expenditures 15-22'!D268-E10</f>
        <v>166961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101316</v>
      </c>
      <c r="F39" s="1805"/>
      <c r="G39" s="1807">
        <f>'Expenditures 15-22'!K75-SUM('Expenditures 15-22'!G75,'Expenditures 15-22'!I75)+'Expenditures 15-22'!K130-SUM('Expenditures 15-22'!G130,'Expenditures 15-22'!I130)+'Expenditures 15-22'!K185-SUM('Expenditures 15-22'!G185,'Expenditures 15-22'!I185)+'Expenditures 15-22'!D280</f>
        <v>101316</v>
      </c>
    </row>
    <row r="40" spans="1:7" ht="12" customHeight="1" x14ac:dyDescent="0.2">
      <c r="A40" s="820" t="s">
        <v>1800</v>
      </c>
      <c r="B40" s="821"/>
      <c r="C40" s="823"/>
      <c r="D40" s="1805"/>
      <c r="E40" s="1809">
        <f>-'Contracts Paid in CY 29'!F140</f>
        <v>-366672</v>
      </c>
      <c r="F40" s="1805"/>
      <c r="G40" s="1809">
        <f>-'Contracts Paid in CY 29'!F140</f>
        <v>-366672</v>
      </c>
    </row>
    <row r="41" spans="1:7" ht="12" customHeight="1" x14ac:dyDescent="0.2">
      <c r="A41" s="828" t="s">
        <v>155</v>
      </c>
      <c r="B41" s="829"/>
      <c r="C41" s="830"/>
      <c r="D41" s="1809">
        <f>SUM(D19:D39)</f>
        <v>55404</v>
      </c>
      <c r="E41" s="1809">
        <f>SUM(E19:E40)</f>
        <v>6567847</v>
      </c>
      <c r="F41" s="1809">
        <f>SUM(F19:F39)</f>
        <v>723588</v>
      </c>
      <c r="G41" s="1809">
        <f>SUM(G19:G40)</f>
        <v>5899663</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55404</v>
      </c>
      <c r="F43" s="1458" t="s">
        <v>470</v>
      </c>
      <c r="G43" s="1810">
        <f>F41</f>
        <v>723588</v>
      </c>
    </row>
    <row r="44" spans="1:7" ht="12" customHeight="1" x14ac:dyDescent="0.2">
      <c r="A44" s="817"/>
      <c r="B44" s="157"/>
      <c r="C44" s="831"/>
      <c r="D44" s="1458" t="s">
        <v>471</v>
      </c>
      <c r="E44" s="1810">
        <f>E41</f>
        <v>6567847</v>
      </c>
      <c r="F44" s="1458" t="s">
        <v>471</v>
      </c>
      <c r="G44" s="1810">
        <f>G41</f>
        <v>5899663</v>
      </c>
    </row>
    <row r="45" spans="1:7" ht="12" customHeight="1" x14ac:dyDescent="0.2">
      <c r="A45" s="817"/>
      <c r="B45" s="157"/>
      <c r="C45" s="157"/>
      <c r="D45" s="1459" t="s">
        <v>999</v>
      </c>
      <c r="E45" s="1811">
        <f>(E43/E44)</f>
        <v>8.4356410860362604E-3</v>
      </c>
      <c r="F45" s="1459" t="s">
        <v>999</v>
      </c>
      <c r="G45" s="1811">
        <f>(G43/G44)</f>
        <v>0.1226490394451344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Normal="10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9" t="s">
        <v>1365</v>
      </c>
      <c r="B1" s="2419"/>
      <c r="C1" s="2419"/>
      <c r="D1" s="2419"/>
      <c r="E1" s="2419"/>
      <c r="F1" s="241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0" t="s">
        <v>1532</v>
      </c>
      <c r="B5" s="2421"/>
      <c r="C5" s="2422"/>
      <c r="D5" s="2422"/>
      <c r="E5" s="2422"/>
      <c r="F5" s="2422"/>
      <c r="G5" s="1507"/>
      <c r="L5" s="1507"/>
      <c r="M5" s="1855"/>
      <c r="N5" s="1855"/>
      <c r="O5" s="1855"/>
    </row>
    <row r="6" spans="1:15" ht="12" customHeight="1" x14ac:dyDescent="0.25">
      <c r="A6" s="1480"/>
      <c r="B6" s="1481"/>
      <c r="C6" s="2423" t="str">
        <f>COVER!A17</f>
        <v xml:space="preserve">   Washington SD 52</v>
      </c>
      <c r="D6" s="2423"/>
      <c r="E6" s="2423"/>
      <c r="F6" s="1482"/>
      <c r="G6" s="1507"/>
      <c r="L6" s="1507"/>
      <c r="M6" s="1855"/>
      <c r="N6" s="1855"/>
      <c r="O6" s="1855"/>
    </row>
    <row r="7" spans="1:15" ht="11.25" customHeight="1" thickBot="1" x14ac:dyDescent="0.3">
      <c r="A7" s="1480"/>
      <c r="B7" s="1481"/>
      <c r="C7" s="2424">
        <f>COVER!A13</f>
        <v>53090052002</v>
      </c>
      <c r="D7" s="2424"/>
      <c r="E7" s="2424"/>
      <c r="F7" s="1482"/>
      <c r="G7" s="1507"/>
      <c r="L7" s="1507"/>
      <c r="M7" s="1855"/>
      <c r="N7" s="1855"/>
      <c r="O7" s="1855"/>
    </row>
    <row r="8" spans="1:15" ht="25.5" customHeight="1" thickBot="1" x14ac:dyDescent="0.25">
      <c r="A8" s="1519" t="s">
        <v>1874</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t="s">
        <v>2055</v>
      </c>
      <c r="D11" s="1495" t="s">
        <v>2055</v>
      </c>
      <c r="E11" s="1496"/>
      <c r="F11" s="1497" t="s">
        <v>2067</v>
      </c>
      <c r="G11" s="1507"/>
      <c r="H11" s="1507">
        <f>IF(C11="X",5,0)</f>
        <v>5</v>
      </c>
      <c r="I11" s="1507">
        <f>IF(D11="X",5,0)</f>
        <v>5</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t="s">
        <v>2055</v>
      </c>
      <c r="D13" s="1495" t="s">
        <v>2055</v>
      </c>
      <c r="E13" s="1498"/>
      <c r="F13" s="1497" t="s">
        <v>2067</v>
      </c>
      <c r="G13" s="1507"/>
      <c r="H13" s="1507">
        <f t="shared" si="0"/>
        <v>5</v>
      </c>
      <c r="I13" s="1507">
        <f t="shared" si="1"/>
        <v>5</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t="s">
        <v>2055</v>
      </c>
      <c r="D19" s="1495" t="s">
        <v>2055</v>
      </c>
      <c r="E19" s="1498"/>
      <c r="F19" s="1497" t="s">
        <v>2068</v>
      </c>
      <c r="G19" s="1507"/>
      <c r="H19" s="1507">
        <f t="shared" si="0"/>
        <v>5</v>
      </c>
      <c r="I19" s="1507">
        <f t="shared" si="1"/>
        <v>5</v>
      </c>
      <c r="J19" s="1507">
        <f t="shared" si="2"/>
        <v>0</v>
      </c>
      <c r="L19" s="1507"/>
      <c r="M19" s="1855"/>
      <c r="N19" s="1855"/>
      <c r="O19" s="1855"/>
    </row>
    <row r="20" spans="1:15" ht="12" customHeight="1" x14ac:dyDescent="0.2">
      <c r="A20" s="1493" t="s">
        <v>1514</v>
      </c>
      <c r="B20" s="1494"/>
      <c r="C20" s="1495" t="s">
        <v>2055</v>
      </c>
      <c r="D20" s="1495" t="s">
        <v>2055</v>
      </c>
      <c r="E20" s="1498"/>
      <c r="F20" s="1497" t="s">
        <v>2069</v>
      </c>
      <c r="G20" s="1507"/>
      <c r="H20" s="1507">
        <f t="shared" si="0"/>
        <v>5</v>
      </c>
      <c r="I20" s="1507">
        <f t="shared" si="1"/>
        <v>5</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t="s">
        <v>2055</v>
      </c>
      <c r="D24" s="1495" t="s">
        <v>2055</v>
      </c>
      <c r="E24" s="1498"/>
      <c r="F24" s="1497" t="s">
        <v>2067</v>
      </c>
      <c r="G24" s="1507"/>
      <c r="H24" s="1507">
        <f t="shared" si="0"/>
        <v>5</v>
      </c>
      <c r="I24" s="1507">
        <f t="shared" si="1"/>
        <v>5</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t="s">
        <v>2055</v>
      </c>
      <c r="D26" s="1495" t="s">
        <v>2055</v>
      </c>
      <c r="E26" s="1498"/>
      <c r="F26" s="1497" t="s">
        <v>2070</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1378</v>
      </c>
      <c r="B35" s="1501"/>
      <c r="C35" s="2425"/>
      <c r="D35" s="2425"/>
      <c r="E35" s="2425"/>
      <c r="F35" s="2426"/>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1377</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5"/>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61" zoomScaleNormal="100" workbookViewId="0">
      <selection activeCell="M60" sqref="M60"/>
    </sheetView>
  </sheetViews>
  <sheetFormatPr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402</v>
      </c>
      <c r="H1" s="1991"/>
      <c r="I1" s="1975"/>
      <c r="J1" s="1975"/>
      <c r="K1" s="1975"/>
      <c r="L1" s="1975"/>
      <c r="M1" s="1975"/>
      <c r="N1" s="1976"/>
    </row>
    <row r="2" spans="1:14" x14ac:dyDescent="0.2">
      <c r="A2" s="1992"/>
      <c r="B2" s="838"/>
      <c r="C2" s="838"/>
      <c r="D2" s="838"/>
      <c r="E2" s="838"/>
      <c r="F2" s="838"/>
      <c r="G2" s="1918" t="s">
        <v>2002</v>
      </c>
      <c r="H2" s="1915"/>
      <c r="I2" s="838"/>
      <c r="J2" s="838"/>
      <c r="K2" s="838"/>
      <c r="L2" s="838"/>
      <c r="M2" s="838"/>
      <c r="N2" s="1993"/>
    </row>
    <row r="3" spans="1:14" x14ac:dyDescent="0.2">
      <c r="A3" s="1992"/>
      <c r="B3" s="838"/>
      <c r="C3" s="838"/>
      <c r="D3" s="838"/>
      <c r="E3" s="838"/>
      <c r="F3" s="838"/>
      <c r="G3" s="1918" t="s">
        <v>403</v>
      </c>
      <c r="H3" s="838"/>
      <c r="I3" s="838"/>
      <c r="J3" s="838"/>
      <c r="K3" s="838"/>
      <c r="L3" s="838"/>
      <c r="M3" s="838"/>
      <c r="N3" s="1993"/>
    </row>
    <row r="4" spans="1:14" x14ac:dyDescent="0.2">
      <c r="A4" s="1992"/>
      <c r="B4" s="838"/>
      <c r="C4" s="838"/>
      <c r="D4" s="838"/>
      <c r="E4" s="838"/>
      <c r="F4" s="838"/>
      <c r="G4" s="1918" t="s">
        <v>863</v>
      </c>
      <c r="H4" s="838"/>
      <c r="I4" s="838"/>
      <c r="J4" s="838"/>
      <c r="K4" s="838"/>
      <c r="L4" s="838"/>
      <c r="M4" s="838"/>
      <c r="N4" s="1993"/>
    </row>
    <row r="5" spans="1:14" x14ac:dyDescent="0.2">
      <c r="A5" s="1992"/>
      <c r="B5" s="838"/>
      <c r="C5" s="838"/>
      <c r="D5" s="838"/>
      <c r="E5" s="838"/>
      <c r="F5" s="1918"/>
      <c r="G5" s="1918"/>
      <c r="H5" s="838"/>
      <c r="I5" s="838"/>
      <c r="J5" s="838"/>
      <c r="K5" s="838"/>
      <c r="L5" s="838"/>
      <c r="M5" s="838"/>
      <c r="N5" s="1993"/>
    </row>
    <row r="6" spans="1:14" x14ac:dyDescent="0.2">
      <c r="A6" s="1994" t="s">
        <v>667</v>
      </c>
      <c r="B6" s="1377"/>
      <c r="C6" s="1377"/>
      <c r="D6" s="1377"/>
      <c r="E6" s="1378"/>
      <c r="F6" s="1917"/>
      <c r="G6" s="1918"/>
      <c r="H6" s="838"/>
      <c r="I6" s="1919" t="s">
        <v>1021</v>
      </c>
      <c r="J6" s="2445" t="str">
        <f>COVER!A17</f>
        <v xml:space="preserve">   Washington SD 52</v>
      </c>
      <c r="K6" s="2445"/>
      <c r="L6" s="2459"/>
      <c r="M6" s="838"/>
      <c r="N6" s="1993"/>
    </row>
    <row r="7" spans="1:14" x14ac:dyDescent="0.2">
      <c r="A7" s="2460" t="s">
        <v>864</v>
      </c>
      <c r="B7" s="2461"/>
      <c r="C7" s="2461"/>
      <c r="D7" s="2461"/>
      <c r="E7" s="2462"/>
      <c r="F7" s="839"/>
      <c r="G7" s="838"/>
      <c r="H7" s="838"/>
      <c r="I7" s="1919" t="s">
        <v>369</v>
      </c>
      <c r="J7" s="2447">
        <f>COVER!A13</f>
        <v>53090052002</v>
      </c>
      <c r="K7" s="2447"/>
      <c r="L7" s="2447"/>
      <c r="M7" s="838"/>
      <c r="N7" s="1993"/>
    </row>
    <row r="8" spans="1:14" x14ac:dyDescent="0.2">
      <c r="A8" s="1995"/>
      <c r="B8" s="1920"/>
      <c r="C8" s="1920"/>
      <c r="D8" s="1920"/>
      <c r="E8" s="1921"/>
      <c r="F8" s="1922"/>
      <c r="G8" s="1907"/>
      <c r="H8" s="1907"/>
      <c r="I8" s="1907"/>
      <c r="J8" s="1907"/>
      <c r="K8" s="1907"/>
      <c r="L8" s="1907"/>
      <c r="M8" s="838"/>
      <c r="N8" s="1993"/>
    </row>
    <row r="9" spans="1:14" x14ac:dyDescent="0.2">
      <c r="A9" s="1996"/>
      <c r="B9" s="840"/>
      <c r="C9" s="840"/>
      <c r="D9" s="841"/>
      <c r="E9" s="1923" t="s">
        <v>2018</v>
      </c>
      <c r="F9" s="1857"/>
      <c r="G9" s="1857"/>
      <c r="H9" s="1857"/>
      <c r="I9" s="1924" t="s">
        <v>2019</v>
      </c>
      <c r="J9" s="1857"/>
      <c r="K9" s="1857"/>
      <c r="L9" s="1858"/>
      <c r="M9" s="838"/>
      <c r="N9" s="1993"/>
    </row>
    <row r="10" spans="1:14" x14ac:dyDescent="0.2">
      <c r="A10" s="1997"/>
      <c r="B10" s="1925"/>
      <c r="C10" s="1926"/>
      <c r="D10" s="1927"/>
      <c r="E10" s="1928" t="s">
        <v>422</v>
      </c>
      <c r="F10" s="1929" t="s">
        <v>423</v>
      </c>
      <c r="G10" s="1930" t="s">
        <v>429</v>
      </c>
      <c r="H10" s="1931"/>
      <c r="I10" s="1929" t="s">
        <v>422</v>
      </c>
      <c r="J10" s="1929" t="s">
        <v>423</v>
      </c>
      <c r="K10" s="1930" t="s">
        <v>429</v>
      </c>
      <c r="L10" s="1929"/>
      <c r="M10" s="838"/>
      <c r="N10" s="1993"/>
    </row>
    <row r="11" spans="1:14" ht="51" x14ac:dyDescent="0.2">
      <c r="A11" s="2463" t="s">
        <v>478</v>
      </c>
      <c r="B11" s="2464"/>
      <c r="C11" s="2465"/>
      <c r="D11" s="1932" t="s">
        <v>866</v>
      </c>
      <c r="E11" s="1932" t="s">
        <v>64</v>
      </c>
      <c r="F11" s="1932" t="s">
        <v>6</v>
      </c>
      <c r="G11" s="1933" t="s">
        <v>2020</v>
      </c>
      <c r="H11" s="1934" t="s">
        <v>155</v>
      </c>
      <c r="I11" s="1932" t="s">
        <v>64</v>
      </c>
      <c r="J11" s="1932" t="s">
        <v>6</v>
      </c>
      <c r="K11" s="1933" t="s">
        <v>2001</v>
      </c>
      <c r="L11" s="1934" t="s">
        <v>155</v>
      </c>
      <c r="M11" s="838"/>
      <c r="N11" s="1993"/>
    </row>
    <row r="12" spans="1:14" x14ac:dyDescent="0.2">
      <c r="A12" s="1998">
        <v>1</v>
      </c>
      <c r="B12" s="1935" t="s">
        <v>813</v>
      </c>
      <c r="C12" s="842"/>
      <c r="D12" s="1936">
        <v>2320</v>
      </c>
      <c r="E12" s="1939">
        <f>'Expenditures 15-22'!K50</f>
        <v>224540</v>
      </c>
      <c r="F12" s="1937"/>
      <c r="G12" s="1963">
        <f>G68</f>
        <v>0</v>
      </c>
      <c r="H12" s="1939">
        <f t="shared" ref="H12:H18" si="0">SUM(E12:G12)</f>
        <v>224540</v>
      </c>
      <c r="I12" s="1938">
        <v>230966</v>
      </c>
      <c r="J12" s="1937"/>
      <c r="K12" s="1938">
        <v>0</v>
      </c>
      <c r="L12" s="1939">
        <f t="shared" ref="L12:L18" si="1">SUM(I12:K12)</f>
        <v>230966</v>
      </c>
      <c r="M12" s="838"/>
      <c r="N12" s="1993"/>
    </row>
    <row r="13" spans="1:14" x14ac:dyDescent="0.2">
      <c r="A13" s="1998">
        <v>2</v>
      </c>
      <c r="B13" s="1935" t="s">
        <v>42</v>
      </c>
      <c r="C13" s="842"/>
      <c r="D13" s="1936">
        <v>2330</v>
      </c>
      <c r="E13" s="1939">
        <f>'Expenditures 15-22'!K51</f>
        <v>0</v>
      </c>
      <c r="F13" s="1937"/>
      <c r="G13" s="1963">
        <f>H68</f>
        <v>0</v>
      </c>
      <c r="H13" s="1939">
        <f t="shared" si="0"/>
        <v>0</v>
      </c>
      <c r="I13" s="1938"/>
      <c r="J13" s="1937"/>
      <c r="K13" s="1938"/>
      <c r="L13" s="1939">
        <f t="shared" si="1"/>
        <v>0</v>
      </c>
      <c r="M13" s="838"/>
      <c r="N13" s="1993"/>
    </row>
    <row r="14" spans="1:14" x14ac:dyDescent="0.2">
      <c r="A14" s="1998">
        <v>3</v>
      </c>
      <c r="B14" s="1935" t="s">
        <v>43</v>
      </c>
      <c r="C14" s="842"/>
      <c r="D14" s="1940">
        <v>2490</v>
      </c>
      <c r="E14" s="1939">
        <f>'Expenditures 15-22'!K56</f>
        <v>114</v>
      </c>
      <c r="F14" s="1937"/>
      <c r="G14" s="1963">
        <f>I68</f>
        <v>0</v>
      </c>
      <c r="H14" s="1939">
        <f t="shared" si="0"/>
        <v>114</v>
      </c>
      <c r="I14" s="1938"/>
      <c r="J14" s="1937"/>
      <c r="K14" s="1938"/>
      <c r="L14" s="1939">
        <f t="shared" si="1"/>
        <v>0</v>
      </c>
      <c r="M14" s="838"/>
      <c r="N14" s="1993"/>
    </row>
    <row r="15" spans="1:14" x14ac:dyDescent="0.2">
      <c r="A15" s="1998">
        <v>4</v>
      </c>
      <c r="B15" s="1935" t="s">
        <v>1061</v>
      </c>
      <c r="C15" s="842"/>
      <c r="D15" s="1936">
        <v>2510</v>
      </c>
      <c r="E15" s="1939">
        <f>'Expenditures 15-22'!K59</f>
        <v>0</v>
      </c>
      <c r="F15" s="1939">
        <f>'Expenditures 15-22'!K122</f>
        <v>0</v>
      </c>
      <c r="G15" s="1963">
        <f>J68</f>
        <v>0</v>
      </c>
      <c r="H15" s="1939">
        <f t="shared" si="0"/>
        <v>0</v>
      </c>
      <c r="I15" s="1938"/>
      <c r="J15" s="1938"/>
      <c r="K15" s="1938"/>
      <c r="L15" s="1939">
        <f t="shared" si="1"/>
        <v>0</v>
      </c>
      <c r="M15" s="838"/>
      <c r="N15" s="1993"/>
    </row>
    <row r="16" spans="1:14" x14ac:dyDescent="0.2">
      <c r="A16" s="1998">
        <v>5</v>
      </c>
      <c r="B16" s="1935" t="s">
        <v>101</v>
      </c>
      <c r="C16" s="842"/>
      <c r="D16" s="1936">
        <v>2570</v>
      </c>
      <c r="E16" s="1939">
        <f>'Expenditures 15-22'!K64</f>
        <v>0</v>
      </c>
      <c r="F16" s="1937"/>
      <c r="G16" s="1963">
        <f>K68</f>
        <v>0</v>
      </c>
      <c r="H16" s="1939">
        <f t="shared" si="0"/>
        <v>0</v>
      </c>
      <c r="I16" s="1938"/>
      <c r="J16" s="1937"/>
      <c r="K16" s="1938"/>
      <c r="L16" s="1939">
        <f t="shared" si="1"/>
        <v>0</v>
      </c>
      <c r="M16" s="838"/>
      <c r="N16" s="1993"/>
    </row>
    <row r="17" spans="1:14" x14ac:dyDescent="0.2">
      <c r="A17" s="1998">
        <v>6</v>
      </c>
      <c r="B17" s="1935" t="s">
        <v>1053</v>
      </c>
      <c r="C17" s="842"/>
      <c r="D17" s="1936">
        <v>2610</v>
      </c>
      <c r="E17" s="1939">
        <f>'Expenditures 15-22'!K67</f>
        <v>0</v>
      </c>
      <c r="F17" s="1937"/>
      <c r="G17" s="1963">
        <f>L68</f>
        <v>0</v>
      </c>
      <c r="H17" s="1939">
        <f t="shared" si="0"/>
        <v>0</v>
      </c>
      <c r="I17" s="1938"/>
      <c r="J17" s="1937"/>
      <c r="K17" s="1938"/>
      <c r="L17" s="1939">
        <f t="shared" si="1"/>
        <v>0</v>
      </c>
      <c r="M17" s="838"/>
      <c r="N17" s="1993"/>
    </row>
    <row r="18" spans="1:14" ht="26.25" customHeight="1" x14ac:dyDescent="0.2">
      <c r="A18" s="1999">
        <v>7</v>
      </c>
      <c r="B18" s="2466" t="s">
        <v>7</v>
      </c>
      <c r="C18" s="2467"/>
      <c r="D18" s="2468"/>
      <c r="E18" s="1941"/>
      <c r="F18" s="1941"/>
      <c r="G18" s="1938"/>
      <c r="H18" s="1942">
        <f t="shared" si="0"/>
        <v>0</v>
      </c>
      <c r="I18" s="1938"/>
      <c r="J18" s="1938"/>
      <c r="K18" s="1938"/>
      <c r="L18" s="1939">
        <f t="shared" si="1"/>
        <v>0</v>
      </c>
      <c r="M18" s="838"/>
      <c r="N18" s="1993"/>
    </row>
    <row r="19" spans="1:14" ht="13.5" thickBot="1" x14ac:dyDescent="0.25">
      <c r="A19" s="1998">
        <v>8</v>
      </c>
      <c r="B19" s="1943" t="s">
        <v>1153</v>
      </c>
      <c r="C19" s="838"/>
      <c r="D19" s="1944"/>
      <c r="E19" s="1945">
        <f t="shared" ref="E19:L19" si="2">SUM(E12:E17)-E18</f>
        <v>224654</v>
      </c>
      <c r="F19" s="1945">
        <f t="shared" si="2"/>
        <v>0</v>
      </c>
      <c r="G19" s="1945">
        <f t="shared" ref="G19" si="3">SUM(G12:G17)-G18</f>
        <v>0</v>
      </c>
      <c r="H19" s="1945">
        <f t="shared" si="2"/>
        <v>224654</v>
      </c>
      <c r="I19" s="1945">
        <f t="shared" si="2"/>
        <v>230966</v>
      </c>
      <c r="J19" s="1945">
        <f t="shared" si="2"/>
        <v>0</v>
      </c>
      <c r="K19" s="1945">
        <f t="shared" si="2"/>
        <v>0</v>
      </c>
      <c r="L19" s="1945">
        <f t="shared" si="2"/>
        <v>230966</v>
      </c>
      <c r="M19" s="838"/>
      <c r="N19" s="1993"/>
    </row>
    <row r="20" spans="1:14" ht="13.5" thickTop="1" x14ac:dyDescent="0.2">
      <c r="A20" s="1998">
        <v>9</v>
      </c>
      <c r="B20" s="2469" t="s">
        <v>2021</v>
      </c>
      <c r="C20" s="2469"/>
      <c r="D20" s="2470"/>
      <c r="E20" s="1946"/>
      <c r="F20" s="1946"/>
      <c r="G20" s="1946"/>
      <c r="H20" s="1946"/>
      <c r="I20" s="1946"/>
      <c r="J20" s="1946"/>
      <c r="K20" s="1946"/>
      <c r="L20" s="1947">
        <f>IF(AND(H19&gt;0,L19&gt;0),(((L19-H19)/H19)),"Enter Budget Data")</f>
        <v>2.8096539567512707E-2</v>
      </c>
      <c r="M20" s="838"/>
      <c r="N20" s="1993"/>
    </row>
    <row r="21" spans="1:14" x14ac:dyDescent="0.2">
      <c r="A21" s="2000" t="s">
        <v>194</v>
      </c>
      <c r="B21" s="2001" t="s">
        <v>2046</v>
      </c>
      <c r="C21" s="838"/>
      <c r="D21" s="1948"/>
      <c r="E21" s="1949"/>
      <c r="F21" s="1950"/>
      <c r="G21" s="1950"/>
      <c r="H21" s="1950"/>
      <c r="I21" s="1950"/>
      <c r="J21" s="1950"/>
      <c r="K21" s="1950"/>
      <c r="L21" s="1951"/>
      <c r="M21" s="838"/>
      <c r="N21" s="1993"/>
    </row>
    <row r="22" spans="1:14" x14ac:dyDescent="0.2">
      <c r="A22" s="1992"/>
      <c r="B22" s="2002"/>
      <c r="C22" s="838"/>
      <c r="D22" s="838"/>
      <c r="E22" s="838"/>
      <c r="F22" s="838"/>
      <c r="G22" s="838"/>
      <c r="H22" s="838"/>
      <c r="I22" s="838"/>
      <c r="J22" s="838"/>
      <c r="K22" s="838"/>
      <c r="L22" s="838"/>
      <c r="M22" s="838"/>
      <c r="N22" s="1993"/>
    </row>
    <row r="23" spans="1:14" x14ac:dyDescent="0.2">
      <c r="A23" s="2003" t="s">
        <v>132</v>
      </c>
      <c r="B23" s="2002"/>
      <c r="C23" s="838"/>
      <c r="D23" s="838"/>
      <c r="E23" s="838"/>
      <c r="F23" s="838"/>
      <c r="G23" s="838"/>
      <c r="H23" s="838"/>
      <c r="I23" s="838"/>
      <c r="J23" s="838"/>
      <c r="K23" s="838"/>
      <c r="L23" s="838"/>
      <c r="M23" s="838"/>
      <c r="N23" s="1993"/>
    </row>
    <row r="24" spans="1:14" x14ac:dyDescent="0.2">
      <c r="A24" s="2004" t="s">
        <v>2022</v>
      </c>
      <c r="B24" s="2005"/>
      <c r="C24" s="2006"/>
      <c r="D24" s="2006"/>
      <c r="E24" s="2006"/>
      <c r="F24" s="2006"/>
      <c r="G24" s="2006"/>
      <c r="H24" s="2006"/>
      <c r="I24" s="2006"/>
      <c r="J24" s="2006"/>
      <c r="K24" s="2006"/>
      <c r="L24" s="838"/>
      <c r="M24" s="838"/>
      <c r="N24" s="1993"/>
    </row>
    <row r="25" spans="1:14" x14ac:dyDescent="0.2">
      <c r="A25" s="2004" t="s">
        <v>2023</v>
      </c>
      <c r="B25" s="2005"/>
      <c r="C25" s="2006"/>
      <c r="D25" s="2006"/>
      <c r="E25" s="2006"/>
      <c r="F25" s="2006"/>
      <c r="G25" s="2006"/>
      <c r="H25" s="2006"/>
      <c r="I25" s="2006"/>
      <c r="J25" s="2006"/>
      <c r="K25" s="2006"/>
      <c r="L25" s="838"/>
      <c r="M25" s="838"/>
      <c r="N25" s="1993"/>
    </row>
    <row r="26" spans="1:14" x14ac:dyDescent="0.2">
      <c r="A26" s="2007"/>
      <c r="B26" s="2002"/>
      <c r="C26" s="838"/>
      <c r="D26" s="838"/>
      <c r="E26" s="838"/>
      <c r="F26" s="838"/>
      <c r="G26" s="838"/>
      <c r="H26" s="838"/>
      <c r="I26" s="838"/>
      <c r="J26" s="838"/>
      <c r="K26" s="838"/>
      <c r="L26" s="838"/>
      <c r="M26" s="838"/>
      <c r="N26" s="1993"/>
    </row>
    <row r="27" spans="1:14" x14ac:dyDescent="0.2">
      <c r="A27" s="1992"/>
      <c r="B27" s="2002"/>
      <c r="C27" s="2471"/>
      <c r="D27" s="2471"/>
      <c r="E27" s="843"/>
      <c r="F27" s="2472"/>
      <c r="G27" s="2472"/>
      <c r="H27" s="2472"/>
      <c r="I27" s="838"/>
      <c r="J27" s="838"/>
      <c r="K27" s="838"/>
      <c r="L27" s="838"/>
      <c r="M27" s="838"/>
      <c r="N27" s="1993"/>
    </row>
    <row r="28" spans="1:14" x14ac:dyDescent="0.2">
      <c r="A28" s="1992"/>
      <c r="B28" s="2002"/>
      <c r="C28" s="1952" t="s">
        <v>1026</v>
      </c>
      <c r="D28" s="844"/>
      <c r="E28" s="1953"/>
      <c r="F28" s="2473" t="s">
        <v>1495</v>
      </c>
      <c r="G28" s="2473"/>
      <c r="H28" s="2473"/>
      <c r="I28" s="838"/>
      <c r="J28" s="838"/>
      <c r="K28" s="838"/>
      <c r="L28" s="838"/>
      <c r="M28" s="838"/>
      <c r="N28" s="1993"/>
    </row>
    <row r="29" spans="1:14" x14ac:dyDescent="0.2">
      <c r="A29" s="1992"/>
      <c r="B29" s="2002"/>
      <c r="C29" s="2474"/>
      <c r="D29" s="2474"/>
      <c r="E29" s="845"/>
      <c r="F29" s="2474"/>
      <c r="G29" s="2474"/>
      <c r="H29" s="2474"/>
      <c r="I29" s="838"/>
      <c r="J29" s="838"/>
      <c r="K29" s="838"/>
      <c r="L29" s="838"/>
      <c r="M29" s="838"/>
      <c r="N29" s="1993"/>
    </row>
    <row r="30" spans="1:14" x14ac:dyDescent="0.2">
      <c r="A30" s="1992"/>
      <c r="B30" s="2002"/>
      <c r="C30" s="1955" t="s">
        <v>1547</v>
      </c>
      <c r="D30" s="838"/>
      <c r="E30" s="1954"/>
      <c r="F30" s="2458" t="s">
        <v>1496</v>
      </c>
      <c r="G30" s="2458"/>
      <c r="H30" s="2458"/>
      <c r="I30" s="838"/>
      <c r="J30" s="838"/>
      <c r="K30" s="838"/>
      <c r="L30" s="838"/>
      <c r="M30" s="838"/>
      <c r="N30" s="1993"/>
    </row>
    <row r="31" spans="1:14" x14ac:dyDescent="0.2">
      <c r="A31" s="1992"/>
      <c r="B31" s="2002"/>
      <c r="C31" s="2008"/>
      <c r="D31" s="838"/>
      <c r="E31" s="1948"/>
      <c r="F31" s="1949"/>
      <c r="G31" s="1949"/>
      <c r="H31" s="1949"/>
      <c r="I31" s="838"/>
      <c r="J31" s="838"/>
      <c r="K31" s="838"/>
      <c r="L31" s="838"/>
      <c r="M31" s="838"/>
      <c r="N31" s="1993"/>
    </row>
    <row r="32" spans="1:14" x14ac:dyDescent="0.2">
      <c r="A32" s="1992"/>
      <c r="B32" s="2009" t="s">
        <v>1027</v>
      </c>
      <c r="C32" s="838"/>
      <c r="D32" s="838"/>
      <c r="E32" s="838"/>
      <c r="F32" s="838"/>
      <c r="G32" s="838"/>
      <c r="H32" s="838"/>
      <c r="I32" s="838"/>
      <c r="J32" s="838"/>
      <c r="K32" s="838"/>
      <c r="L32" s="838"/>
      <c r="M32" s="838"/>
      <c r="N32" s="1993"/>
    </row>
    <row r="33" spans="1:14" x14ac:dyDescent="0.2">
      <c r="A33" s="1992"/>
      <c r="B33" s="2010"/>
      <c r="C33" s="838"/>
      <c r="D33" s="838"/>
      <c r="E33" s="838"/>
      <c r="F33" s="838"/>
      <c r="G33" s="838"/>
      <c r="H33" s="838"/>
      <c r="I33" s="838"/>
      <c r="J33" s="838"/>
      <c r="K33" s="838"/>
      <c r="L33" s="838"/>
      <c r="M33" s="838"/>
      <c r="N33" s="1993"/>
    </row>
    <row r="34" spans="1:14" x14ac:dyDescent="0.2">
      <c r="A34" s="1992"/>
      <c r="B34" s="846"/>
      <c r="C34" s="2435" t="s">
        <v>2024</v>
      </c>
      <c r="D34" s="2436"/>
      <c r="E34" s="2436"/>
      <c r="F34" s="2436"/>
      <c r="G34" s="2436"/>
      <c r="H34" s="2436"/>
      <c r="I34" s="2436"/>
      <c r="J34" s="2436"/>
      <c r="K34" s="2011"/>
      <c r="L34" s="838"/>
      <c r="M34" s="838"/>
      <c r="N34" s="1993"/>
    </row>
    <row r="35" spans="1:14" x14ac:dyDescent="0.2">
      <c r="A35" s="1992"/>
      <c r="B35" s="838"/>
      <c r="C35" s="2436"/>
      <c r="D35" s="2436"/>
      <c r="E35" s="2436"/>
      <c r="F35" s="2436"/>
      <c r="G35" s="2436"/>
      <c r="H35" s="2436"/>
      <c r="I35" s="2436"/>
      <c r="J35" s="2436"/>
      <c r="K35" s="2011"/>
      <c r="L35" s="838"/>
      <c r="M35" s="838"/>
      <c r="N35" s="1993"/>
    </row>
    <row r="36" spans="1:14" x14ac:dyDescent="0.2">
      <c r="A36" s="1992"/>
      <c r="B36" s="838"/>
      <c r="C36" s="2012"/>
      <c r="D36" s="838"/>
      <c r="E36" s="838"/>
      <c r="F36" s="838"/>
      <c r="G36" s="838"/>
      <c r="H36" s="838"/>
      <c r="I36" s="838"/>
      <c r="J36" s="838"/>
      <c r="K36" s="838"/>
      <c r="L36" s="838"/>
      <c r="M36" s="838"/>
      <c r="N36" s="1993"/>
    </row>
    <row r="37" spans="1:14" x14ac:dyDescent="0.2">
      <c r="A37" s="1992"/>
      <c r="B37" s="846"/>
      <c r="C37" s="2435" t="s">
        <v>2025</v>
      </c>
      <c r="D37" s="2436"/>
      <c r="E37" s="2436"/>
      <c r="F37" s="2436"/>
      <c r="G37" s="2436"/>
      <c r="H37" s="2436"/>
      <c r="I37" s="2436"/>
      <c r="J37" s="2436"/>
      <c r="K37" s="2011"/>
      <c r="L37" s="2013"/>
      <c r="M37" s="838"/>
      <c r="N37" s="1993"/>
    </row>
    <row r="38" spans="1:14" x14ac:dyDescent="0.2">
      <c r="A38" s="1992"/>
      <c r="B38" s="838"/>
      <c r="C38" s="2436"/>
      <c r="D38" s="2436"/>
      <c r="E38" s="2436"/>
      <c r="F38" s="2436"/>
      <c r="G38" s="2436"/>
      <c r="H38" s="2436"/>
      <c r="I38" s="2436"/>
      <c r="J38" s="2436"/>
      <c r="K38" s="2011"/>
      <c r="L38" s="2013"/>
      <c r="M38" s="838"/>
      <c r="N38" s="1993"/>
    </row>
    <row r="39" spans="1:14" x14ac:dyDescent="0.2">
      <c r="A39" s="1992"/>
      <c r="B39" s="838"/>
      <c r="C39" s="2012"/>
      <c r="D39" s="838"/>
      <c r="E39" s="1956"/>
      <c r="F39" s="1957"/>
      <c r="G39" s="1957"/>
      <c r="H39" s="1956"/>
      <c r="I39" s="838"/>
      <c r="J39" s="838"/>
      <c r="K39" s="838"/>
      <c r="L39" s="838"/>
      <c r="M39" s="838"/>
      <c r="N39" s="1993"/>
    </row>
    <row r="40" spans="1:14" x14ac:dyDescent="0.2">
      <c r="A40" s="1992"/>
      <c r="B40" s="846"/>
      <c r="C40" s="2437" t="s">
        <v>2026</v>
      </c>
      <c r="D40" s="2438"/>
      <c r="E40" s="2438"/>
      <c r="F40" s="2438"/>
      <c r="G40" s="2438"/>
      <c r="H40" s="2438"/>
      <c r="I40" s="2438"/>
      <c r="J40" s="2438"/>
      <c r="K40" s="1958"/>
      <c r="L40" s="838"/>
      <c r="M40" s="838"/>
      <c r="N40" s="1993"/>
    </row>
    <row r="41" spans="1:14" x14ac:dyDescent="0.2">
      <c r="A41" s="1992"/>
      <c r="B41" s="838"/>
      <c r="C41" s="2014"/>
      <c r="D41" s="2014"/>
      <c r="E41" s="2014"/>
      <c r="F41" s="2014"/>
      <c r="G41" s="2014"/>
      <c r="H41" s="2014"/>
      <c r="I41" s="2014"/>
      <c r="J41" s="2014"/>
      <c r="K41" s="2014"/>
      <c r="L41" s="838"/>
      <c r="M41" s="838"/>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39" t="s">
        <v>2027</v>
      </c>
      <c r="B43" s="2440"/>
      <c r="C43" s="2440"/>
      <c r="D43" s="2440"/>
      <c r="E43" s="2440"/>
      <c r="F43" s="2440"/>
      <c r="G43" s="2440"/>
      <c r="H43" s="2440"/>
      <c r="I43" s="2440"/>
      <c r="J43" s="2440"/>
      <c r="K43" s="2440"/>
      <c r="L43" s="2440"/>
      <c r="M43" s="2440"/>
      <c r="N43" s="2441"/>
    </row>
    <row r="44" spans="1:14" x14ac:dyDescent="0.2">
      <c r="A44" s="1977"/>
      <c r="B44" s="1978"/>
      <c r="C44" s="1978"/>
      <c r="D44" s="1978"/>
      <c r="E44" s="1978"/>
      <c r="F44" s="1978"/>
      <c r="G44" s="1978"/>
      <c r="H44" s="1978"/>
      <c r="I44" s="1978"/>
      <c r="J44" s="1978"/>
      <c r="K44" s="1978"/>
      <c r="L44" s="1978"/>
      <c r="M44" s="1978"/>
      <c r="N44" s="1979"/>
    </row>
    <row r="45" spans="1:14" x14ac:dyDescent="0.2">
      <c r="A45" s="1977" t="s">
        <v>2028</v>
      </c>
      <c r="B45" s="1978"/>
      <c r="C45" s="1978"/>
      <c r="D45" s="1978"/>
      <c r="E45" s="1978"/>
      <c r="F45" s="1978"/>
      <c r="G45" s="1978"/>
      <c r="H45" s="1978"/>
      <c r="I45" s="1978"/>
      <c r="J45" s="1978"/>
      <c r="K45" s="1978"/>
      <c r="L45" s="1978"/>
      <c r="M45" s="1978"/>
      <c r="N45" s="1979"/>
    </row>
    <row r="46" spans="1:14" x14ac:dyDescent="0.2">
      <c r="A46" s="2442" t="s">
        <v>2029</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2045</v>
      </c>
      <c r="B49" s="2019"/>
      <c r="C49" s="2019"/>
      <c r="D49" s="2020"/>
      <c r="E49" s="2020"/>
      <c r="F49" s="2020"/>
      <c r="G49" s="2020"/>
      <c r="H49" s="2020"/>
      <c r="I49" s="2020"/>
      <c r="J49" s="2020"/>
      <c r="K49" s="2020"/>
      <c r="L49" s="2020"/>
      <c r="M49" s="2020"/>
      <c r="N49" s="2021"/>
    </row>
    <row r="50" spans="1:14" ht="15" x14ac:dyDescent="0.25">
      <c r="A50" s="2023" t="s">
        <v>2044</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1021</v>
      </c>
      <c r="L52" s="2445" t="str">
        <f>J6</f>
        <v xml:space="preserve">   Washington SD 52</v>
      </c>
      <c r="M52" s="2445"/>
      <c r="N52" s="2446"/>
    </row>
    <row r="53" spans="1:14" x14ac:dyDescent="0.2">
      <c r="A53" s="1977"/>
      <c r="B53" s="1978"/>
      <c r="C53" s="1978"/>
      <c r="D53" s="1978"/>
      <c r="E53" s="1978"/>
      <c r="F53" s="1978"/>
      <c r="G53" s="1978"/>
      <c r="H53" s="1978"/>
      <c r="I53" s="1978"/>
      <c r="J53" s="1978"/>
      <c r="K53" s="1919" t="s">
        <v>369</v>
      </c>
      <c r="L53" s="2447">
        <f>J7</f>
        <v>53090052002</v>
      </c>
      <c r="M53" s="2447"/>
      <c r="N53" s="2448"/>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49"/>
      <c r="B55" s="2450"/>
      <c r="C55" s="2450"/>
      <c r="D55" s="1965"/>
      <c r="E55" s="1965"/>
      <c r="F55" s="1965"/>
      <c r="G55" s="2451" t="s">
        <v>2030</v>
      </c>
      <c r="H55" s="2451"/>
      <c r="I55" s="2451"/>
      <c r="J55" s="2451"/>
      <c r="K55" s="2451"/>
      <c r="L55" s="2451"/>
      <c r="M55" s="2451"/>
      <c r="N55" s="2452"/>
    </row>
    <row r="56" spans="1:14" ht="63.75" x14ac:dyDescent="0.2">
      <c r="A56" s="2453" t="s">
        <v>2031</v>
      </c>
      <c r="B56" s="2454"/>
      <c r="C56" s="2455"/>
      <c r="D56" s="1959" t="s">
        <v>2032</v>
      </c>
      <c r="E56" s="1959" t="s">
        <v>2033</v>
      </c>
      <c r="F56" s="1966"/>
      <c r="G56" s="1959" t="s">
        <v>2034</v>
      </c>
      <c r="H56" s="1959" t="s">
        <v>2035</v>
      </c>
      <c r="I56" s="1959" t="s">
        <v>2036</v>
      </c>
      <c r="J56" s="1959" t="s">
        <v>2037</v>
      </c>
      <c r="K56" s="1959" t="s">
        <v>2038</v>
      </c>
      <c r="L56" s="1959" t="s">
        <v>2039</v>
      </c>
      <c r="M56" s="1959" t="s">
        <v>2040</v>
      </c>
      <c r="N56" s="1960" t="s">
        <v>2047</v>
      </c>
    </row>
    <row r="57" spans="1:14" ht="24.75" customHeight="1" x14ac:dyDescent="0.2">
      <c r="A57" s="2456" t="s">
        <v>296</v>
      </c>
      <c r="B57" s="2457"/>
      <c r="C57" s="2457"/>
      <c r="D57" s="1961">
        <v>2361</v>
      </c>
      <c r="E57" s="1971">
        <f>'Expenditures 15-22'!K319</f>
        <v>0</v>
      </c>
      <c r="F57" s="1967"/>
      <c r="G57" s="2024"/>
      <c r="H57" s="2025"/>
      <c r="I57" s="2025"/>
      <c r="J57" s="2025"/>
      <c r="K57" s="2025"/>
      <c r="L57" s="2025"/>
      <c r="M57" s="2025"/>
      <c r="N57" s="1970">
        <f>IF((SUM(G57:M57))=E57,SUM(G57:M57),"Column N does not agree with Column E")</f>
        <v>0</v>
      </c>
    </row>
    <row r="58" spans="1:14" ht="24" customHeight="1" x14ac:dyDescent="0.2">
      <c r="A58" s="2433" t="s">
        <v>2041</v>
      </c>
      <c r="B58" s="2434"/>
      <c r="C58" s="2434"/>
      <c r="D58" s="1962">
        <v>2362</v>
      </c>
      <c r="E58" s="1972">
        <f>'Expenditures 15-22'!K320</f>
        <v>21810</v>
      </c>
      <c r="F58" s="1967"/>
      <c r="G58" s="2026"/>
      <c r="H58" s="2027"/>
      <c r="I58" s="2027"/>
      <c r="J58" s="2027"/>
      <c r="K58" s="2027"/>
      <c r="L58" s="2027"/>
      <c r="M58" s="2027">
        <v>21810</v>
      </c>
      <c r="N58" s="1970">
        <f>IF((SUM(G58:M58))=E58,SUM(G58:M58),"Column N does not agree with Column E")</f>
        <v>21810</v>
      </c>
    </row>
    <row r="59" spans="1:14" ht="24.75" customHeight="1" x14ac:dyDescent="0.2">
      <c r="A59" s="2427" t="s">
        <v>297</v>
      </c>
      <c r="B59" s="2428"/>
      <c r="C59" s="2428"/>
      <c r="D59" s="1962">
        <v>2363</v>
      </c>
      <c r="E59" s="1972">
        <f>'Expenditures 15-22'!K321</f>
        <v>0</v>
      </c>
      <c r="F59" s="1967"/>
      <c r="G59" s="2026"/>
      <c r="H59" s="2027"/>
      <c r="I59" s="2027"/>
      <c r="J59" s="2027"/>
      <c r="K59" s="2027"/>
      <c r="L59" s="2027"/>
      <c r="M59" s="2027"/>
      <c r="N59" s="1970">
        <f>IF((SUM(G59:M59))=E59,SUM(G59:M59),"Column N does not agree with Column E")</f>
        <v>0</v>
      </c>
    </row>
    <row r="60" spans="1:14" ht="24" customHeight="1" x14ac:dyDescent="0.2">
      <c r="A60" s="2427" t="s">
        <v>236</v>
      </c>
      <c r="B60" s="2428"/>
      <c r="C60" s="2428"/>
      <c r="D60" s="1962">
        <v>2364</v>
      </c>
      <c r="E60" s="1972">
        <f>'Expenditures 15-22'!K322</f>
        <v>12750</v>
      </c>
      <c r="F60" s="1967"/>
      <c r="G60" s="2026"/>
      <c r="H60" s="2027"/>
      <c r="I60" s="2027"/>
      <c r="J60" s="2027"/>
      <c r="K60" s="2027"/>
      <c r="L60" s="2027"/>
      <c r="M60" s="2027">
        <v>12750</v>
      </c>
      <c r="N60" s="1970">
        <f t="shared" ref="N60:N67" si="4">IF((SUM(G60:M60))=E60,SUM(G60:M60),"Column N does not agree with Column E")</f>
        <v>12750</v>
      </c>
    </row>
    <row r="61" spans="1:14" ht="24.75" customHeight="1" x14ac:dyDescent="0.2">
      <c r="A61" s="2427" t="s">
        <v>697</v>
      </c>
      <c r="B61" s="2428"/>
      <c r="C61" s="2428"/>
      <c r="D61" s="1962">
        <v>2365</v>
      </c>
      <c r="E61" s="1972">
        <f>'Expenditures 15-22'!K323</f>
        <v>0</v>
      </c>
      <c r="F61" s="1967"/>
      <c r="G61" s="2026"/>
      <c r="H61" s="2027"/>
      <c r="I61" s="2027"/>
      <c r="J61" s="2027"/>
      <c r="K61" s="2027"/>
      <c r="L61" s="2027"/>
      <c r="M61" s="2027"/>
      <c r="N61" s="1970">
        <f t="shared" si="4"/>
        <v>0</v>
      </c>
    </row>
    <row r="62" spans="1:14" ht="24" customHeight="1" x14ac:dyDescent="0.2">
      <c r="A62" s="2427" t="s">
        <v>237</v>
      </c>
      <c r="B62" s="2428"/>
      <c r="C62" s="2428"/>
      <c r="D62" s="1962">
        <v>2366</v>
      </c>
      <c r="E62" s="1972">
        <f>'Expenditures 15-22'!K324</f>
        <v>0</v>
      </c>
      <c r="F62" s="1967"/>
      <c r="G62" s="2026"/>
      <c r="H62" s="2027"/>
      <c r="I62" s="2027"/>
      <c r="J62" s="2027"/>
      <c r="K62" s="2027"/>
      <c r="L62" s="2027"/>
      <c r="M62" s="2027"/>
      <c r="N62" s="1970">
        <f t="shared" si="4"/>
        <v>0</v>
      </c>
    </row>
    <row r="63" spans="1:14" ht="24" customHeight="1" x14ac:dyDescent="0.2">
      <c r="A63" s="2433" t="s">
        <v>1022</v>
      </c>
      <c r="B63" s="2434"/>
      <c r="C63" s="2434"/>
      <c r="D63" s="1962">
        <v>2367</v>
      </c>
      <c r="E63" s="1972">
        <f>'Expenditures 15-22'!K325</f>
        <v>0</v>
      </c>
      <c r="F63" s="1967"/>
      <c r="G63" s="2026"/>
      <c r="H63" s="2027"/>
      <c r="I63" s="2027"/>
      <c r="J63" s="2027"/>
      <c r="K63" s="2027"/>
      <c r="L63" s="2027"/>
      <c r="M63" s="2027"/>
      <c r="N63" s="1970">
        <f t="shared" si="4"/>
        <v>0</v>
      </c>
    </row>
    <row r="64" spans="1:14" ht="24" customHeight="1" x14ac:dyDescent="0.2">
      <c r="A64" s="2427" t="s">
        <v>1023</v>
      </c>
      <c r="B64" s="2428"/>
      <c r="C64" s="2428"/>
      <c r="D64" s="1962">
        <v>2368</v>
      </c>
      <c r="E64" s="1972">
        <f>'Expenditures 15-22'!K326</f>
        <v>0</v>
      </c>
      <c r="F64" s="1967"/>
      <c r="G64" s="2026"/>
      <c r="H64" s="2027"/>
      <c r="I64" s="2027"/>
      <c r="J64" s="2027"/>
      <c r="K64" s="2027"/>
      <c r="L64" s="2027"/>
      <c r="M64" s="2027"/>
      <c r="N64" s="1970">
        <f t="shared" si="4"/>
        <v>0</v>
      </c>
    </row>
    <row r="65" spans="1:14" ht="24" customHeight="1" x14ac:dyDescent="0.2">
      <c r="A65" s="2427" t="s">
        <v>965</v>
      </c>
      <c r="B65" s="2428"/>
      <c r="C65" s="2428"/>
      <c r="D65" s="1962">
        <v>2369</v>
      </c>
      <c r="E65" s="1972">
        <f>'Expenditures 15-22'!K327</f>
        <v>0</v>
      </c>
      <c r="F65" s="1967"/>
      <c r="G65" s="2026"/>
      <c r="H65" s="2027"/>
      <c r="I65" s="2027"/>
      <c r="J65" s="2027"/>
      <c r="K65" s="2027"/>
      <c r="L65" s="2027"/>
      <c r="M65" s="2027"/>
      <c r="N65" s="1970">
        <f t="shared" si="4"/>
        <v>0</v>
      </c>
    </row>
    <row r="66" spans="1:14" ht="24" customHeight="1" x14ac:dyDescent="0.2">
      <c r="A66" s="2427" t="s">
        <v>469</v>
      </c>
      <c r="B66" s="2428"/>
      <c r="C66" s="2428"/>
      <c r="D66" s="1962">
        <v>2371</v>
      </c>
      <c r="E66" s="1972">
        <f>'Expenditures 15-22'!K328</f>
        <v>0</v>
      </c>
      <c r="F66" s="1967"/>
      <c r="G66" s="2026"/>
      <c r="H66" s="2027"/>
      <c r="I66" s="2027"/>
      <c r="J66" s="2027"/>
      <c r="K66" s="2027"/>
      <c r="L66" s="2027"/>
      <c r="M66" s="2027"/>
      <c r="N66" s="1970">
        <f t="shared" si="4"/>
        <v>0</v>
      </c>
    </row>
    <row r="67" spans="1:14" ht="24.75" customHeight="1" x14ac:dyDescent="0.2">
      <c r="A67" s="2429" t="s">
        <v>2042</v>
      </c>
      <c r="B67" s="2430"/>
      <c r="C67" s="2430"/>
      <c r="D67" s="1964">
        <v>2372</v>
      </c>
      <c r="E67" s="1973">
        <f>'Expenditures 15-22'!K329</f>
        <v>0</v>
      </c>
      <c r="F67" s="1967"/>
      <c r="G67" s="2028"/>
      <c r="H67" s="2029"/>
      <c r="I67" s="2029"/>
      <c r="J67" s="2029"/>
      <c r="K67" s="2029"/>
      <c r="L67" s="2029"/>
      <c r="M67" s="2029"/>
      <c r="N67" s="1970">
        <f t="shared" si="4"/>
        <v>0</v>
      </c>
    </row>
    <row r="68" spans="1:14" x14ac:dyDescent="0.2">
      <c r="A68" s="2431" t="s">
        <v>1153</v>
      </c>
      <c r="B68" s="2432"/>
      <c r="C68" s="2432"/>
      <c r="D68" s="1965"/>
      <c r="E68" s="1969">
        <f>SUM(E57:E67)</f>
        <v>34560</v>
      </c>
      <c r="F68" s="1968"/>
      <c r="G68" s="1969">
        <f t="shared" ref="G68:N68" si="5">SUM(G57:G67)</f>
        <v>0</v>
      </c>
      <c r="H68" s="1969">
        <f t="shared" si="5"/>
        <v>0</v>
      </c>
      <c r="I68" s="1969">
        <f t="shared" si="5"/>
        <v>0</v>
      </c>
      <c r="J68" s="1969">
        <f t="shared" si="5"/>
        <v>0</v>
      </c>
      <c r="K68" s="1969">
        <f t="shared" si="5"/>
        <v>0</v>
      </c>
      <c r="L68" s="1969">
        <f t="shared" si="5"/>
        <v>0</v>
      </c>
      <c r="M68" s="1969">
        <f t="shared" si="5"/>
        <v>34560</v>
      </c>
      <c r="N68" s="1983">
        <f t="shared" si="5"/>
        <v>34560</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2043</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3"/>
  <sheetViews>
    <sheetView showGridLines="0" zoomScaleNormal="100" workbookViewId="0">
      <selection activeCell="F14" sqref="F14"/>
    </sheetView>
  </sheetViews>
  <sheetFormatPr defaultRowHeight="12.75" x14ac:dyDescent="0.2"/>
  <cols>
    <col min="1" max="1" width="6.85546875" style="307" customWidth="1"/>
    <col min="2" max="2" width="73.85546875" style="307" customWidth="1"/>
    <col min="3" max="3" width="18" style="2030" customWidth="1"/>
    <col min="4" max="16384" width="9.140625" style="307"/>
  </cols>
  <sheetData>
    <row r="2" spans="1:3" x14ac:dyDescent="0.2">
      <c r="A2" s="366" t="s">
        <v>256</v>
      </c>
    </row>
    <row r="3" spans="1:3" x14ac:dyDescent="0.2">
      <c r="A3" s="307" t="s">
        <v>257</v>
      </c>
    </row>
    <row r="5" spans="1:3" s="254" customFormat="1" ht="11.25" x14ac:dyDescent="0.2">
      <c r="A5" s="847" t="s">
        <v>2072</v>
      </c>
      <c r="B5" s="254" t="s">
        <v>2073</v>
      </c>
      <c r="C5" s="2031"/>
    </row>
    <row r="6" spans="1:3" s="254" customFormat="1" ht="11.25" x14ac:dyDescent="0.2">
      <c r="A6" s="847"/>
      <c r="B6" s="254" t="s">
        <v>2074</v>
      </c>
      <c r="C6" s="2031">
        <v>12545</v>
      </c>
    </row>
    <row r="7" spans="1:3" s="254" customFormat="1" ht="11.25" x14ac:dyDescent="0.2">
      <c r="A7" s="847"/>
      <c r="C7" s="2031"/>
    </row>
    <row r="8" spans="1:3" s="254" customFormat="1" ht="11.25" x14ac:dyDescent="0.2">
      <c r="A8" s="847" t="s">
        <v>2075</v>
      </c>
      <c r="B8" s="254" t="s">
        <v>2076</v>
      </c>
      <c r="C8" s="2031"/>
    </row>
    <row r="9" spans="1:3" s="254" customFormat="1" ht="11.25" x14ac:dyDescent="0.2">
      <c r="A9" s="847"/>
      <c r="B9" s="254" t="s">
        <v>2077</v>
      </c>
      <c r="C9" s="2031">
        <v>17155</v>
      </c>
    </row>
    <row r="10" spans="1:3" s="254" customFormat="1" ht="11.25" x14ac:dyDescent="0.2">
      <c r="A10" s="847"/>
      <c r="C10" s="2031"/>
    </row>
    <row r="11" spans="1:3" s="254" customFormat="1" ht="11.25" x14ac:dyDescent="0.2">
      <c r="A11" s="2034" t="s">
        <v>2078</v>
      </c>
      <c r="B11" s="2033" t="s">
        <v>2079</v>
      </c>
      <c r="C11" s="2036"/>
    </row>
    <row r="12" spans="1:3" s="254" customFormat="1" ht="11.25" x14ac:dyDescent="0.2">
      <c r="A12" s="2034"/>
      <c r="B12" s="2033" t="s">
        <v>2080</v>
      </c>
      <c r="C12" s="2036">
        <v>28451</v>
      </c>
    </row>
    <row r="13" spans="1:3" s="254" customFormat="1" ht="11.25" x14ac:dyDescent="0.2">
      <c r="A13" s="2034"/>
      <c r="B13" s="2033"/>
      <c r="C13" s="2036"/>
    </row>
    <row r="14" spans="1:3" s="254" customFormat="1" ht="11.25" x14ac:dyDescent="0.2">
      <c r="A14" s="2034"/>
      <c r="B14" s="2033" t="s">
        <v>2081</v>
      </c>
      <c r="C14" s="2036"/>
    </row>
    <row r="15" spans="1:3" s="254" customFormat="1" ht="11.25" x14ac:dyDescent="0.2">
      <c r="A15" s="2034"/>
      <c r="B15" s="2033" t="s">
        <v>2082</v>
      </c>
      <c r="C15" s="2036">
        <v>593</v>
      </c>
    </row>
    <row r="16" spans="1:3" s="254" customFormat="1" ht="11.25" x14ac:dyDescent="0.2">
      <c r="A16" s="2034"/>
      <c r="B16" s="2033"/>
      <c r="C16" s="2036"/>
    </row>
    <row r="17" spans="1:3" s="254" customFormat="1" ht="11.25" x14ac:dyDescent="0.2">
      <c r="A17" s="2034"/>
      <c r="B17" s="2033" t="s">
        <v>2083</v>
      </c>
      <c r="C17" s="2036"/>
    </row>
    <row r="18" spans="1:3" s="254" customFormat="1" ht="11.25" x14ac:dyDescent="0.2">
      <c r="A18" s="2034"/>
      <c r="B18" s="2033" t="s">
        <v>2084</v>
      </c>
      <c r="C18" s="2036">
        <v>4573</v>
      </c>
    </row>
    <row r="19" spans="1:3" s="254" customFormat="1" ht="11.25" x14ac:dyDescent="0.2">
      <c r="A19" s="2034"/>
      <c r="B19" s="2033" t="s">
        <v>2085</v>
      </c>
      <c r="C19" s="2043">
        <v>5509</v>
      </c>
    </row>
    <row r="20" spans="1:3" s="254" customFormat="1" ht="11.25" x14ac:dyDescent="0.2">
      <c r="A20" s="2034"/>
      <c r="B20" s="2033" t="s">
        <v>2086</v>
      </c>
      <c r="C20" s="2043">
        <v>55756</v>
      </c>
    </row>
    <row r="21" spans="1:3" s="254" customFormat="1" ht="11.25" x14ac:dyDescent="0.2">
      <c r="A21" s="2034"/>
      <c r="B21" s="2033" t="s">
        <v>2087</v>
      </c>
      <c r="C21" s="2044">
        <v>28577</v>
      </c>
    </row>
    <row r="22" spans="1:3" s="254" customFormat="1" ht="11.25" x14ac:dyDescent="0.2">
      <c r="A22" s="2034"/>
      <c r="B22" s="2033"/>
      <c r="C22" s="2036">
        <v>94415</v>
      </c>
    </row>
    <row r="23" spans="1:3" s="254" customFormat="1" ht="11.25" x14ac:dyDescent="0.2">
      <c r="A23" s="2034"/>
      <c r="B23" s="2033"/>
      <c r="C23" s="2036"/>
    </row>
    <row r="24" spans="1:3" s="254" customFormat="1" ht="11.25" x14ac:dyDescent="0.2">
      <c r="A24" s="2034"/>
      <c r="B24" s="2033" t="s">
        <v>2088</v>
      </c>
      <c r="C24" s="2036"/>
    </row>
    <row r="25" spans="1:3" s="254" customFormat="1" ht="11.25" x14ac:dyDescent="0.2">
      <c r="A25" s="2034"/>
      <c r="B25" s="2033" t="s">
        <v>2089</v>
      </c>
      <c r="C25" s="2036">
        <v>1767</v>
      </c>
    </row>
    <row r="26" spans="1:3" s="254" customFormat="1" ht="11.25" x14ac:dyDescent="0.2">
      <c r="A26" s="2034"/>
      <c r="B26" s="2033"/>
      <c r="C26" s="2036"/>
    </row>
    <row r="27" spans="1:3" s="254" customFormat="1" ht="11.25" x14ac:dyDescent="0.2">
      <c r="A27" s="2034" t="s">
        <v>2090</v>
      </c>
      <c r="B27" s="2033"/>
      <c r="C27" s="2036"/>
    </row>
    <row r="28" spans="1:3" s="254" customFormat="1" ht="11.25" x14ac:dyDescent="0.2">
      <c r="A28" s="2034"/>
      <c r="B28" s="2033" t="s">
        <v>2091</v>
      </c>
      <c r="C28" s="2036"/>
    </row>
    <row r="29" spans="1:3" s="254" customFormat="1" ht="11.25" x14ac:dyDescent="0.2">
      <c r="A29" s="2034"/>
      <c r="B29" s="2033" t="s">
        <v>2092</v>
      </c>
      <c r="C29" s="2036">
        <v>38</v>
      </c>
    </row>
    <row r="30" spans="1:3" s="254" customFormat="1" x14ac:dyDescent="0.2">
      <c r="A30" s="2035"/>
      <c r="B30" s="2032"/>
      <c r="C30" s="2032"/>
    </row>
    <row r="31" spans="1:3" s="254" customFormat="1" ht="11.25" x14ac:dyDescent="0.2">
      <c r="A31" s="2034"/>
      <c r="B31" s="2033" t="s">
        <v>2093</v>
      </c>
      <c r="C31" s="2036"/>
    </row>
    <row r="32" spans="1:3" s="254" customFormat="1" ht="11.25" x14ac:dyDescent="0.2">
      <c r="A32" s="2034"/>
      <c r="B32" s="2033" t="s">
        <v>2094</v>
      </c>
      <c r="C32" s="2036">
        <v>76</v>
      </c>
    </row>
    <row r="33" spans="1:3" s="254" customFormat="1" ht="11.25" x14ac:dyDescent="0.2">
      <c r="A33" s="2034"/>
      <c r="B33" s="2033"/>
      <c r="C33" s="2036"/>
    </row>
    <row r="34" spans="1:3" s="254" customFormat="1" ht="11.25" x14ac:dyDescent="0.2">
      <c r="A34" s="2034" t="s">
        <v>2095</v>
      </c>
      <c r="B34" s="2033" t="s">
        <v>2096</v>
      </c>
      <c r="C34" s="2036"/>
    </row>
    <row r="35" spans="1:3" s="254" customFormat="1" ht="11.25" x14ac:dyDescent="0.2">
      <c r="A35" s="2034"/>
      <c r="B35" s="2033" t="s">
        <v>2097</v>
      </c>
      <c r="C35" s="2036">
        <v>1500</v>
      </c>
    </row>
    <row r="36" spans="1:3" s="254" customFormat="1" ht="11.25" x14ac:dyDescent="0.2">
      <c r="A36" s="2034"/>
      <c r="B36" s="2033"/>
      <c r="C36" s="2036"/>
    </row>
    <row r="37" spans="1:3" s="254" customFormat="1" ht="11.25" x14ac:dyDescent="0.2">
      <c r="A37" s="2034" t="s">
        <v>2098</v>
      </c>
      <c r="B37" s="2033" t="s">
        <v>2099</v>
      </c>
      <c r="C37" s="2036"/>
    </row>
    <row r="38" spans="1:3" s="254" customFormat="1" ht="11.25" x14ac:dyDescent="0.2">
      <c r="A38" s="2034"/>
      <c r="B38" s="2033" t="s">
        <v>2082</v>
      </c>
      <c r="C38" s="2036">
        <v>3163</v>
      </c>
    </row>
    <row r="39" spans="1:3" s="254" customFormat="1" ht="11.25" x14ac:dyDescent="0.2">
      <c r="A39" s="2034"/>
      <c r="B39" s="2033"/>
      <c r="C39" s="2036"/>
    </row>
    <row r="40" spans="1:3" x14ac:dyDescent="0.2">
      <c r="A40" s="2034" t="s">
        <v>2100</v>
      </c>
      <c r="B40" s="2033" t="s">
        <v>2101</v>
      </c>
      <c r="C40" s="2036"/>
    </row>
    <row r="41" spans="1:3" s="254" customFormat="1" ht="11.25" x14ac:dyDescent="0.2">
      <c r="A41" s="2034"/>
      <c r="B41" s="2033" t="s">
        <v>2102</v>
      </c>
      <c r="C41" s="2036">
        <v>510</v>
      </c>
    </row>
    <row r="42" spans="1:3" s="254" customFormat="1" ht="11.25" x14ac:dyDescent="0.2">
      <c r="A42" s="847"/>
      <c r="C42" s="2031"/>
    </row>
    <row r="43" spans="1:3" s="254" customFormat="1" ht="11.25" x14ac:dyDescent="0.2">
      <c r="A43" s="847"/>
      <c r="C43" s="2031"/>
    </row>
    <row r="44" spans="1:3" s="254" customFormat="1" ht="11.25" x14ac:dyDescent="0.2">
      <c r="A44" s="847"/>
      <c r="C44" s="2031"/>
    </row>
    <row r="45" spans="1:3" s="254" customFormat="1" ht="11.25" x14ac:dyDescent="0.2">
      <c r="A45" s="847"/>
      <c r="C45" s="2031"/>
    </row>
    <row r="46" spans="1:3" s="254" customFormat="1" ht="11.25" x14ac:dyDescent="0.2">
      <c r="A46" s="847"/>
      <c r="C46" s="2031"/>
    </row>
    <row r="47" spans="1:3" s="254" customFormat="1" ht="11.25" x14ac:dyDescent="0.2">
      <c r="A47" s="847"/>
      <c r="C47" s="2031"/>
    </row>
    <row r="48" spans="1:3" s="254" customFormat="1" ht="11.25" x14ac:dyDescent="0.2">
      <c r="A48" s="847"/>
      <c r="C48" s="2031"/>
    </row>
    <row r="49" spans="1:3" s="254" customFormat="1" ht="11.25" x14ac:dyDescent="0.2">
      <c r="A49" s="847"/>
      <c r="C49" s="2031"/>
    </row>
    <row r="50" spans="1:3" s="254" customFormat="1" ht="11.25" x14ac:dyDescent="0.2">
      <c r="A50" s="847"/>
      <c r="C50" s="2031"/>
    </row>
    <row r="51" spans="1:3" s="254" customFormat="1" ht="11.25" x14ac:dyDescent="0.2">
      <c r="A51" s="847"/>
      <c r="C51" s="2031"/>
    </row>
    <row r="52" spans="1:3" x14ac:dyDescent="0.2">
      <c r="A52" s="848"/>
    </row>
    <row r="53" spans="1:3" x14ac:dyDescent="0.2">
      <c r="A53" s="848"/>
    </row>
    <row r="54" spans="1:3" x14ac:dyDescent="0.2">
      <c r="A54" s="848"/>
    </row>
    <row r="55" spans="1:3" x14ac:dyDescent="0.2">
      <c r="A55" s="848"/>
    </row>
    <row r="56" spans="1:3" x14ac:dyDescent="0.2">
      <c r="A56" s="848"/>
    </row>
    <row r="57" spans="1:3" x14ac:dyDescent="0.2">
      <c r="A57" s="848"/>
    </row>
    <row r="58" spans="1:3" x14ac:dyDescent="0.2">
      <c r="A58" s="848"/>
    </row>
    <row r="59" spans="1:3" x14ac:dyDescent="0.2">
      <c r="A59" s="848"/>
    </row>
    <row r="60" spans="1:3" x14ac:dyDescent="0.2">
      <c r="A60" s="848"/>
    </row>
    <row r="61" spans="1:3" x14ac:dyDescent="0.2">
      <c r="A61" s="848"/>
    </row>
    <row r="62" spans="1:3" x14ac:dyDescent="0.2">
      <c r="A62" s="848"/>
      <c r="B62" s="253" t="str">
        <f>COVER!A17</f>
        <v xml:space="preserve">   Washington SD 52</v>
      </c>
    </row>
    <row r="63" spans="1:3" x14ac:dyDescent="0.2">
      <c r="B63" s="849">
        <f>COVER!A13</f>
        <v>53090052002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Normal="100" workbookViewId="0">
      <selection activeCell="I33" sqref="I3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70" t="s">
        <v>1597</v>
      </c>
    </row>
    <row r="23" spans="1:5" x14ac:dyDescent="0.2">
      <c r="A23" s="163"/>
      <c r="B23" s="157" t="s">
        <v>1828</v>
      </c>
      <c r="D23" s="162" t="s">
        <v>632</v>
      </c>
      <c r="E23" s="1470"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1" t="s">
        <v>1058</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1594</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Normal="100" workbookViewId="0">
      <selection activeCell="AE35" sqref="AE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2" zoomScaleNormal="100" workbookViewId="0">
      <selection activeCell="A23" sqref="A2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5" t="s">
        <v>1668</v>
      </c>
      <c r="B18" s="247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3457575</xdr:colOff>
                <xdr:row>1</xdr:row>
                <xdr:rowOff>57150</xdr:rowOff>
              </from>
              <to>
                <xdr:col>2</xdr:col>
                <xdr:colOff>390525</xdr:colOff>
                <xdr:row>5</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1352550</xdr:colOff>
                <xdr:row>1</xdr:row>
                <xdr:rowOff>133350</xdr:rowOff>
              </from>
              <to>
                <xdr:col>1</xdr:col>
                <xdr:colOff>2266950</xdr:colOff>
                <xdr:row>6</xdr:row>
                <xdr:rowOff>9525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Normal="100" workbookViewId="0">
      <selection activeCell="AE35" sqref="AE3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1672</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1972</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1673</v>
      </c>
      <c r="B6" s="2493"/>
      <c r="C6" s="2493"/>
      <c r="D6" s="2493"/>
      <c r="E6" s="2493"/>
      <c r="F6" s="2494"/>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7110487</v>
      </c>
      <c r="C8" s="1813">
        <f>'Acct Summary 7-8'!D8</f>
        <v>354456</v>
      </c>
      <c r="D8" s="1813">
        <f>'Acct Summary 7-8'!F8</f>
        <v>524174</v>
      </c>
      <c r="E8" s="1813">
        <f>'Acct Summary 7-8'!I8</f>
        <v>21670</v>
      </c>
      <c r="F8" s="1813">
        <f>SUM(B8:E8)</f>
        <v>8010787</v>
      </c>
    </row>
    <row r="9" spans="1:8" s="858" customFormat="1" ht="14.25" customHeight="1" thickBot="1" x14ac:dyDescent="0.25">
      <c r="A9" s="857" t="s">
        <v>1355</v>
      </c>
      <c r="B9" s="1814">
        <f>'Acct Summary 7-8'!C17</f>
        <v>6559612</v>
      </c>
      <c r="C9" s="1814">
        <f>'Acct Summary 7-8'!D17</f>
        <v>350899</v>
      </c>
      <c r="D9" s="1814">
        <f>'Acct Summary 7-8'!F17</f>
        <v>456999</v>
      </c>
      <c r="E9" s="1813"/>
      <c r="F9" s="1813">
        <f>SUM(B9:E9)</f>
        <v>7367510</v>
      </c>
    </row>
    <row r="10" spans="1:8" s="858" customFormat="1" ht="14.25" thickTop="1" thickBot="1" x14ac:dyDescent="0.25">
      <c r="A10" s="859" t="s">
        <v>1356</v>
      </c>
      <c r="B10" s="1815">
        <f>(B8-B9)</f>
        <v>550875</v>
      </c>
      <c r="C10" s="1815">
        <f>(C8-C9)</f>
        <v>3557</v>
      </c>
      <c r="D10" s="1815">
        <f>(D8-D9)</f>
        <v>67175</v>
      </c>
      <c r="E10" s="1814">
        <f>(E8-E9)</f>
        <v>21670</v>
      </c>
      <c r="F10" s="1816">
        <f>SUM(F8-F9)</f>
        <v>643277</v>
      </c>
    </row>
    <row r="11" spans="1:8" s="858" customFormat="1" ht="14.25" thickTop="1" thickBot="1" x14ac:dyDescent="0.25">
      <c r="A11" s="860" t="s">
        <v>1903</v>
      </c>
      <c r="B11" s="1817">
        <f>'Acct Summary 7-8'!C81</f>
        <v>2686494</v>
      </c>
      <c r="C11" s="1817">
        <f>'Acct Summary 7-8'!D81</f>
        <v>1067218</v>
      </c>
      <c r="D11" s="1817">
        <f>'Acct Summary 7-8'!F81</f>
        <v>593011</v>
      </c>
      <c r="E11" s="1817">
        <f>'Acct Summary 7-8'!I81</f>
        <v>1132078</v>
      </c>
      <c r="F11" s="1818">
        <f>SUM(B11:E11)</f>
        <v>5478801</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1669</v>
      </c>
      <c r="B16" s="2479"/>
      <c r="C16" s="2479"/>
      <c r="D16" s="2479"/>
      <c r="E16" s="2479"/>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Normal="100" workbookViewId="0">
      <selection activeCell="AE35" sqref="AE3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1674</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1490</v>
      </c>
      <c r="D7" s="2513"/>
    </row>
    <row r="8" spans="1:4" s="542" customFormat="1" ht="12.75" x14ac:dyDescent="0.2">
      <c r="A8" s="917"/>
      <c r="B8" s="872"/>
      <c r="C8" s="875" t="s">
        <v>1489</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1675</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6" t="s">
        <v>311</v>
      </c>
      <c r="D21" s="2517"/>
    </row>
    <row r="22" spans="1:10" ht="12.75" x14ac:dyDescent="0.2">
      <c r="A22" s="918"/>
      <c r="B22" s="919">
        <v>2</v>
      </c>
      <c r="C22" s="2514" t="s">
        <v>1510</v>
      </c>
      <c r="D22" s="251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0" t="s">
        <v>1677</v>
      </c>
      <c r="D70" s="2511"/>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897" t="str">
        <f>IF('Contracts Paid in CY 29'!$D$140&gt;0,"OK","PLEASE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6" t="s">
        <v>1978</v>
      </c>
    </row>
    <row r="2" spans="1:7" ht="15.75" x14ac:dyDescent="0.25">
      <c r="A2" t="s">
        <v>260</v>
      </c>
      <c r="B2" s="135">
        <f>COVER!A13</f>
        <v>53090052002</v>
      </c>
      <c r="E2" s="1542">
        <v>2020</v>
      </c>
      <c r="F2" s="1542">
        <v>1</v>
      </c>
      <c r="G2" s="1895">
        <v>101000300</v>
      </c>
    </row>
    <row r="3" spans="1:7" ht="15" x14ac:dyDescent="0.25">
      <c r="A3" t="s">
        <v>950</v>
      </c>
      <c r="B3" s="135" t="str">
        <f>COVER!A15</f>
        <v>Tazewell</v>
      </c>
      <c r="E3" s="1830" t="s">
        <v>1971</v>
      </c>
      <c r="F3" s="1830" t="s">
        <v>1970</v>
      </c>
      <c r="G3" s="1895">
        <v>101000400</v>
      </c>
    </row>
    <row r="4" spans="1:7" ht="15" x14ac:dyDescent="0.25">
      <c r="A4" t="s">
        <v>1000</v>
      </c>
      <c r="B4" s="135" t="str">
        <f>COVER!A17</f>
        <v xml:space="preserve">   Washington SD 52</v>
      </c>
      <c r="E4" s="1828">
        <v>44119</v>
      </c>
      <c r="F4" s="1829">
        <v>44151</v>
      </c>
      <c r="G4" s="1895">
        <v>101000600</v>
      </c>
    </row>
    <row r="5" spans="1:7" ht="15" x14ac:dyDescent="0.25">
      <c r="A5" t="s">
        <v>699</v>
      </c>
      <c r="B5" s="135" t="str">
        <f>COVER!A38</f>
        <v>Patreak Minasian</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f>COVER!T38</f>
        <v>0</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1529</v>
      </c>
      <c r="B12" s="135" t="str">
        <f>IF(COVER!J29="x","Yes",IF(COVER!L29="X","No",0))</f>
        <v>No</v>
      </c>
      <c r="G12" s="1895">
        <v>202100600</v>
      </c>
    </row>
    <row r="13" spans="1:7" ht="15" x14ac:dyDescent="0.25">
      <c r="A13" s="1" t="s">
        <v>1530</v>
      </c>
      <c r="B13" s="135">
        <f>IF(COVER!J30="x","Yes",IF(COVER!L30="x","No",0))</f>
        <v>0</v>
      </c>
      <c r="G13" s="1895">
        <v>202100800</v>
      </c>
    </row>
    <row r="14" spans="1:7" ht="15" x14ac:dyDescent="0.25">
      <c r="A14" t="s">
        <v>473</v>
      </c>
      <c r="B14" s="135" t="str">
        <f>IF(COVER!J31="x","Yes",IF(COVER!L31="x","No",0))</f>
        <v>No</v>
      </c>
      <c r="G14" s="1895">
        <v>402100300</v>
      </c>
    </row>
    <row r="15" spans="1:7" ht="15" x14ac:dyDescent="0.25">
      <c r="A15" t="s">
        <v>573</v>
      </c>
      <c r="B15" s="135" t="str">
        <f>COVER!T23</f>
        <v>066-004355</v>
      </c>
      <c r="G15" s="1895">
        <v>402100400</v>
      </c>
    </row>
    <row r="16" spans="1:7" ht="15" x14ac:dyDescent="0.25">
      <c r="A16" t="s">
        <v>419</v>
      </c>
      <c r="B16" s="135" t="str">
        <f>COVER!T13</f>
        <v>Phillips, Salmi &amp; Associates, LLC</v>
      </c>
      <c r="G16" s="1895">
        <v>402100600</v>
      </c>
    </row>
    <row r="17" spans="1:7" ht="15" x14ac:dyDescent="0.25">
      <c r="A17" t="s">
        <v>878</v>
      </c>
      <c r="B17" s="135" t="str">
        <f>COVER!T15</f>
        <v>Lori Salmi</v>
      </c>
      <c r="G17" s="1895">
        <v>402100800</v>
      </c>
    </row>
    <row r="18" spans="1:7" ht="15" x14ac:dyDescent="0.25">
      <c r="A18" t="s">
        <v>1142</v>
      </c>
      <c r="B18" s="135" t="str">
        <f>COVER!T17</f>
        <v>112 S Main Street</v>
      </c>
      <c r="G18" s="1895">
        <v>102200300</v>
      </c>
    </row>
    <row r="19" spans="1:7" ht="15" x14ac:dyDescent="0.25">
      <c r="A19" t="s">
        <v>880</v>
      </c>
      <c r="B19" s="135" t="str">
        <f>COVER!T25</f>
        <v>lsalmi@psa-cpa.com</v>
      </c>
      <c r="G19" s="1895">
        <v>102200400</v>
      </c>
    </row>
    <row r="20" spans="1:7" ht="15" x14ac:dyDescent="0.25">
      <c r="A20" t="s">
        <v>881</v>
      </c>
      <c r="B20" s="135" t="str">
        <f>COVER!T19</f>
        <v>Washington</v>
      </c>
      <c r="G20" s="1895">
        <v>102200600</v>
      </c>
    </row>
    <row r="21" spans="1:7" ht="15" x14ac:dyDescent="0.25">
      <c r="A21" t="s">
        <v>476</v>
      </c>
      <c r="B21" s="135" t="str">
        <f>COVER!X19</f>
        <v>IL</v>
      </c>
      <c r="G21" s="1895">
        <v>102200800</v>
      </c>
    </row>
    <row r="22" spans="1:7" ht="15" x14ac:dyDescent="0.25">
      <c r="A22" t="s">
        <v>882</v>
      </c>
      <c r="B22" s="135">
        <f>COVER!Z19</f>
        <v>61571</v>
      </c>
      <c r="G22" s="1895">
        <v>102300300</v>
      </c>
    </row>
    <row r="23" spans="1:7" ht="15" x14ac:dyDescent="0.25">
      <c r="A23" t="s">
        <v>1144</v>
      </c>
      <c r="B23" s="135" t="str">
        <f>COVER!T21</f>
        <v>(309) 444-4909</v>
      </c>
      <c r="G23" s="1895">
        <v>102300400</v>
      </c>
    </row>
    <row r="24" spans="1:7" ht="15" x14ac:dyDescent="0.25">
      <c r="A24" t="s">
        <v>1143</v>
      </c>
      <c r="B24" s="135">
        <f>COVER!Y21</f>
        <v>0</v>
      </c>
      <c r="G24" s="1895">
        <v>102300600</v>
      </c>
    </row>
    <row r="25" spans="1:7" ht="15" x14ac:dyDescent="0.25">
      <c r="A25" t="s">
        <v>756</v>
      </c>
      <c r="B25" s="135" t="str">
        <f>COVER!B34</f>
        <v>X</v>
      </c>
      <c r="G25" s="1895">
        <v>102300800</v>
      </c>
    </row>
    <row r="26" spans="1:7" ht="15" x14ac:dyDescent="0.25">
      <c r="A26" t="s">
        <v>1145</v>
      </c>
      <c r="B26" s="135">
        <f>COVER!L34</f>
        <v>0</v>
      </c>
      <c r="G26" s="1895">
        <v>802300300</v>
      </c>
    </row>
    <row r="27" spans="1:7" ht="15" x14ac:dyDescent="0.25">
      <c r="A27" t="s">
        <v>266</v>
      </c>
      <c r="B27" s="135">
        <f>COVER!U34</f>
        <v>0</v>
      </c>
      <c r="G27" s="1895">
        <v>802300400</v>
      </c>
    </row>
    <row r="28" spans="1:7" ht="15" x14ac:dyDescent="0.25">
      <c r="A28" t="s">
        <v>313</v>
      </c>
      <c r="B28" s="135" t="str">
        <f>IF('Aud Quest 2'!B9="x","Yes",IF('Aud Quest 2'!B9&lt;&gt;"x","0"))</f>
        <v>0</v>
      </c>
      <c r="G28" s="1895">
        <v>802300600</v>
      </c>
    </row>
    <row r="29" spans="1:7" ht="15" x14ac:dyDescent="0.25">
      <c r="A29" t="s">
        <v>314</v>
      </c>
      <c r="B29" s="135" t="str">
        <f>IF('Aud Quest 2'!B11="x","Yes",IF('Aud Quest 2'!B11&lt;&gt;"x","0"))</f>
        <v>0</v>
      </c>
      <c r="G29" s="1895">
        <v>802300800</v>
      </c>
    </row>
    <row r="30" spans="1:7" ht="15" x14ac:dyDescent="0.25">
      <c r="A30" t="s">
        <v>315</v>
      </c>
      <c r="B30" s="135" t="str">
        <f>IF('Aud Quest 2'!B13="x","Yes",IF('Aud Quest 2'!B13&lt;&gt;"x","0"))</f>
        <v>0</v>
      </c>
      <c r="G30" s="1895">
        <v>102400300</v>
      </c>
    </row>
    <row r="31" spans="1:7" ht="15" x14ac:dyDescent="0.25">
      <c r="A31" t="s">
        <v>654</v>
      </c>
      <c r="B31" s="135" t="str">
        <f>IF('Aud Quest 2'!B14="x","Yes",IF('Aud Quest 2'!B14&lt;&gt;"x","0"))</f>
        <v>0</v>
      </c>
      <c r="G31" s="1895">
        <v>102400400</v>
      </c>
    </row>
    <row r="32" spans="1:7" ht="15" x14ac:dyDescent="0.25">
      <c r="A32" t="s">
        <v>653</v>
      </c>
      <c r="B32" s="135" t="str">
        <f>IF('Aud Quest 2'!B15="x","Yes",IF('Aud Quest 2'!B15&lt;&gt;"x","0"))</f>
        <v>0</v>
      </c>
      <c r="G32" s="1895">
        <v>102400600</v>
      </c>
    </row>
    <row r="33" spans="1:7" ht="15" x14ac:dyDescent="0.25">
      <c r="A33" t="s">
        <v>655</v>
      </c>
      <c r="B33" s="135" t="str">
        <f>IF('Aud Quest 2'!B16="x","Yes",IF('Aud Quest 2'!B16&lt;&gt;"x","0"))</f>
        <v>0</v>
      </c>
      <c r="G33" s="1895">
        <v>102400800</v>
      </c>
    </row>
    <row r="34" spans="1:7" ht="15" x14ac:dyDescent="0.25">
      <c r="A34" t="s">
        <v>656</v>
      </c>
      <c r="B34" s="135" t="str">
        <f>IF('Aud Quest 2'!B18="x","Yes",IF('Aud Quest 2'!B18&lt;&gt;"x","0"))</f>
        <v>0</v>
      </c>
      <c r="G34" s="1895">
        <v>102510300</v>
      </c>
    </row>
    <row r="35" spans="1:7" ht="15" x14ac:dyDescent="0.25">
      <c r="A35" t="s">
        <v>657</v>
      </c>
      <c r="B35" s="135" t="str">
        <f>IF('Aud Quest 2'!B20="x","Yes",IF('Aud Quest 2'!B20&lt;&gt;"x","0"))</f>
        <v>0</v>
      </c>
      <c r="G35" s="1895">
        <v>102510400</v>
      </c>
    </row>
    <row r="36" spans="1:7" ht="15" x14ac:dyDescent="0.25">
      <c r="A36" t="s">
        <v>651</v>
      </c>
      <c r="B36" s="135" t="str">
        <f>IF('Aud Quest 2'!B22="x","Yes",IF('Aud Quest 2'!B22&lt;&gt;"x","0"))</f>
        <v>0</v>
      </c>
      <c r="G36" s="1895">
        <v>102510600</v>
      </c>
    </row>
    <row r="37" spans="1:7" ht="15" x14ac:dyDescent="0.25">
      <c r="A37" t="s">
        <v>755</v>
      </c>
      <c r="B37" s="135" t="str">
        <f>IF('Aud Quest 2'!B24="x","Yes",IF('Aud Quest 2'!B24&lt;&gt;"x","0"))</f>
        <v>0</v>
      </c>
      <c r="G37" s="1895">
        <v>102510800</v>
      </c>
    </row>
    <row r="38" spans="1:7" ht="15" x14ac:dyDescent="0.25">
      <c r="A38" t="s">
        <v>324</v>
      </c>
      <c r="B38" s="135" t="str">
        <f>IF('Aud Quest 2'!B25="x","Yes",IF('Aud Quest 2'!B25&lt;&gt;"x","0"))</f>
        <v>0</v>
      </c>
      <c r="G38" s="1895">
        <v>202510300</v>
      </c>
    </row>
    <row r="39" spans="1:7" ht="15" x14ac:dyDescent="0.25">
      <c r="A39" t="s">
        <v>325</v>
      </c>
      <c r="B39" s="135" t="str">
        <f>IF('Aud Quest 2'!B27="x","Yes",IF('Aud Quest 2'!B27&lt;&gt;"x","0"))</f>
        <v>0</v>
      </c>
      <c r="G39" s="1895">
        <v>202510400</v>
      </c>
    </row>
    <row r="40" spans="1:7" ht="15" x14ac:dyDescent="0.25">
      <c r="A40" t="s">
        <v>316</v>
      </c>
      <c r="B40" s="135" t="str">
        <f>IF('Aud Quest 2'!B29="x","Yes",IF('Aud Quest 2'!B29&lt;&gt;"x","0"))</f>
        <v>0</v>
      </c>
      <c r="G40" s="1895">
        <v>202510600</v>
      </c>
    </row>
    <row r="41" spans="1:7" ht="15" x14ac:dyDescent="0.25">
      <c r="A41" t="s">
        <v>317</v>
      </c>
      <c r="B41" s="135" t="str">
        <f>IF('Aud Quest 2'!B31="x","Yes",IF('Aud Quest 2'!B31&lt;&gt;"x","0"))</f>
        <v>0</v>
      </c>
      <c r="G41" s="1895">
        <v>202510800</v>
      </c>
    </row>
    <row r="42" spans="1:7" ht="15" x14ac:dyDescent="0.25">
      <c r="A42" t="s">
        <v>318</v>
      </c>
      <c r="B42" s="135" t="str">
        <f>IF('Aud Quest 2'!B37="x","Yes",IF('Aud Quest 2'!B37&lt;&gt;"x","0"))</f>
        <v>0</v>
      </c>
      <c r="G42" s="1895">
        <v>102520300</v>
      </c>
    </row>
    <row r="43" spans="1:7" ht="15" x14ac:dyDescent="0.25">
      <c r="A43" t="s">
        <v>319</v>
      </c>
      <c r="B43" s="135" t="str">
        <f>IF('Aud Quest 2'!B40="x","Yes",IF('Aud Quest 2'!B40&lt;&gt;"x","0"))</f>
        <v>0</v>
      </c>
      <c r="G43" s="1895">
        <v>102520400</v>
      </c>
    </row>
    <row r="44" spans="1:7" ht="15" x14ac:dyDescent="0.25">
      <c r="A44" s="1" t="s">
        <v>320</v>
      </c>
      <c r="B44" s="135" t="str">
        <f>IF('Aud Quest 2'!B42="x","Yes",IF('Aud Quest 2'!B42&lt;&gt;"x","0"))</f>
        <v>0</v>
      </c>
      <c r="G44" s="1895">
        <v>102520600</v>
      </c>
    </row>
    <row r="45" spans="1:7" ht="15" x14ac:dyDescent="0.25">
      <c r="A45" t="s">
        <v>321</v>
      </c>
      <c r="B45" s="135" t="str">
        <f>IF('Aud Quest 2'!B44="x","Yes",IF('Aud Quest 2'!B44&lt;&gt;"x","0"))</f>
        <v>0</v>
      </c>
      <c r="G45" s="1895">
        <v>102520800</v>
      </c>
    </row>
    <row r="46" spans="1:7" ht="15" x14ac:dyDescent="0.25">
      <c r="A46" t="s">
        <v>322</v>
      </c>
      <c r="B46" s="135" t="str">
        <f>IF('Aud Quest 2'!B49="x","Yes",IF('Aud Quest 2'!B49&lt;&gt;"x","0"))</f>
        <v>0</v>
      </c>
      <c r="G46" s="1895">
        <v>102540300</v>
      </c>
    </row>
    <row r="47" spans="1:7" ht="15" x14ac:dyDescent="0.25">
      <c r="A47" t="s">
        <v>323</v>
      </c>
      <c r="B47" s="135" t="str">
        <f>IF('Aud Quest 2'!B50="x","Yes",IF('Aud Quest 2'!B50&lt;&gt;"x","0"))</f>
        <v>0</v>
      </c>
      <c r="G47" s="1895">
        <v>102540400</v>
      </c>
    </row>
    <row r="48" spans="1:7" ht="15" x14ac:dyDescent="0.25">
      <c r="A48" t="s">
        <v>480</v>
      </c>
      <c r="B48" s="135" t="str">
        <f>IF('Aud Quest 2'!B51="x","Yes",IF('Aud Quest 2'!B51&lt;&gt;"x","0"))</f>
        <v>0</v>
      </c>
      <c r="G48" s="1895">
        <v>102540600</v>
      </c>
    </row>
    <row r="49" spans="1:7" ht="15" x14ac:dyDescent="0.25">
      <c r="A49" s="1" t="s">
        <v>1467</v>
      </c>
      <c r="B49" s="135" t="str">
        <f>IF('Aud Quest 2'!B53="x","Yes",IF('Aud Quest 2'!B53&lt;&gt;"x","0"))</f>
        <v>Yes</v>
      </c>
      <c r="G49" s="1895">
        <v>102540800</v>
      </c>
    </row>
    <row r="50" spans="1:7" ht="15" x14ac:dyDescent="0.25">
      <c r="A50" s="1" t="s">
        <v>1466</v>
      </c>
      <c r="B50" s="146">
        <f>'Aud Quest 2'!H53</f>
        <v>36525</v>
      </c>
      <c r="G50" s="1895">
        <v>202540300</v>
      </c>
    </row>
    <row r="51" spans="1:7" ht="15" x14ac:dyDescent="0.25">
      <c r="A51" s="1" t="s">
        <v>1468</v>
      </c>
      <c r="B51" s="135" t="str">
        <f>IF('Aud Quest 2'!B54="x","Yes",IF('Aud Quest 2'!B54&lt;&gt;"x","0"))</f>
        <v>0</v>
      </c>
      <c r="G51" s="1895">
        <v>202540400</v>
      </c>
    </row>
    <row r="52" spans="1:7" ht="15" x14ac:dyDescent="0.25">
      <c r="A52" t="s">
        <v>326</v>
      </c>
      <c r="B52" s="135">
        <f>('Aud Quest 2'!D56)</f>
        <v>0</v>
      </c>
      <c r="G52" s="1895">
        <v>202540600</v>
      </c>
    </row>
    <row r="53" spans="1:7" ht="15" x14ac:dyDescent="0.25">
      <c r="A53" s="1" t="s">
        <v>327</v>
      </c>
      <c r="B53" s="135">
        <f>IF('FP Info 3'!B44="X","Yes",0)</f>
        <v>0</v>
      </c>
      <c r="G53" s="1895">
        <v>202540800</v>
      </c>
    </row>
    <row r="54" spans="1:7" ht="15" x14ac:dyDescent="0.25">
      <c r="A54" t="s">
        <v>328</v>
      </c>
      <c r="B54" s="135">
        <f>IF('FP Info 3'!B45="X","Yes",0)</f>
        <v>0</v>
      </c>
      <c r="G54" s="1895">
        <v>902540300</v>
      </c>
    </row>
    <row r="55" spans="1:7" ht="15" x14ac:dyDescent="0.25">
      <c r="A55" t="s">
        <v>329</v>
      </c>
      <c r="B55" s="135">
        <f>IF('FP Info 3'!B46="X","Yes",0)</f>
        <v>0</v>
      </c>
      <c r="G55" s="1895">
        <v>902540400</v>
      </c>
    </row>
    <row r="56" spans="1:7" ht="15" x14ac:dyDescent="0.25">
      <c r="A56" t="s">
        <v>330</v>
      </c>
      <c r="B56" s="135">
        <f>IF('FP Info 3'!B47="X","Yes",0)</f>
        <v>0</v>
      </c>
      <c r="G56" s="1895">
        <v>902540600</v>
      </c>
    </row>
    <row r="57" spans="1:7" ht="15" x14ac:dyDescent="0.25">
      <c r="A57" t="s">
        <v>331</v>
      </c>
      <c r="B57" s="135">
        <f>IF('FP Info 3'!B48="X","Yes",0)</f>
        <v>0</v>
      </c>
      <c r="G57" s="1895">
        <v>902540800</v>
      </c>
    </row>
    <row r="58" spans="1:7" ht="15" x14ac:dyDescent="0.25">
      <c r="A58" t="s">
        <v>332</v>
      </c>
      <c r="B58" s="135">
        <f>IF('FP Info 3'!B49="X","Yes",0)</f>
        <v>0</v>
      </c>
      <c r="G58" s="1895">
        <v>102550300</v>
      </c>
    </row>
    <row r="59" spans="1:7" ht="15" x14ac:dyDescent="0.25">
      <c r="A59" t="s">
        <v>333</v>
      </c>
      <c r="B59" s="135">
        <f>IF('FP Info 3'!B50="X","Yes",0)</f>
        <v>0</v>
      </c>
      <c r="G59" s="1895">
        <v>102550400</v>
      </c>
    </row>
    <row r="60" spans="1:7" ht="15" x14ac:dyDescent="0.25">
      <c r="A60" t="s">
        <v>334</v>
      </c>
      <c r="B60" s="135">
        <f>IF('FP Info 3'!B51="X","Yes",0)</f>
        <v>0</v>
      </c>
      <c r="G60" s="1895">
        <v>102550600</v>
      </c>
    </row>
    <row r="61" spans="1:7" ht="15" x14ac:dyDescent="0.25">
      <c r="A61" t="s">
        <v>335</v>
      </c>
      <c r="B61" s="135">
        <f>('FP Info 3'!A53)</f>
        <v>0</v>
      </c>
      <c r="D61" s="2" t="str">
        <f>IF(ISBLANK(B62),"OK",IF(A62-B62=0,"OK","Error?"))</f>
        <v>OK</v>
      </c>
      <c r="G61" s="1895">
        <v>102550800</v>
      </c>
    </row>
    <row r="62" spans="1:7" ht="15" x14ac:dyDescent="0.25">
      <c r="A62" s="10">
        <v>1</v>
      </c>
      <c r="B62" s="1832"/>
      <c r="D62" s="2" t="str">
        <f>IF(ISBLANK(B62),"OK",IF(A62-B62=0,"OK","Error?"))</f>
        <v>OK</v>
      </c>
      <c r="G62" s="1895">
        <v>202550300</v>
      </c>
    </row>
    <row r="63" spans="1:7" ht="15" x14ac:dyDescent="0.25">
      <c r="A63" s="10">
        <v>2</v>
      </c>
      <c r="B63" s="1832"/>
      <c r="D63" s="2" t="str">
        <f t="shared" ref="D63:D126" si="0">IF(ISBLANK(B63),"OK",IF(A63-B63=0,"OK","Error?"))</f>
        <v>OK</v>
      </c>
      <c r="G63" s="1895">
        <v>202550400</v>
      </c>
    </row>
    <row r="64" spans="1:7" ht="15" x14ac:dyDescent="0.25">
      <c r="A64" s="10">
        <v>3</v>
      </c>
      <c r="B64" s="1832"/>
      <c r="D64" s="2" t="str">
        <f t="shared" si="0"/>
        <v>OK</v>
      </c>
      <c r="G64" s="1895">
        <v>202550600</v>
      </c>
    </row>
    <row r="65" spans="1:7" ht="15" x14ac:dyDescent="0.25">
      <c r="A65" s="5">
        <v>4</v>
      </c>
      <c r="B65" s="1832">
        <f>'Assets-Liab 5-6'!C6</f>
        <v>0</v>
      </c>
      <c r="D65" s="2" t="str">
        <f t="shared" si="0"/>
        <v>Error?</v>
      </c>
      <c r="G65" s="1895">
        <v>202550800</v>
      </c>
    </row>
    <row r="66" spans="1:7" ht="15" x14ac:dyDescent="0.25">
      <c r="A66" s="10">
        <v>5</v>
      </c>
      <c r="B66" s="1832"/>
      <c r="D66" s="2" t="str">
        <f t="shared" si="0"/>
        <v>OK</v>
      </c>
      <c r="G66" s="1895">
        <v>402550300</v>
      </c>
    </row>
    <row r="67" spans="1:7" ht="15" x14ac:dyDescent="0.25">
      <c r="A67" s="10">
        <v>6</v>
      </c>
      <c r="B67" s="1832"/>
      <c r="D67" s="2" t="str">
        <f t="shared" si="0"/>
        <v>OK</v>
      </c>
      <c r="G67" s="1895">
        <v>402550400</v>
      </c>
    </row>
    <row r="68" spans="1:7" ht="15" x14ac:dyDescent="0.25">
      <c r="A68" s="10">
        <v>7</v>
      </c>
      <c r="B68" s="1832"/>
      <c r="D68" s="2" t="str">
        <f t="shared" si="0"/>
        <v>OK</v>
      </c>
      <c r="G68" s="1895">
        <v>402550600</v>
      </c>
    </row>
    <row r="69" spans="1:7" ht="15" x14ac:dyDescent="0.25">
      <c r="A69" s="10">
        <v>8</v>
      </c>
      <c r="B69" s="1832"/>
      <c r="D69" s="2" t="str">
        <f t="shared" si="0"/>
        <v>OK</v>
      </c>
      <c r="G69" s="1895">
        <v>402550800</v>
      </c>
    </row>
    <row r="70" spans="1:7" ht="15" x14ac:dyDescent="0.25">
      <c r="A70" s="10">
        <v>9</v>
      </c>
      <c r="B70" s="1832"/>
      <c r="D70" s="2" t="str">
        <f t="shared" si="0"/>
        <v>OK</v>
      </c>
      <c r="G70" s="1895">
        <v>102560300</v>
      </c>
    </row>
    <row r="71" spans="1:7" ht="15" x14ac:dyDescent="0.25">
      <c r="A71" s="10">
        <v>10</v>
      </c>
      <c r="B71" s="1832"/>
      <c r="D71" s="2" t="str">
        <f t="shared" si="0"/>
        <v>OK</v>
      </c>
      <c r="G71" s="1895">
        <v>102560400</v>
      </c>
    </row>
    <row r="72" spans="1:7" ht="15" x14ac:dyDescent="0.25">
      <c r="A72" s="5">
        <v>11</v>
      </c>
      <c r="B72" s="1832">
        <f>'Assets-Liab 5-6'!C10</f>
        <v>0</v>
      </c>
      <c r="D72" s="2" t="str">
        <f t="shared" si="0"/>
        <v>Error?</v>
      </c>
      <c r="G72" s="1895">
        <v>102560600</v>
      </c>
    </row>
    <row r="73" spans="1:7" ht="15" x14ac:dyDescent="0.25">
      <c r="A73" s="5">
        <v>12</v>
      </c>
      <c r="B73" s="1832">
        <f>'Assets-Liab 5-6'!C5</f>
        <v>1850393</v>
      </c>
      <c r="D73" s="2" t="str">
        <f t="shared" si="0"/>
        <v>Error?</v>
      </c>
      <c r="G73" s="1895">
        <v>102560800</v>
      </c>
    </row>
    <row r="74" spans="1:7" ht="15" x14ac:dyDescent="0.25">
      <c r="A74" s="10">
        <v>13</v>
      </c>
      <c r="B74" s="1832"/>
      <c r="D74" s="2" t="str">
        <f t="shared" si="0"/>
        <v>OK</v>
      </c>
      <c r="G74" s="1895">
        <v>102570300</v>
      </c>
    </row>
    <row r="75" spans="1:7" ht="15" x14ac:dyDescent="0.25">
      <c r="A75" s="10">
        <v>14</v>
      </c>
      <c r="B75" s="1832"/>
      <c r="D75" s="2" t="str">
        <f t="shared" si="0"/>
        <v>OK</v>
      </c>
      <c r="G75" s="1895">
        <v>102570400</v>
      </c>
    </row>
    <row r="76" spans="1:7" ht="15" x14ac:dyDescent="0.25">
      <c r="A76" s="5">
        <v>15</v>
      </c>
      <c r="B76" s="1832">
        <f>'Assets-Liab 5-6'!C12</f>
        <v>0</v>
      </c>
      <c r="D76" s="2" t="str">
        <f t="shared" si="0"/>
        <v>Error?</v>
      </c>
      <c r="G76" s="1895">
        <v>102570600</v>
      </c>
    </row>
    <row r="77" spans="1:7" ht="15" x14ac:dyDescent="0.25">
      <c r="A77" s="5">
        <v>16</v>
      </c>
      <c r="B77" s="1832">
        <f>'Assets-Liab 5-6'!C13</f>
        <v>2686494</v>
      </c>
      <c r="C77" s="2" t="s">
        <v>569</v>
      </c>
      <c r="D77" s="2" t="str">
        <f t="shared" si="0"/>
        <v>Error?</v>
      </c>
      <c r="G77" s="1895">
        <v>102570800</v>
      </c>
    </row>
    <row r="78" spans="1:7" ht="15" x14ac:dyDescent="0.25">
      <c r="A78" s="10">
        <v>17</v>
      </c>
      <c r="B78" s="1832"/>
      <c r="D78" s="2" t="str">
        <f t="shared" si="0"/>
        <v>OK</v>
      </c>
      <c r="G78" s="1895">
        <v>102610300</v>
      </c>
    </row>
    <row r="79" spans="1:7" ht="15" x14ac:dyDescent="0.25">
      <c r="A79" s="10">
        <v>18</v>
      </c>
      <c r="B79" s="1832"/>
      <c r="D79" s="2" t="str">
        <f t="shared" si="0"/>
        <v>OK</v>
      </c>
      <c r="G79" s="1895">
        <v>102610400</v>
      </c>
    </row>
    <row r="80" spans="1:7" ht="15" x14ac:dyDescent="0.25">
      <c r="A80" s="10">
        <v>19</v>
      </c>
      <c r="B80" s="1832"/>
      <c r="D80" s="2" t="str">
        <f t="shared" si="0"/>
        <v>OK</v>
      </c>
      <c r="G80" s="1895">
        <v>102610600</v>
      </c>
    </row>
    <row r="81" spans="1:7" ht="15" x14ac:dyDescent="0.25">
      <c r="A81" s="10">
        <v>20</v>
      </c>
      <c r="B81" s="1832"/>
      <c r="D81" s="2" t="str">
        <f t="shared" si="0"/>
        <v>OK</v>
      </c>
      <c r="G81" s="1895">
        <v>102610800</v>
      </c>
    </row>
    <row r="82" spans="1:7" ht="15" x14ac:dyDescent="0.25">
      <c r="A82" s="10">
        <v>21</v>
      </c>
      <c r="B82" s="1832"/>
      <c r="D82" s="2" t="str">
        <f t="shared" si="0"/>
        <v>OK</v>
      </c>
      <c r="G82" s="1895">
        <v>102620300</v>
      </c>
    </row>
    <row r="83" spans="1:7" ht="15" x14ac:dyDescent="0.25">
      <c r="A83" s="10">
        <v>22</v>
      </c>
      <c r="B83" s="1832"/>
      <c r="D83" s="2" t="str">
        <f t="shared" si="0"/>
        <v>OK</v>
      </c>
      <c r="G83" s="1895">
        <v>102620400</v>
      </c>
    </row>
    <row r="84" spans="1:7" ht="15" x14ac:dyDescent="0.25">
      <c r="A84" s="10">
        <v>23</v>
      </c>
      <c r="B84" s="1832"/>
      <c r="D84" s="2" t="str">
        <f t="shared" si="0"/>
        <v>OK</v>
      </c>
      <c r="G84" s="1895">
        <v>102620600</v>
      </c>
    </row>
    <row r="85" spans="1:7" ht="15" x14ac:dyDescent="0.25">
      <c r="A85" s="10">
        <v>24</v>
      </c>
      <c r="B85" s="1832"/>
      <c r="D85" s="2" t="str">
        <f t="shared" si="0"/>
        <v>OK</v>
      </c>
      <c r="G85" s="1895">
        <v>102620800</v>
      </c>
    </row>
    <row r="86" spans="1:7" ht="15" x14ac:dyDescent="0.25">
      <c r="A86" s="12">
        <v>25</v>
      </c>
      <c r="B86" s="1832">
        <f>'Assets-Liab 5-6'!C31</f>
        <v>0</v>
      </c>
      <c r="D86" s="2" t="str">
        <f t="shared" si="0"/>
        <v>Error?</v>
      </c>
      <c r="G86" s="1895">
        <v>102630300</v>
      </c>
    </row>
    <row r="87" spans="1:7" ht="15" x14ac:dyDescent="0.25">
      <c r="A87" s="10">
        <v>26</v>
      </c>
      <c r="B87" s="1832"/>
      <c r="D87" s="2" t="str">
        <f t="shared" si="0"/>
        <v>OK</v>
      </c>
      <c r="G87" s="1895">
        <v>102630400</v>
      </c>
    </row>
    <row r="88" spans="1:7" ht="15" x14ac:dyDescent="0.25">
      <c r="A88" s="5">
        <v>27</v>
      </c>
      <c r="B88" s="1832">
        <f>'Assets-Liab 5-6'!C32</f>
        <v>0</v>
      </c>
      <c r="D88" s="2" t="str">
        <f t="shared" si="0"/>
        <v>Error?</v>
      </c>
      <c r="G88" s="1895">
        <v>102630600</v>
      </c>
    </row>
    <row r="89" spans="1:7" ht="15" x14ac:dyDescent="0.25">
      <c r="A89" s="10">
        <v>28</v>
      </c>
      <c r="B89" s="1832"/>
      <c r="D89" s="2" t="str">
        <f t="shared" si="0"/>
        <v>OK</v>
      </c>
      <c r="G89" s="1895">
        <v>102630800</v>
      </c>
    </row>
    <row r="90" spans="1:7" ht="15" x14ac:dyDescent="0.25">
      <c r="A90" s="10">
        <v>29</v>
      </c>
      <c r="B90" s="1832"/>
      <c r="D90" s="2" t="str">
        <f t="shared" si="0"/>
        <v>OK</v>
      </c>
      <c r="G90" s="1895">
        <v>102640300</v>
      </c>
    </row>
    <row r="91" spans="1:7" ht="15" x14ac:dyDescent="0.25">
      <c r="A91" s="5">
        <v>30</v>
      </c>
      <c r="B91" s="1832">
        <f>'Assets-Liab 5-6'!C34</f>
        <v>0</v>
      </c>
      <c r="C91" s="2" t="s">
        <v>569</v>
      </c>
      <c r="D91" s="2" t="str">
        <f t="shared" si="0"/>
        <v>Error?</v>
      </c>
      <c r="G91" s="1895">
        <v>102640400</v>
      </c>
    </row>
    <row r="92" spans="1:7" ht="15" x14ac:dyDescent="0.25">
      <c r="A92" s="5">
        <v>31</v>
      </c>
      <c r="B92" s="1832">
        <f>'Assets-Liab 5-6'!C39</f>
        <v>2686494</v>
      </c>
      <c r="D92" s="2" t="str">
        <f t="shared" si="0"/>
        <v>Error?</v>
      </c>
      <c r="G92" s="1895">
        <v>102640600</v>
      </c>
    </row>
    <row r="93" spans="1:7" ht="15" x14ac:dyDescent="0.25">
      <c r="A93" s="5">
        <v>32</v>
      </c>
      <c r="B93" s="1832">
        <f>'Assets-Liab 5-6'!C41</f>
        <v>2686494</v>
      </c>
      <c r="C93" s="2" t="s">
        <v>569</v>
      </c>
      <c r="D93" s="2" t="str">
        <f t="shared" si="0"/>
        <v>Error?</v>
      </c>
      <c r="G93" s="1895">
        <v>102640800</v>
      </c>
    </row>
    <row r="94" spans="1:7" ht="15" x14ac:dyDescent="0.25">
      <c r="A94" s="10">
        <v>33</v>
      </c>
      <c r="B94" s="1832"/>
      <c r="D94" s="2" t="str">
        <f t="shared" si="0"/>
        <v>OK</v>
      </c>
      <c r="G94" s="1895">
        <v>102660300</v>
      </c>
    </row>
    <row r="95" spans="1:7" ht="15" x14ac:dyDescent="0.25">
      <c r="A95" s="10">
        <v>34</v>
      </c>
      <c r="B95" s="1832"/>
      <c r="D95" s="2" t="str">
        <f t="shared" si="0"/>
        <v>OK</v>
      </c>
      <c r="G95" s="1895">
        <v>102660400</v>
      </c>
    </row>
    <row r="96" spans="1:7" ht="15" x14ac:dyDescent="0.25">
      <c r="A96" s="10">
        <v>35</v>
      </c>
      <c r="B96" s="1832"/>
      <c r="D96" s="2" t="str">
        <f t="shared" si="0"/>
        <v>OK</v>
      </c>
      <c r="G96" s="1895">
        <v>102660600</v>
      </c>
    </row>
    <row r="97" spans="1:7" ht="15" x14ac:dyDescent="0.25">
      <c r="A97" s="5">
        <v>36</v>
      </c>
      <c r="B97" s="1832">
        <f>'Assets-Liab 5-6'!D6</f>
        <v>0</v>
      </c>
      <c r="D97" s="2" t="str">
        <f t="shared" si="0"/>
        <v>Error?</v>
      </c>
      <c r="G97" s="1895">
        <v>102660800</v>
      </c>
    </row>
    <row r="98" spans="1:7" ht="15" x14ac:dyDescent="0.25">
      <c r="A98" s="10">
        <v>37</v>
      </c>
      <c r="B98" s="1832"/>
      <c r="D98" s="2" t="str">
        <f t="shared" si="0"/>
        <v>OK</v>
      </c>
      <c r="G98" s="1895">
        <v>102900300</v>
      </c>
    </row>
    <row r="99" spans="1:7" ht="15" x14ac:dyDescent="0.25">
      <c r="A99" s="10">
        <v>38</v>
      </c>
      <c r="B99" s="1832"/>
      <c r="D99" s="2" t="str">
        <f t="shared" si="0"/>
        <v>OK</v>
      </c>
      <c r="G99" s="1895">
        <v>102900400</v>
      </c>
    </row>
    <row r="100" spans="1:7" ht="15" x14ac:dyDescent="0.25">
      <c r="A100" s="10">
        <v>39</v>
      </c>
      <c r="B100" s="1832"/>
      <c r="D100" s="2" t="str">
        <f t="shared" si="0"/>
        <v>OK</v>
      </c>
      <c r="G100" s="1895">
        <v>102900600</v>
      </c>
    </row>
    <row r="101" spans="1:7" ht="15" x14ac:dyDescent="0.25">
      <c r="A101" s="10">
        <v>40</v>
      </c>
      <c r="B101" s="1832"/>
      <c r="D101" s="2" t="str">
        <f t="shared" si="0"/>
        <v>OK</v>
      </c>
      <c r="G101" s="1895">
        <v>102900800</v>
      </c>
    </row>
    <row r="102" spans="1:7" ht="15" x14ac:dyDescent="0.25">
      <c r="A102" s="10">
        <v>41</v>
      </c>
      <c r="B102" s="1832"/>
      <c r="D102" s="2" t="str">
        <f t="shared" si="0"/>
        <v>OK</v>
      </c>
      <c r="G102" s="1895">
        <v>202900300</v>
      </c>
    </row>
    <row r="103" spans="1:7" ht="15" x14ac:dyDescent="0.25">
      <c r="A103" s="10">
        <v>42</v>
      </c>
      <c r="B103" s="1832"/>
      <c r="D103" s="2" t="str">
        <f t="shared" si="0"/>
        <v>OK</v>
      </c>
      <c r="G103" s="1895">
        <v>202900400</v>
      </c>
    </row>
    <row r="104" spans="1:7" ht="15" x14ac:dyDescent="0.25">
      <c r="A104" s="5">
        <v>43</v>
      </c>
      <c r="B104" s="1832">
        <f>'Assets-Liab 5-6'!D10</f>
        <v>0</v>
      </c>
      <c r="D104" s="2" t="str">
        <f t="shared" si="0"/>
        <v>Error?</v>
      </c>
      <c r="G104" s="1895">
        <v>202900600</v>
      </c>
    </row>
    <row r="105" spans="1:7" ht="15" x14ac:dyDescent="0.25">
      <c r="A105" s="5">
        <v>44</v>
      </c>
      <c r="B105" s="1832">
        <f>'Assets-Liab 5-6'!D5</f>
        <v>779278</v>
      </c>
      <c r="D105" s="2" t="str">
        <f t="shared" si="0"/>
        <v>Error?</v>
      </c>
      <c r="G105" s="1895">
        <v>202900800</v>
      </c>
    </row>
    <row r="106" spans="1:7" ht="15" x14ac:dyDescent="0.25">
      <c r="A106" s="10">
        <v>45</v>
      </c>
      <c r="B106" s="1832"/>
      <c r="D106" s="2" t="str">
        <f t="shared" si="0"/>
        <v>OK</v>
      </c>
      <c r="G106" s="1895">
        <v>402900300</v>
      </c>
    </row>
    <row r="107" spans="1:7" ht="15" x14ac:dyDescent="0.25">
      <c r="A107" s="10">
        <v>46</v>
      </c>
      <c r="B107" s="1832"/>
      <c r="D107" s="2" t="str">
        <f t="shared" si="0"/>
        <v>OK</v>
      </c>
      <c r="G107" s="1895">
        <v>402900400</v>
      </c>
    </row>
    <row r="108" spans="1:7" ht="15" x14ac:dyDescent="0.25">
      <c r="A108" s="5">
        <v>47</v>
      </c>
      <c r="B108" s="1832">
        <f>'Assets-Liab 5-6'!D12</f>
        <v>0</v>
      </c>
      <c r="D108" s="2" t="str">
        <f t="shared" si="0"/>
        <v>Error?</v>
      </c>
      <c r="G108" s="1895">
        <v>402900600</v>
      </c>
    </row>
    <row r="109" spans="1:7" ht="15" x14ac:dyDescent="0.25">
      <c r="A109" s="5">
        <v>48</v>
      </c>
      <c r="B109" s="1832">
        <f>'Assets-Liab 5-6'!D13</f>
        <v>1067218</v>
      </c>
      <c r="C109" s="2" t="s">
        <v>569</v>
      </c>
      <c r="D109" s="2" t="str">
        <f t="shared" si="0"/>
        <v>Error?</v>
      </c>
      <c r="G109" s="1895">
        <v>402900800</v>
      </c>
    </row>
    <row r="110" spans="1:7" ht="15" x14ac:dyDescent="0.25">
      <c r="A110" s="10">
        <v>49</v>
      </c>
      <c r="B110" s="1832"/>
      <c r="D110" s="2" t="str">
        <f t="shared" si="0"/>
        <v>OK</v>
      </c>
      <c r="G110" s="1895">
        <v>602900300</v>
      </c>
    </row>
    <row r="111" spans="1:7" ht="15" x14ac:dyDescent="0.25">
      <c r="A111" s="10">
        <v>50</v>
      </c>
      <c r="B111" s="1832"/>
      <c r="D111" s="2" t="str">
        <f t="shared" si="0"/>
        <v>OK</v>
      </c>
      <c r="G111" s="1895">
        <v>602900400</v>
      </c>
    </row>
    <row r="112" spans="1:7" ht="15" x14ac:dyDescent="0.25">
      <c r="A112" s="10">
        <v>51</v>
      </c>
      <c r="B112" s="1832"/>
      <c r="D112" s="2" t="str">
        <f t="shared" si="0"/>
        <v>OK</v>
      </c>
      <c r="G112" s="1895">
        <v>602900600</v>
      </c>
    </row>
    <row r="113" spans="1:7" ht="15" x14ac:dyDescent="0.25">
      <c r="A113" s="10">
        <v>52</v>
      </c>
      <c r="B113" s="1832"/>
      <c r="D113" s="2" t="str">
        <f t="shared" si="0"/>
        <v>OK</v>
      </c>
      <c r="G113" s="1895">
        <v>602900800</v>
      </c>
    </row>
    <row r="114" spans="1:7" ht="15" x14ac:dyDescent="0.25">
      <c r="A114" s="10">
        <v>53</v>
      </c>
      <c r="B114" s="1832"/>
      <c r="D114" s="2" t="str">
        <f t="shared" si="0"/>
        <v>OK</v>
      </c>
      <c r="G114" s="1895">
        <v>902900300</v>
      </c>
    </row>
    <row r="115" spans="1:7" ht="15" x14ac:dyDescent="0.25">
      <c r="A115" s="10">
        <v>54</v>
      </c>
      <c r="B115" s="1832"/>
      <c r="D115" s="2" t="str">
        <f t="shared" si="0"/>
        <v>OK</v>
      </c>
      <c r="G115" s="1895">
        <v>902900400</v>
      </c>
    </row>
    <row r="116" spans="1:7" ht="15" x14ac:dyDescent="0.25">
      <c r="A116" s="10">
        <v>55</v>
      </c>
      <c r="B116" s="1832"/>
      <c r="D116" s="2" t="str">
        <f t="shared" si="0"/>
        <v>OK</v>
      </c>
      <c r="G116" s="1895">
        <v>902900600</v>
      </c>
    </row>
    <row r="117" spans="1:7" ht="15" x14ac:dyDescent="0.25">
      <c r="A117" s="5">
        <v>56</v>
      </c>
      <c r="B117" s="1832">
        <f>'Assets-Liab 5-6'!D31</f>
        <v>0</v>
      </c>
      <c r="D117" s="2" t="str">
        <f t="shared" si="0"/>
        <v>Error?</v>
      </c>
      <c r="G117" s="1895">
        <v>902900800</v>
      </c>
    </row>
    <row r="118" spans="1:7" ht="15" x14ac:dyDescent="0.25">
      <c r="A118" s="10">
        <v>57</v>
      </c>
      <c r="B118" s="1832"/>
      <c r="D118" s="2" t="str">
        <f t="shared" si="0"/>
        <v>OK</v>
      </c>
      <c r="G118" s="1895">
        <v>103000300</v>
      </c>
    </row>
    <row r="119" spans="1:7" ht="15" x14ac:dyDescent="0.25">
      <c r="A119" s="5">
        <v>58</v>
      </c>
      <c r="B119" s="1832">
        <f>'Assets-Liab 5-6'!D32</f>
        <v>0</v>
      </c>
      <c r="D119" s="2" t="str">
        <f t="shared" si="0"/>
        <v>Error?</v>
      </c>
      <c r="G119" s="1895">
        <v>103000400</v>
      </c>
    </row>
    <row r="120" spans="1:7" ht="15" x14ac:dyDescent="0.25">
      <c r="A120" s="10">
        <v>59</v>
      </c>
      <c r="B120" s="1832"/>
      <c r="D120" s="2" t="str">
        <f t="shared" si="0"/>
        <v>OK</v>
      </c>
      <c r="G120" s="1895">
        <v>103000600</v>
      </c>
    </row>
    <row r="121" spans="1:7" ht="15" x14ac:dyDescent="0.25">
      <c r="A121" s="10">
        <v>60</v>
      </c>
      <c r="B121" s="1832"/>
      <c r="D121" s="2" t="str">
        <f t="shared" si="0"/>
        <v>OK</v>
      </c>
      <c r="G121" s="1895">
        <v>103000800</v>
      </c>
    </row>
    <row r="122" spans="1:7" ht="15" x14ac:dyDescent="0.25">
      <c r="A122" s="5">
        <v>61</v>
      </c>
      <c r="B122" s="1832">
        <f>'Assets-Liab 5-6'!D34</f>
        <v>0</v>
      </c>
      <c r="C122" s="2" t="s">
        <v>569</v>
      </c>
      <c r="D122" s="2" t="str">
        <f t="shared" si="0"/>
        <v>Error?</v>
      </c>
      <c r="G122" s="1895">
        <v>203000300</v>
      </c>
    </row>
    <row r="123" spans="1:7" ht="15" x14ac:dyDescent="0.25">
      <c r="A123" s="5">
        <v>62</v>
      </c>
      <c r="B123" s="1832">
        <f>'Assets-Liab 5-6'!D39</f>
        <v>1017218</v>
      </c>
      <c r="D123" s="2" t="str">
        <f t="shared" si="0"/>
        <v>Error?</v>
      </c>
      <c r="G123" s="1895">
        <v>203000400</v>
      </c>
    </row>
    <row r="124" spans="1:7" ht="15" x14ac:dyDescent="0.25">
      <c r="A124" s="5">
        <v>63</v>
      </c>
      <c r="B124" s="1832">
        <f>'Assets-Liab 5-6'!D41</f>
        <v>1067218</v>
      </c>
      <c r="C124" s="2" t="s">
        <v>569</v>
      </c>
      <c r="D124" s="2" t="str">
        <f t="shared" si="0"/>
        <v>Error?</v>
      </c>
      <c r="G124" s="1895">
        <v>203000600</v>
      </c>
    </row>
    <row r="125" spans="1:7" ht="15" x14ac:dyDescent="0.25">
      <c r="A125" s="10">
        <v>64</v>
      </c>
      <c r="B125" s="1832"/>
      <c r="D125" s="2" t="str">
        <f t="shared" si="0"/>
        <v>OK</v>
      </c>
      <c r="G125" s="1895">
        <v>203000800</v>
      </c>
    </row>
    <row r="126" spans="1:7" ht="15" x14ac:dyDescent="0.25">
      <c r="A126" s="5">
        <v>65</v>
      </c>
      <c r="B126" s="1832">
        <f>'Assets-Liab 5-6'!E6</f>
        <v>0</v>
      </c>
      <c r="D126" s="2" t="str">
        <f t="shared" si="0"/>
        <v>Error?</v>
      </c>
      <c r="G126" s="1895">
        <v>403000300</v>
      </c>
    </row>
    <row r="127" spans="1:7" ht="15" x14ac:dyDescent="0.25">
      <c r="A127" s="10">
        <v>66</v>
      </c>
      <c r="B127" s="1832"/>
      <c r="D127" s="2" t="str">
        <f t="shared" ref="D127:D190" si="1">IF(ISBLANK(B127),"OK",IF(A127-B127=0,"OK","Error?"))</f>
        <v>OK</v>
      </c>
      <c r="G127" s="1895">
        <v>403000400</v>
      </c>
    </row>
    <row r="128" spans="1:7" ht="15" x14ac:dyDescent="0.25">
      <c r="A128" s="10">
        <v>67</v>
      </c>
      <c r="B128" s="1832"/>
      <c r="D128" s="2" t="str">
        <f t="shared" si="1"/>
        <v>OK</v>
      </c>
      <c r="G128" s="1895">
        <v>403000600</v>
      </c>
    </row>
    <row r="129" spans="1:7" ht="15" x14ac:dyDescent="0.25">
      <c r="A129" s="5">
        <v>68</v>
      </c>
      <c r="B129" s="1832">
        <f>'Assets-Liab 5-6'!E5</f>
        <v>42459</v>
      </c>
      <c r="D129" s="2" t="str">
        <f t="shared" si="1"/>
        <v>Error?</v>
      </c>
      <c r="G129" s="1895">
        <v>403000800</v>
      </c>
    </row>
    <row r="130" spans="1:7" x14ac:dyDescent="0.2">
      <c r="A130" s="5">
        <v>69</v>
      </c>
      <c r="B130" s="1832">
        <f>'Assets-Liab 5-6'!E12</f>
        <v>0</v>
      </c>
      <c r="D130" s="2" t="str">
        <f t="shared" si="1"/>
        <v>Error?</v>
      </c>
    </row>
    <row r="131" spans="1:7" x14ac:dyDescent="0.2">
      <c r="A131" s="5">
        <v>70</v>
      </c>
      <c r="B131" s="1832">
        <f>'Assets-Liab 5-6'!E13</f>
        <v>45690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45690</v>
      </c>
      <c r="D140" s="2" t="str">
        <f t="shared" si="1"/>
        <v>Error?</v>
      </c>
    </row>
    <row r="141" spans="1:7" x14ac:dyDescent="0.2">
      <c r="A141" s="5">
        <v>80</v>
      </c>
      <c r="B141" s="1832">
        <f>'Assets-Liab 5-6'!E41</f>
        <v>45690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431510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593011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593011</v>
      </c>
      <c r="D170" s="2" t="str">
        <f t="shared" si="1"/>
        <v>Error?</v>
      </c>
    </row>
    <row r="171" spans="1:4" x14ac:dyDescent="0.2">
      <c r="A171" s="5">
        <v>110</v>
      </c>
      <c r="B171" s="1832">
        <f>'Assets-Liab 5-6'!F41</f>
        <v>593011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182756</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235663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190557</v>
      </c>
      <c r="D189" s="2" t="str">
        <f t="shared" si="1"/>
        <v>Error?</v>
      </c>
    </row>
    <row r="190" spans="1:4" x14ac:dyDescent="0.2">
      <c r="A190" s="5">
        <v>129</v>
      </c>
      <c r="B190" s="1832">
        <f>'Assets-Liab 5-6'!G41</f>
        <v>235663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8003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8003</v>
      </c>
      <c r="D212" s="2" t="str">
        <f t="shared" si="2"/>
        <v>Error?</v>
      </c>
    </row>
    <row r="213" spans="1:4" x14ac:dyDescent="0.2">
      <c r="A213" s="12">
        <v>152</v>
      </c>
      <c r="B213" s="1832">
        <f>'Assets-Liab 5-6'!H41</f>
        <v>8003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676588</v>
      </c>
      <c r="D273" s="2" t="str">
        <f t="shared" si="3"/>
        <v>Error?</v>
      </c>
    </row>
    <row r="274" spans="1:4" x14ac:dyDescent="0.2">
      <c r="A274" s="5">
        <v>213</v>
      </c>
      <c r="B274" s="1832">
        <f>'Assets-Liab 5-6'!M17</f>
        <v>14968781</v>
      </c>
      <c r="D274" s="2" t="str">
        <f t="shared" si="3"/>
        <v>Error?</v>
      </c>
    </row>
    <row r="275" spans="1:4" x14ac:dyDescent="0.2">
      <c r="A275" s="5">
        <v>214</v>
      </c>
      <c r="B275" s="1832">
        <f>'Assets-Liab 5-6'!M18</f>
        <v>233017</v>
      </c>
      <c r="D275" s="2" t="str">
        <f t="shared" si="3"/>
        <v>Error?</v>
      </c>
    </row>
    <row r="276" spans="1:4" x14ac:dyDescent="0.2">
      <c r="A276" s="5">
        <v>215</v>
      </c>
      <c r="B276" s="1832">
        <f>'Assets-Liab 5-6'!M19</f>
        <v>1285168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17163554</v>
      </c>
      <c r="C279" s="2" t="s">
        <v>569</v>
      </c>
      <c r="D279" s="2" t="str">
        <f t="shared" si="3"/>
        <v>Error?</v>
      </c>
    </row>
    <row r="280" spans="1:4" x14ac:dyDescent="0.2">
      <c r="A280" s="5">
        <v>219</v>
      </c>
      <c r="B280" s="1832">
        <f>'Assets-Liab 5-6'!M40</f>
        <v>17163554</v>
      </c>
      <c r="D280" s="2" t="str">
        <f t="shared" si="3"/>
        <v>Error?</v>
      </c>
    </row>
    <row r="281" spans="1:4" x14ac:dyDescent="0.2">
      <c r="A281" s="5">
        <v>220</v>
      </c>
      <c r="B281" s="1832">
        <f>'Assets-Liab 5-6'!M41</f>
        <v>17163554</v>
      </c>
      <c r="C281" s="2" t="s">
        <v>569</v>
      </c>
      <c r="D281" s="2" t="str">
        <f t="shared" si="3"/>
        <v>Error?</v>
      </c>
    </row>
    <row r="282" spans="1:4" x14ac:dyDescent="0.2">
      <c r="A282" s="5">
        <v>221</v>
      </c>
      <c r="B282" s="1832">
        <f>'Assets-Liab 5-6'!N21</f>
        <v>45690</v>
      </c>
      <c r="D282" s="2" t="str">
        <f t="shared" si="3"/>
        <v>Error?</v>
      </c>
    </row>
    <row r="283" spans="1:4" x14ac:dyDescent="0.2">
      <c r="A283" s="5">
        <v>222</v>
      </c>
      <c r="B283" s="1832">
        <f>'Assets-Liab 5-6'!N22</f>
        <v>2919310</v>
      </c>
      <c r="D283" s="2" t="str">
        <f t="shared" si="3"/>
        <v>Error?</v>
      </c>
    </row>
    <row r="284" spans="1:4" x14ac:dyDescent="0.2">
      <c r="A284" s="5">
        <v>223</v>
      </c>
      <c r="B284" s="1832">
        <f>'Assets-Liab 5-6'!N23</f>
        <v>2965000</v>
      </c>
      <c r="C284" s="2" t="s">
        <v>569</v>
      </c>
      <c r="D284" s="2" t="str">
        <f t="shared" si="3"/>
        <v>Error?</v>
      </c>
    </row>
    <row r="285" spans="1:4" x14ac:dyDescent="0.2">
      <c r="A285" s="5">
        <v>224</v>
      </c>
      <c r="B285" s="1832">
        <f>'Assets-Liab 5-6'!N36</f>
        <v>2965000</v>
      </c>
      <c r="D285" s="2" t="str">
        <f t="shared" si="3"/>
        <v>Error?</v>
      </c>
    </row>
    <row r="286" spans="1:4" x14ac:dyDescent="0.2">
      <c r="A286" s="10">
        <v>225</v>
      </c>
      <c r="B286" s="1832"/>
      <c r="D286" s="2" t="str">
        <f t="shared" si="3"/>
        <v>OK</v>
      </c>
    </row>
    <row r="287" spans="1:4" x14ac:dyDescent="0.2">
      <c r="A287" s="5">
        <v>226</v>
      </c>
      <c r="B287" s="1832">
        <f>'Assets-Liab 5-6'!N37</f>
        <v>2965000</v>
      </c>
      <c r="C287" s="2" t="s">
        <v>569</v>
      </c>
      <c r="D287" s="2" t="str">
        <f t="shared" si="3"/>
        <v>Error?</v>
      </c>
    </row>
    <row r="288" spans="1:4" x14ac:dyDescent="0.2">
      <c r="A288" s="5">
        <v>227</v>
      </c>
      <c r="B288" s="1832">
        <f>'Assets-Liab 5-6'!N41</f>
        <v>2965000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2231396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62166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3099065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52101</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71714</v>
      </c>
      <c r="D725" s="2" t="str">
        <f t="shared" si="10"/>
        <v>Error?</v>
      </c>
    </row>
    <row r="726" spans="1:4" x14ac:dyDescent="0.2">
      <c r="A726" s="5">
        <v>665</v>
      </c>
      <c r="B726" s="1832">
        <f>'Expenditures 15-22'!C41</f>
        <v>28451</v>
      </c>
      <c r="D726" s="2" t="str">
        <f t="shared" si="10"/>
        <v>Error?</v>
      </c>
    </row>
    <row r="727" spans="1:4" x14ac:dyDescent="0.2">
      <c r="A727" s="5">
        <v>666</v>
      </c>
      <c r="B727" s="1832">
        <f>'Expenditures 15-22'!C42</f>
        <v>152266</v>
      </c>
      <c r="C727" s="2" t="s">
        <v>569</v>
      </c>
      <c r="D727" s="2" t="str">
        <f t="shared" si="10"/>
        <v>Error?</v>
      </c>
    </row>
    <row r="728" spans="1:4" x14ac:dyDescent="0.2">
      <c r="A728" s="5">
        <v>667</v>
      </c>
      <c r="B728" s="1832">
        <f>'Expenditures 15-22'!C44</f>
        <v>89484</v>
      </c>
      <c r="D728" s="2" t="str">
        <f t="shared" si="10"/>
        <v>Error?</v>
      </c>
    </row>
    <row r="729" spans="1:4" x14ac:dyDescent="0.2">
      <c r="A729" s="5">
        <v>668</v>
      </c>
      <c r="B729" s="1832">
        <f>'Expenditures 15-22'!C45</f>
        <v>39208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128692</v>
      </c>
      <c r="C731" s="2" t="s">
        <v>569</v>
      </c>
      <c r="D731" s="2" t="str">
        <f t="shared" si="10"/>
        <v>Error?</v>
      </c>
    </row>
    <row r="732" spans="1:4" x14ac:dyDescent="0.2">
      <c r="A732" s="5">
        <v>671</v>
      </c>
      <c r="B732" s="1832">
        <f>'Expenditures 15-22'!C49</f>
        <v>8158</v>
      </c>
      <c r="D732" s="2" t="str">
        <f t="shared" si="10"/>
        <v>Error?</v>
      </c>
    </row>
    <row r="733" spans="1:4" x14ac:dyDescent="0.2">
      <c r="A733" s="5">
        <v>672</v>
      </c>
      <c r="B733" s="1832">
        <f>'Expenditures 15-22'!C50</f>
        <v>166436</v>
      </c>
      <c r="D733" s="2" t="str">
        <f t="shared" si="10"/>
        <v>Error?</v>
      </c>
    </row>
    <row r="734" spans="1:4" x14ac:dyDescent="0.2">
      <c r="A734" s="5">
        <v>673</v>
      </c>
      <c r="B734" s="1832">
        <f>'Expenditures 15-22'!C53</f>
        <v>174594</v>
      </c>
      <c r="C734" s="2" t="s">
        <v>569</v>
      </c>
      <c r="D734" s="2" t="str">
        <f t="shared" si="10"/>
        <v>Error?</v>
      </c>
    </row>
    <row r="735" spans="1:4" x14ac:dyDescent="0.2">
      <c r="A735" s="5">
        <v>674</v>
      </c>
      <c r="B735" s="1832">
        <f>'Expenditures 15-22'!C55</f>
        <v>295401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295401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46371</v>
      </c>
      <c r="D739" s="2" t="str">
        <f t="shared" si="10"/>
        <v>Error?</v>
      </c>
    </row>
    <row r="740" spans="1:4" x14ac:dyDescent="0.2">
      <c r="A740" s="5">
        <v>679</v>
      </c>
      <c r="B740" s="1832">
        <f>'Expenditures 15-22'!C61</f>
        <v>155245</v>
      </c>
      <c r="D740" s="2" t="str">
        <f t="shared" si="10"/>
        <v>Error?</v>
      </c>
    </row>
    <row r="741" spans="1:4" x14ac:dyDescent="0.2">
      <c r="A741" s="5">
        <v>680</v>
      </c>
      <c r="B741" s="1832">
        <f>'Expenditures 15-22'!C62</f>
        <v>2106</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203722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954675</v>
      </c>
      <c r="C755" s="2" t="s">
        <v>569</v>
      </c>
      <c r="D755" s="2" t="str">
        <f t="shared" si="10"/>
        <v>Error?</v>
      </c>
    </row>
    <row r="756" spans="1:4" x14ac:dyDescent="0.2">
      <c r="A756" s="5">
        <v>695</v>
      </c>
      <c r="B756" s="1832">
        <f>'Expenditures 15-22'!C75</f>
        <v>73987</v>
      </c>
      <c r="D756" s="2" t="str">
        <f t="shared" si="10"/>
        <v>Error?</v>
      </c>
    </row>
    <row r="757" spans="1:4" x14ac:dyDescent="0.2">
      <c r="A757" s="5">
        <v>696</v>
      </c>
      <c r="B757" s="1832">
        <f>'Expenditures 15-22'!C114</f>
        <v>4127727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620040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7680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807393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3711</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9767</v>
      </c>
      <c r="D783" s="2" t="str">
        <f t="shared" si="11"/>
        <v>Error?</v>
      </c>
    </row>
    <row r="784" spans="1:4" x14ac:dyDescent="0.2">
      <c r="A784" s="5">
        <v>723</v>
      </c>
      <c r="B784" s="1832">
        <f>'Expenditures 15-22'!D41</f>
        <v>593</v>
      </c>
      <c r="D784" s="2" t="str">
        <f t="shared" si="11"/>
        <v>Error?</v>
      </c>
    </row>
    <row r="785" spans="1:4" x14ac:dyDescent="0.2">
      <c r="A785" s="5">
        <v>724</v>
      </c>
      <c r="B785" s="1832">
        <f>'Expenditures 15-22'!D42</f>
        <v>14071</v>
      </c>
      <c r="C785" s="2" t="s">
        <v>569</v>
      </c>
      <c r="D785" s="2" t="str">
        <f t="shared" si="11"/>
        <v>Error?</v>
      </c>
    </row>
    <row r="786" spans="1:4" x14ac:dyDescent="0.2">
      <c r="A786" s="5">
        <v>725</v>
      </c>
      <c r="B786" s="1832">
        <f>'Expenditures 15-22'!D44</f>
        <v>23710</v>
      </c>
      <c r="D786" s="2" t="str">
        <f t="shared" si="11"/>
        <v>Error?</v>
      </c>
    </row>
    <row r="787" spans="1:4" x14ac:dyDescent="0.2">
      <c r="A787" s="5">
        <v>726</v>
      </c>
      <c r="B787" s="1832">
        <f>'Expenditures 15-22'!D45</f>
        <v>2661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26371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50357</v>
      </c>
      <c r="D791" s="2" t="str">
        <f t="shared" si="11"/>
        <v>Error?</v>
      </c>
    </row>
    <row r="792" spans="1:4" x14ac:dyDescent="0.2">
      <c r="A792" s="5">
        <v>731</v>
      </c>
      <c r="B792" s="1832">
        <f>'Expenditures 15-22'!D53</f>
        <v>50357</v>
      </c>
      <c r="C792" s="2" t="s">
        <v>569</v>
      </c>
      <c r="D792" s="2" t="str">
        <f t="shared" si="11"/>
        <v>Error?</v>
      </c>
    </row>
    <row r="793" spans="1:4" x14ac:dyDescent="0.2">
      <c r="A793" s="5">
        <v>732</v>
      </c>
      <c r="B793" s="1832">
        <f>'Expenditures 15-22'!D55</f>
        <v>88655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88655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197</v>
      </c>
      <c r="D797" s="2" t="str">
        <f t="shared" si="11"/>
        <v>Error?</v>
      </c>
    </row>
    <row r="798" spans="1:4" x14ac:dyDescent="0.2">
      <c r="A798" s="5">
        <v>737</v>
      </c>
      <c r="B798" s="1832">
        <f>'Expenditures 15-22'!D61</f>
        <v>14180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14377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193831</v>
      </c>
      <c r="C813" s="2" t="s">
        <v>569</v>
      </c>
      <c r="D813" s="2" t="str">
        <f t="shared" si="11"/>
        <v>Error?</v>
      </c>
    </row>
    <row r="814" spans="1:4" x14ac:dyDescent="0.2">
      <c r="A814" s="5">
        <v>753</v>
      </c>
      <c r="B814" s="1832">
        <f>'Expenditures 15-22'!D75</f>
        <v>9313</v>
      </c>
      <c r="D814" s="2" t="str">
        <f t="shared" si="11"/>
        <v>Error?</v>
      </c>
    </row>
    <row r="815" spans="1:4" x14ac:dyDescent="0.2">
      <c r="A815" s="5">
        <v>754</v>
      </c>
      <c r="B815" s="1832">
        <f>'Expenditures 15-22'!D114</f>
        <v>1010537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33566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12356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53155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25</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94415</v>
      </c>
      <c r="D842" s="2" t="str">
        <f t="shared" si="12"/>
        <v>Error?</v>
      </c>
    </row>
    <row r="843" spans="1:4" x14ac:dyDescent="0.2">
      <c r="A843" s="5">
        <v>782</v>
      </c>
      <c r="B843" s="1832">
        <f>'Expenditures 15-22'!E42</f>
        <v>94440</v>
      </c>
      <c r="C843" s="2" t="s">
        <v>569</v>
      </c>
      <c r="D843" s="2" t="str">
        <f t="shared" si="12"/>
        <v>Error?</v>
      </c>
    </row>
    <row r="844" spans="1:4" x14ac:dyDescent="0.2">
      <c r="A844" s="5">
        <v>783</v>
      </c>
      <c r="B844" s="1832">
        <f>'Expenditures 15-22'!E44</f>
        <v>37425</v>
      </c>
      <c r="D844" s="2" t="str">
        <f t="shared" si="12"/>
        <v>Error?</v>
      </c>
    </row>
    <row r="845" spans="1:4" x14ac:dyDescent="0.2">
      <c r="A845" s="5">
        <v>784</v>
      </c>
      <c r="B845" s="1832">
        <f>'Expenditures 15-22'!E45</f>
        <v>90010</v>
      </c>
      <c r="D845" s="2" t="str">
        <f t="shared" si="12"/>
        <v>Error?</v>
      </c>
    </row>
    <row r="846" spans="1:4" x14ac:dyDescent="0.2">
      <c r="A846" s="5">
        <v>785</v>
      </c>
      <c r="B846" s="1832">
        <f>'Expenditures 15-22'!E46</f>
        <v>38476</v>
      </c>
      <c r="D846" s="2" t="str">
        <f t="shared" si="12"/>
        <v>Error?</v>
      </c>
    </row>
    <row r="847" spans="1:4" x14ac:dyDescent="0.2">
      <c r="A847" s="5">
        <v>786</v>
      </c>
      <c r="B847" s="1832">
        <f>'Expenditures 15-22'!E47</f>
        <v>165911</v>
      </c>
      <c r="C847" s="2" t="s">
        <v>569</v>
      </c>
      <c r="D847" s="2" t="str">
        <f t="shared" si="12"/>
        <v>Error?</v>
      </c>
    </row>
    <row r="848" spans="1:4" x14ac:dyDescent="0.2">
      <c r="A848" s="5">
        <v>787</v>
      </c>
      <c r="B848" s="1832">
        <f>'Expenditures 15-22'!E49</f>
        <v>51988</v>
      </c>
      <c r="D848" s="2" t="str">
        <f t="shared" si="12"/>
        <v>Error?</v>
      </c>
    </row>
    <row r="849" spans="1:4" x14ac:dyDescent="0.2">
      <c r="A849" s="5">
        <v>788</v>
      </c>
      <c r="B849" s="1832">
        <f>'Expenditures 15-22'!E50</f>
        <v>4174</v>
      </c>
      <c r="D849" s="2" t="str">
        <f t="shared" si="12"/>
        <v>Error?</v>
      </c>
    </row>
    <row r="850" spans="1:4" x14ac:dyDescent="0.2">
      <c r="A850" s="5">
        <v>789</v>
      </c>
      <c r="B850" s="1832">
        <f>'Expenditures 15-22'!E53</f>
        <v>113853</v>
      </c>
      <c r="C850" s="2" t="s">
        <v>569</v>
      </c>
      <c r="D850" s="2" t="str">
        <f t="shared" si="12"/>
        <v>Error?</v>
      </c>
    </row>
    <row r="851" spans="1:4" x14ac:dyDescent="0.2">
      <c r="A851" s="5">
        <v>790</v>
      </c>
      <c r="B851" s="1832">
        <f>'Expenditures 15-22'!E55</f>
        <v>2178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2178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986</v>
      </c>
      <c r="D855" s="2" t="str">
        <f t="shared" si="12"/>
        <v>Error?</v>
      </c>
    </row>
    <row r="856" spans="1:4" x14ac:dyDescent="0.2">
      <c r="A856" s="5">
        <v>795</v>
      </c>
      <c r="B856" s="1832">
        <f>'Expenditures 15-22'!E61</f>
        <v>112</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166961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168059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544441</v>
      </c>
      <c r="C871" s="2" t="s">
        <v>569</v>
      </c>
      <c r="D871" s="2" t="str">
        <f t="shared" si="12"/>
        <v>Error?</v>
      </c>
    </row>
    <row r="872" spans="1:4" x14ac:dyDescent="0.2">
      <c r="A872" s="5">
        <v>811</v>
      </c>
      <c r="B872" s="1832">
        <f>'Expenditures 15-22'!E75</f>
        <v>1956</v>
      </c>
      <c r="D872" s="2" t="str">
        <f t="shared" si="12"/>
        <v>Error?</v>
      </c>
    </row>
    <row r="873" spans="1:4" x14ac:dyDescent="0.2">
      <c r="A873" s="5">
        <v>812</v>
      </c>
      <c r="B873" s="1832">
        <f>'Expenditures 15-22'!E114</f>
        <v>891603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80145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4076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106121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812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1767</v>
      </c>
      <c r="D900" s="2" t="str">
        <f t="shared" si="13"/>
        <v>Error?</v>
      </c>
    </row>
    <row r="901" spans="1:4" x14ac:dyDescent="0.2">
      <c r="A901" s="5">
        <v>840</v>
      </c>
      <c r="B901" s="1832">
        <f>'Expenditures 15-22'!F42</f>
        <v>2579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8377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8377</v>
      </c>
      <c r="C905" s="2" t="s">
        <v>569</v>
      </c>
      <c r="D905" s="2" t="str">
        <f t="shared" si="13"/>
        <v>Error?</v>
      </c>
    </row>
    <row r="906" spans="1:4" x14ac:dyDescent="0.2">
      <c r="A906" s="5">
        <v>845</v>
      </c>
      <c r="B906" s="1832">
        <f>'Expenditures 15-22'!F49</f>
        <v>13247</v>
      </c>
      <c r="D906" s="2" t="str">
        <f t="shared" si="13"/>
        <v>Error?</v>
      </c>
    </row>
    <row r="907" spans="1:4" x14ac:dyDescent="0.2">
      <c r="A907" s="5">
        <v>846</v>
      </c>
      <c r="B907" s="1832">
        <f>'Expenditures 15-22'!F50</f>
        <v>1794</v>
      </c>
      <c r="D907" s="2" t="str">
        <f t="shared" si="13"/>
        <v>Error?</v>
      </c>
    </row>
    <row r="908" spans="1:4" x14ac:dyDescent="0.2">
      <c r="A908" s="5">
        <v>847</v>
      </c>
      <c r="B908" s="1832">
        <f>'Expenditures 15-22'!F53</f>
        <v>15041</v>
      </c>
      <c r="C908" s="2" t="s">
        <v>569</v>
      </c>
      <c r="D908" s="2" t="str">
        <f t="shared" si="13"/>
        <v>Error?</v>
      </c>
    </row>
    <row r="909" spans="1:4" x14ac:dyDescent="0.2">
      <c r="A909" s="5">
        <v>848</v>
      </c>
      <c r="B909" s="1832">
        <f>'Expenditures 15-22'!F55</f>
        <v>1401</v>
      </c>
      <c r="D909" s="2" t="str">
        <f t="shared" si="13"/>
        <v>Error?</v>
      </c>
    </row>
    <row r="910" spans="1:4" x14ac:dyDescent="0.2">
      <c r="A910" s="5">
        <v>849</v>
      </c>
      <c r="B910" s="1832">
        <f>'Expenditures 15-22'!F56</f>
        <v>38</v>
      </c>
      <c r="D910" s="2" t="str">
        <f t="shared" si="13"/>
        <v>Error?</v>
      </c>
    </row>
    <row r="911" spans="1:4" x14ac:dyDescent="0.2">
      <c r="A911" s="5">
        <v>850</v>
      </c>
      <c r="B911" s="1832">
        <f>'Expenditures 15-22'!F57</f>
        <v>1439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162</v>
      </c>
      <c r="D913" s="2" t="str">
        <f t="shared" si="13"/>
        <v>Error?</v>
      </c>
    </row>
    <row r="914" spans="1:4" x14ac:dyDescent="0.2">
      <c r="A914" s="5">
        <v>853</v>
      </c>
      <c r="B914" s="1832">
        <f>'Expenditures 15-22'!F61</f>
        <v>121723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121885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149321</v>
      </c>
      <c r="C929" s="2" t="s">
        <v>569</v>
      </c>
      <c r="D929" s="2" t="str">
        <f t="shared" si="13"/>
        <v>Error?</v>
      </c>
    </row>
    <row r="930" spans="1:4" x14ac:dyDescent="0.2">
      <c r="A930" s="5">
        <v>869</v>
      </c>
      <c r="B930" s="1832">
        <f>'Expenditures 15-22'!F75</f>
        <v>4576</v>
      </c>
      <c r="D930" s="2" t="str">
        <f t="shared" si="13"/>
        <v>Error?</v>
      </c>
    </row>
    <row r="931" spans="1:4" x14ac:dyDescent="0.2">
      <c r="A931" s="5">
        <v>870</v>
      </c>
      <c r="B931" s="1832">
        <f>'Expenditures 15-22'!F114</f>
        <v>260018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81071</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81071</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81071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81071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586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98080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9310</v>
      </c>
      <c r="D1022" s="2" t="str">
        <f t="shared" si="14"/>
        <v>Error?</v>
      </c>
    </row>
    <row r="1023" spans="1:4" x14ac:dyDescent="0.2">
      <c r="A1023" s="5">
        <v>962</v>
      </c>
      <c r="B1023" s="1832">
        <f>'Expenditures 15-22'!H50</f>
        <v>1779</v>
      </c>
      <c r="D1023" s="2" t="str">
        <f t="shared" ref="D1023:D1086" si="15">IF(ISBLANK(B1023),"OK",IF(A1023-B1023=0,"OK","Error?"))</f>
        <v>Error?</v>
      </c>
    </row>
    <row r="1024" spans="1:4" x14ac:dyDescent="0.2">
      <c r="A1024" s="5">
        <v>963</v>
      </c>
      <c r="B1024" s="1832">
        <f>'Expenditures 15-22'!H53</f>
        <v>11089</v>
      </c>
      <c r="C1024" s="2" t="s">
        <v>569</v>
      </c>
      <c r="D1024" s="2" t="str">
        <f t="shared" si="15"/>
        <v>Error?</v>
      </c>
    </row>
    <row r="1025" spans="1:4" x14ac:dyDescent="0.2">
      <c r="A1025" s="5">
        <v>964</v>
      </c>
      <c r="B1025" s="1832">
        <f>'Expenditures 15-22'!H55</f>
        <v>350</v>
      </c>
      <c r="D1025" s="2" t="str">
        <f t="shared" si="15"/>
        <v>Error?</v>
      </c>
    </row>
    <row r="1026" spans="1:4" x14ac:dyDescent="0.2">
      <c r="A1026" s="5">
        <v>965</v>
      </c>
      <c r="B1026" s="1832">
        <f>'Expenditures 15-22'!H56</f>
        <v>76</v>
      </c>
      <c r="D1026" s="2" t="str">
        <f t="shared" si="15"/>
        <v>Error?</v>
      </c>
    </row>
    <row r="1027" spans="1:4" x14ac:dyDescent="0.2">
      <c r="A1027" s="5">
        <v>966</v>
      </c>
      <c r="B1027" s="1832">
        <f>'Expenditures 15-22'!H57</f>
        <v>426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11515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79061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188656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2965147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86864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4163814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55837</v>
      </c>
      <c r="C1110" s="2" t="s">
        <v>569</v>
      </c>
      <c r="D1110" s="2" t="str">
        <f t="shared" si="16"/>
        <v>Error?</v>
      </c>
    </row>
    <row r="1111" spans="1:4" x14ac:dyDescent="0.2">
      <c r="A1111" s="5">
        <v>1050</v>
      </c>
      <c r="B1111" s="1832">
        <f>'Expenditures 15-22'!K38</f>
        <v>812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81481</v>
      </c>
      <c r="C1113" s="2" t="s">
        <v>569</v>
      </c>
      <c r="D1113" s="2" t="str">
        <f t="shared" si="16"/>
        <v>Error?</v>
      </c>
    </row>
    <row r="1114" spans="1:4" x14ac:dyDescent="0.2">
      <c r="A1114" s="5">
        <v>1053</v>
      </c>
      <c r="B1114" s="1832">
        <f>'Expenditures 15-22'!K41</f>
        <v>125226</v>
      </c>
      <c r="C1114" s="2" t="s">
        <v>569</v>
      </c>
      <c r="D1114" s="2" t="str">
        <f t="shared" si="16"/>
        <v>Error?</v>
      </c>
    </row>
    <row r="1115" spans="1:4" x14ac:dyDescent="0.2">
      <c r="A1115" s="5">
        <v>1054</v>
      </c>
      <c r="B1115" s="1832">
        <f>'Expenditures 15-22'!K42</f>
        <v>263356</v>
      </c>
      <c r="C1115" s="2" t="s">
        <v>569</v>
      </c>
      <c r="D1115" s="2" t="str">
        <f t="shared" si="16"/>
        <v>Error?</v>
      </c>
    </row>
    <row r="1116" spans="1:4" x14ac:dyDescent="0.2">
      <c r="A1116" s="5">
        <v>1055</v>
      </c>
      <c r="B1116" s="1832">
        <f>'Expenditures 15-22'!K44</f>
        <v>150619</v>
      </c>
      <c r="C1116" s="2" t="s">
        <v>569</v>
      </c>
      <c r="D1116" s="2" t="str">
        <f t="shared" si="16"/>
        <v>Error?</v>
      </c>
    </row>
    <row r="1117" spans="1:4" x14ac:dyDescent="0.2">
      <c r="A1117" s="5">
        <v>1056</v>
      </c>
      <c r="B1117" s="1832">
        <f>'Expenditures 15-22'!K45</f>
        <v>221327</v>
      </c>
      <c r="C1117" s="2" t="s">
        <v>569</v>
      </c>
      <c r="D1117" s="2" t="str">
        <f t="shared" si="16"/>
        <v>Error?</v>
      </c>
    </row>
    <row r="1118" spans="1:4" x14ac:dyDescent="0.2">
      <c r="A1118" s="5">
        <v>1057</v>
      </c>
      <c r="B1118" s="1832">
        <f>'Expenditures 15-22'!K46</f>
        <v>38476</v>
      </c>
      <c r="C1118" s="2" t="s">
        <v>569</v>
      </c>
      <c r="D1118" s="2" t="str">
        <f t="shared" si="16"/>
        <v>Error?</v>
      </c>
    </row>
    <row r="1119" spans="1:4" x14ac:dyDescent="0.2">
      <c r="A1119" s="5">
        <v>1058</v>
      </c>
      <c r="B1119" s="1832">
        <f>'Expenditures 15-22'!K47</f>
        <v>410422</v>
      </c>
      <c r="C1119" s="2" t="s">
        <v>569</v>
      </c>
      <c r="D1119" s="2" t="str">
        <f t="shared" si="16"/>
        <v>Error?</v>
      </c>
    </row>
    <row r="1120" spans="1:4" x14ac:dyDescent="0.2">
      <c r="A1120" s="5">
        <v>1059</v>
      </c>
      <c r="B1120" s="1832">
        <f>'Expenditures 15-22'!K49</f>
        <v>82703</v>
      </c>
      <c r="C1120" s="2" t="s">
        <v>569</v>
      </c>
      <c r="D1120" s="2" t="str">
        <f t="shared" si="16"/>
        <v>Error?</v>
      </c>
    </row>
    <row r="1121" spans="1:4" x14ac:dyDescent="0.2">
      <c r="A1121" s="5">
        <v>1060</v>
      </c>
      <c r="B1121" s="1832">
        <f>'Expenditures 15-22'!K50</f>
        <v>224540</v>
      </c>
      <c r="C1121" s="2" t="s">
        <v>569</v>
      </c>
      <c r="D1121" s="2" t="str">
        <f t="shared" si="16"/>
        <v>Error?</v>
      </c>
    </row>
    <row r="1122" spans="1:4" x14ac:dyDescent="0.2">
      <c r="A1122" s="5">
        <v>1061</v>
      </c>
      <c r="B1122" s="1832">
        <f>'Expenditures 15-22'!K53</f>
        <v>364934</v>
      </c>
      <c r="C1122" s="2" t="s">
        <v>569</v>
      </c>
      <c r="D1122" s="2" t="str">
        <f t="shared" si="16"/>
        <v>Error?</v>
      </c>
    </row>
    <row r="1123" spans="1:4" x14ac:dyDescent="0.2">
      <c r="A1123" s="5">
        <v>1062</v>
      </c>
      <c r="B1123" s="1832">
        <f>'Expenditures 15-22'!K55</f>
        <v>387985</v>
      </c>
      <c r="C1123" s="2" t="s">
        <v>569</v>
      </c>
      <c r="D1123" s="2" t="str">
        <f t="shared" si="16"/>
        <v>Error?</v>
      </c>
    </row>
    <row r="1124" spans="1:4" x14ac:dyDescent="0.2">
      <c r="A1124" s="5">
        <v>1063</v>
      </c>
      <c r="B1124" s="1832">
        <f>'Expenditures 15-22'!K56</f>
        <v>114</v>
      </c>
      <c r="C1124" s="2" t="s">
        <v>569</v>
      </c>
      <c r="D1124" s="2" t="str">
        <f t="shared" si="16"/>
        <v>Error?</v>
      </c>
    </row>
    <row r="1125" spans="1:4" x14ac:dyDescent="0.2">
      <c r="A1125" s="5">
        <v>1064</v>
      </c>
      <c r="B1125" s="1832">
        <f>'Expenditures 15-22'!K57</f>
        <v>388099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47716</v>
      </c>
      <c r="C1127" s="2" t="s">
        <v>569</v>
      </c>
      <c r="D1127" s="2" t="str">
        <f t="shared" si="16"/>
        <v>Error?</v>
      </c>
    </row>
    <row r="1128" spans="1:4" x14ac:dyDescent="0.2">
      <c r="A1128" s="5">
        <v>1067</v>
      </c>
      <c r="B1128" s="1832">
        <f>'Expenditures 15-22'!K61</f>
        <v>291260</v>
      </c>
      <c r="C1128" s="2" t="s">
        <v>569</v>
      </c>
      <c r="D1128" s="2" t="str">
        <f t="shared" si="16"/>
        <v>Error?</v>
      </c>
    </row>
    <row r="1129" spans="1:4" x14ac:dyDescent="0.2">
      <c r="A1129" s="5">
        <v>1068</v>
      </c>
      <c r="B1129" s="1832">
        <f>'Expenditures 15-22'!K62</f>
        <v>2106</v>
      </c>
      <c r="C1129" s="2" t="s">
        <v>569</v>
      </c>
      <c r="D1129" s="2" t="str">
        <f t="shared" si="16"/>
        <v>Error?</v>
      </c>
    </row>
    <row r="1130" spans="1:4" x14ac:dyDescent="0.2">
      <c r="A1130" s="5">
        <v>1069</v>
      </c>
      <c r="B1130" s="1832">
        <f>'Expenditures 15-22'!K63</f>
        <v>166961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508043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1934854</v>
      </c>
      <c r="C1143" s="2" t="s">
        <v>569</v>
      </c>
      <c r="D1143" s="2" t="str">
        <f t="shared" si="16"/>
        <v>Error?</v>
      </c>
    </row>
    <row r="1144" spans="1:4" x14ac:dyDescent="0.2">
      <c r="A1144" s="5">
        <v>1083</v>
      </c>
      <c r="B1144" s="1832">
        <f>'Expenditures 15-22'!K75</f>
        <v>89832</v>
      </c>
      <c r="C1144" s="2" t="s">
        <v>569</v>
      </c>
      <c r="D1144" s="2" t="str">
        <f t="shared" si="16"/>
        <v>Error?</v>
      </c>
    </row>
    <row r="1145" spans="1:4" x14ac:dyDescent="0.2">
      <c r="A1145" s="5">
        <v>1084</v>
      </c>
      <c r="B1145" s="1832">
        <f>'Expenditures 15-22'!K102</f>
        <v>371112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6559612</v>
      </c>
      <c r="C1152" s="2" t="s">
        <v>569</v>
      </c>
      <c r="D1152" s="2" t="str">
        <f t="shared" si="17"/>
        <v>Error?</v>
      </c>
    </row>
    <row r="1153" spans="1:4" x14ac:dyDescent="0.2">
      <c r="A1153" s="5">
        <v>1092</v>
      </c>
      <c r="B1153" s="1832">
        <f>'Expenditures 15-22'!K115</f>
        <v>550875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123078</v>
      </c>
      <c r="D1221" s="2" t="str">
        <f t="shared" si="18"/>
        <v>Error?</v>
      </c>
    </row>
    <row r="1222" spans="1:4" x14ac:dyDescent="0.2">
      <c r="A1222" s="10">
        <v>1161</v>
      </c>
      <c r="B1222" s="1832"/>
      <c r="D1222" s="2" t="str">
        <f t="shared" si="18"/>
        <v>OK</v>
      </c>
    </row>
    <row r="1223" spans="1:4" x14ac:dyDescent="0.2">
      <c r="A1223" s="5">
        <v>1162</v>
      </c>
      <c r="B1223" s="1832">
        <f>'Expenditures 15-22'!C127</f>
        <v>123078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123078</v>
      </c>
      <c r="C1225" s="2" t="s">
        <v>569</v>
      </c>
      <c r="D1225" s="2" t="str">
        <f t="shared" si="18"/>
        <v>Error?</v>
      </c>
    </row>
    <row r="1226" spans="1:4" x14ac:dyDescent="0.2">
      <c r="A1226" s="5">
        <v>1165</v>
      </c>
      <c r="B1226" s="1832">
        <f>'Expenditures 15-22'!C151</f>
        <v>123078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15807</v>
      </c>
      <c r="D1229" s="2" t="str">
        <f t="shared" si="18"/>
        <v>Error?</v>
      </c>
    </row>
    <row r="1230" spans="1:4" x14ac:dyDescent="0.2">
      <c r="A1230" s="10">
        <v>1169</v>
      </c>
      <c r="B1230" s="1832"/>
      <c r="D1230" s="2" t="str">
        <f t="shared" si="18"/>
        <v>OK</v>
      </c>
    </row>
    <row r="1231" spans="1:4" x14ac:dyDescent="0.2">
      <c r="A1231" s="5">
        <v>1170</v>
      </c>
      <c r="B1231" s="1832">
        <f>'Expenditures 15-22'!D127</f>
        <v>15807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15807</v>
      </c>
      <c r="C1233" s="2" t="s">
        <v>569</v>
      </c>
      <c r="D1233" s="2" t="str">
        <f t="shared" si="18"/>
        <v>Error?</v>
      </c>
    </row>
    <row r="1234" spans="1:4" x14ac:dyDescent="0.2">
      <c r="A1234" s="5">
        <v>1173</v>
      </c>
      <c r="B1234" s="1832">
        <f>'Expenditures 15-22'!D151</f>
        <v>15807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143558</v>
      </c>
      <c r="D1237" s="2" t="str">
        <f t="shared" si="18"/>
        <v>Error?</v>
      </c>
    </row>
    <row r="1238" spans="1:4" x14ac:dyDescent="0.2">
      <c r="A1238" s="10">
        <v>1177</v>
      </c>
      <c r="B1238" s="1832"/>
      <c r="D1238" s="2" t="str">
        <f t="shared" si="18"/>
        <v>OK</v>
      </c>
    </row>
    <row r="1239" spans="1:4" x14ac:dyDescent="0.2">
      <c r="A1239" s="5">
        <v>1178</v>
      </c>
      <c r="B1239" s="1832">
        <f>'Expenditures 15-22'!E127</f>
        <v>143558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143558</v>
      </c>
      <c r="C1241" s="2" t="s">
        <v>569</v>
      </c>
      <c r="D1241" s="2" t="str">
        <f t="shared" si="18"/>
        <v>Error?</v>
      </c>
    </row>
    <row r="1242" spans="1:4" x14ac:dyDescent="0.2">
      <c r="A1242" s="5">
        <v>1181</v>
      </c>
      <c r="B1242" s="1832">
        <f>'Expenditures 15-22'!E151</f>
        <v>143558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50373</v>
      </c>
      <c r="D1245" s="2" t="str">
        <f t="shared" si="18"/>
        <v>Error?</v>
      </c>
    </row>
    <row r="1246" spans="1:4" x14ac:dyDescent="0.2">
      <c r="A1246" s="10">
        <v>1185</v>
      </c>
      <c r="B1246" s="1832"/>
      <c r="D1246" s="2" t="str">
        <f t="shared" si="18"/>
        <v>OK</v>
      </c>
    </row>
    <row r="1247" spans="1:4" x14ac:dyDescent="0.2">
      <c r="A1247" s="5">
        <v>1186</v>
      </c>
      <c r="B1247" s="1832">
        <f>'Expenditures 15-22'!F127</f>
        <v>50373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50373</v>
      </c>
      <c r="C1249" s="2" t="s">
        <v>569</v>
      </c>
      <c r="D1249" s="2" t="str">
        <f t="shared" si="18"/>
        <v>Error?</v>
      </c>
    </row>
    <row r="1250" spans="1:4" x14ac:dyDescent="0.2">
      <c r="A1250" s="5">
        <v>1189</v>
      </c>
      <c r="B1250" s="1832">
        <f>'Expenditures 15-22'!F151</f>
        <v>50373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18083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18083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18083</v>
      </c>
      <c r="C1258" s="2" t="s">
        <v>569</v>
      </c>
      <c r="D1258" s="2" t="str">
        <f t="shared" si="18"/>
        <v>Error?</v>
      </c>
    </row>
    <row r="1259" spans="1:4" x14ac:dyDescent="0.2">
      <c r="A1259" s="5">
        <v>1198</v>
      </c>
      <c r="B1259" s="1832">
        <f>'Expenditures 15-22'!G151</f>
        <v>18083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350899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350899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350899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350899</v>
      </c>
      <c r="C1288" s="2" t="s">
        <v>569</v>
      </c>
      <c r="D1288" s="2" t="str">
        <f t="shared" si="19"/>
        <v>Error?</v>
      </c>
    </row>
    <row r="1289" spans="1:4" x14ac:dyDescent="0.2">
      <c r="A1289" s="5">
        <v>1228</v>
      </c>
      <c r="B1289" s="1832">
        <f>'Expenditures 15-22'!K152</f>
        <v>3557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84989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365000</v>
      </c>
      <c r="D1315" s="2" t="str">
        <f t="shared" si="19"/>
        <v>Error?</v>
      </c>
    </row>
    <row r="1316" spans="1:4" x14ac:dyDescent="0.2">
      <c r="A1316" s="5">
        <v>1255</v>
      </c>
      <c r="B1316" s="1832">
        <f>'Expenditures 15-22'!H171</f>
        <v>1500</v>
      </c>
      <c r="D1316" s="2" t="str">
        <f t="shared" si="19"/>
        <v>Error?</v>
      </c>
    </row>
    <row r="1317" spans="1:4" x14ac:dyDescent="0.2">
      <c r="A1317" s="5">
        <v>1256</v>
      </c>
      <c r="B1317" s="1832">
        <f>'Expenditures 15-22'!H172</f>
        <v>451489</v>
      </c>
      <c r="C1317" s="2" t="s">
        <v>569</v>
      </c>
      <c r="D1317" s="2" t="str">
        <f t="shared" si="19"/>
        <v>Error?</v>
      </c>
    </row>
    <row r="1318" spans="1:4" x14ac:dyDescent="0.2">
      <c r="A1318" s="5">
        <v>1257</v>
      </c>
      <c r="B1318" s="1832">
        <f>'Expenditures 15-22'!H174</f>
        <v>451489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84989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365000</v>
      </c>
      <c r="C1329" s="2" t="s">
        <v>569</v>
      </c>
      <c r="D1329" s="2" t="str">
        <f t="shared" si="19"/>
        <v>Error?</v>
      </c>
    </row>
    <row r="1330" spans="1:4" x14ac:dyDescent="0.2">
      <c r="A1330" s="5">
        <v>1269</v>
      </c>
      <c r="B1330" s="1832">
        <f>'Expenditures 15-22'!K171</f>
        <v>1500</v>
      </c>
      <c r="C1330" s="2" t="s">
        <v>569</v>
      </c>
      <c r="D1330" s="2" t="str">
        <f t="shared" si="19"/>
        <v>Error?</v>
      </c>
    </row>
    <row r="1331" spans="1:4" x14ac:dyDescent="0.2">
      <c r="A1331" s="5">
        <v>1270</v>
      </c>
      <c r="B1331" s="1832">
        <f>'Expenditures 15-22'!K172</f>
        <v>451489</v>
      </c>
      <c r="C1331" s="2" t="s">
        <v>569</v>
      </c>
      <c r="D1331" s="2" t="str">
        <f t="shared" si="19"/>
        <v>Error?</v>
      </c>
    </row>
    <row r="1332" spans="1:4" x14ac:dyDescent="0.2">
      <c r="A1332" s="5">
        <v>1271</v>
      </c>
      <c r="B1332" s="1832">
        <f>'Expenditures 15-22'!K174</f>
        <v>451489</v>
      </c>
      <c r="C1332" s="2" t="s">
        <v>569</v>
      </c>
      <c r="D1332" s="2" t="str">
        <f t="shared" si="19"/>
        <v>Error?</v>
      </c>
    </row>
    <row r="1333" spans="1:4" x14ac:dyDescent="0.2">
      <c r="A1333" s="5">
        <v>1272</v>
      </c>
      <c r="B1333" s="1832">
        <f>'Expenditures 15-22'!K175</f>
        <v>5009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97814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97814</v>
      </c>
      <c r="C1339" s="2" t="s">
        <v>569</v>
      </c>
      <c r="D1339" s="2" t="str">
        <f t="shared" si="19"/>
        <v>Error?</v>
      </c>
    </row>
    <row r="1340" spans="1:4" x14ac:dyDescent="0.2">
      <c r="A1340" s="5">
        <v>1279</v>
      </c>
      <c r="B1340" s="1832">
        <f>'Expenditures 15-22'!C210</f>
        <v>97814</v>
      </c>
      <c r="C1340" s="2" t="s">
        <v>569</v>
      </c>
      <c r="D1340" s="2" t="str">
        <f t="shared" si="19"/>
        <v>Error?</v>
      </c>
    </row>
    <row r="1341" spans="1:4" x14ac:dyDescent="0.2">
      <c r="A1341" s="5">
        <v>1280</v>
      </c>
      <c r="B1341" s="1832">
        <f>'Expenditures 15-22'!D182</f>
        <v>468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468</v>
      </c>
      <c r="C1345" s="2" t="s">
        <v>569</v>
      </c>
      <c r="D1345" s="2" t="str">
        <f t="shared" si="20"/>
        <v>Error?</v>
      </c>
    </row>
    <row r="1346" spans="1:4" x14ac:dyDescent="0.2">
      <c r="A1346" s="5">
        <v>1285</v>
      </c>
      <c r="B1346" s="1832">
        <f>'Expenditures 15-22'!D210</f>
        <v>468</v>
      </c>
      <c r="C1346" s="2" t="s">
        <v>569</v>
      </c>
      <c r="D1346" s="2" t="str">
        <f t="shared" si="20"/>
        <v>Error?</v>
      </c>
    </row>
    <row r="1347" spans="1:4" x14ac:dyDescent="0.2">
      <c r="A1347" s="5">
        <v>1286</v>
      </c>
      <c r="B1347" s="1832">
        <f>'Expenditures 15-22'!E182</f>
        <v>185408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185408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185408</v>
      </c>
      <c r="C1353" s="2" t="s">
        <v>569</v>
      </c>
      <c r="D1353" s="2" t="str">
        <f t="shared" si="20"/>
        <v>Error?</v>
      </c>
    </row>
    <row r="1354" spans="1:4" x14ac:dyDescent="0.2">
      <c r="A1354" s="5">
        <v>1293</v>
      </c>
      <c r="B1354" s="1832">
        <f>'Expenditures 15-22'!F182</f>
        <v>15975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15975</v>
      </c>
      <c r="C1358" s="2" t="s">
        <v>569</v>
      </c>
      <c r="D1358" s="2" t="str">
        <f t="shared" si="20"/>
        <v>Error?</v>
      </c>
    </row>
    <row r="1359" spans="1:4" x14ac:dyDescent="0.2">
      <c r="A1359" s="5">
        <v>1298</v>
      </c>
      <c r="B1359" s="1832">
        <f>'Expenditures 15-22'!F210</f>
        <v>15975</v>
      </c>
      <c r="C1359" s="2" t="s">
        <v>569</v>
      </c>
      <c r="D1359" s="2" t="str">
        <f t="shared" si="20"/>
        <v>Error?</v>
      </c>
    </row>
    <row r="1360" spans="1:4" x14ac:dyDescent="0.2">
      <c r="A1360" s="5">
        <v>1299</v>
      </c>
      <c r="B1360" s="1832">
        <f>'Expenditures 15-22'!G182</f>
        <v>157334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157334</v>
      </c>
      <c r="C1364" s="2" t="s">
        <v>569</v>
      </c>
      <c r="D1364" s="2" t="str">
        <f t="shared" si="20"/>
        <v>Error?</v>
      </c>
    </row>
    <row r="1365" spans="1:4" x14ac:dyDescent="0.2">
      <c r="A1365" s="5">
        <v>1304</v>
      </c>
      <c r="B1365" s="1832">
        <f>'Expenditures 15-22'!G210</f>
        <v>157334</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456999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456999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456999</v>
      </c>
      <c r="C1388" s="2" t="s">
        <v>569</v>
      </c>
      <c r="D1388" s="2" t="str">
        <f t="shared" si="20"/>
        <v>Error?</v>
      </c>
    </row>
    <row r="1389" spans="1:4" x14ac:dyDescent="0.2">
      <c r="A1389" s="5">
        <v>1328</v>
      </c>
      <c r="B1389" s="1832">
        <f>'Expenditures 15-22'!K211</f>
        <v>67175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958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101167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705</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1040</v>
      </c>
      <c r="D1415" s="2" t="str">
        <f t="shared" si="21"/>
        <v>Error?</v>
      </c>
    </row>
    <row r="1416" spans="1:4" x14ac:dyDescent="0.2">
      <c r="A1416" s="5">
        <v>1355</v>
      </c>
      <c r="B1416" s="1832">
        <f>'Expenditures 15-22'!D237</f>
        <v>3163</v>
      </c>
      <c r="D1416" s="2" t="str">
        <f t="shared" si="21"/>
        <v>Error?</v>
      </c>
    </row>
    <row r="1417" spans="1:4" x14ac:dyDescent="0.2">
      <c r="A1417" s="5">
        <v>1356</v>
      </c>
      <c r="B1417" s="1832">
        <f>'Expenditures 15-22'!D238</f>
        <v>4908</v>
      </c>
      <c r="C1417" s="2" t="s">
        <v>569</v>
      </c>
      <c r="D1417" s="2" t="str">
        <f t="shared" si="21"/>
        <v>Error?</v>
      </c>
    </row>
    <row r="1418" spans="1:4" x14ac:dyDescent="0.2">
      <c r="A1418" s="5">
        <v>1357</v>
      </c>
      <c r="B1418" s="1832">
        <f>'Expenditures 15-22'!D240</f>
        <v>714</v>
      </c>
      <c r="D1418" s="2" t="str">
        <f t="shared" si="21"/>
        <v>Error?</v>
      </c>
    </row>
    <row r="1419" spans="1:4" x14ac:dyDescent="0.2">
      <c r="A1419" s="5">
        <v>1358</v>
      </c>
      <c r="B1419" s="1832">
        <f>'Expenditures 15-22'!D241</f>
        <v>3352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4066</v>
      </c>
      <c r="C1421" s="2" t="s">
        <v>569</v>
      </c>
      <c r="D1421" s="2" t="str">
        <f t="shared" si="21"/>
        <v>Error?</v>
      </c>
    </row>
    <row r="1422" spans="1:4" x14ac:dyDescent="0.2">
      <c r="A1422" s="5">
        <v>1361</v>
      </c>
      <c r="B1422" s="1832">
        <f>'Expenditures 15-22'!D245</f>
        <v>777</v>
      </c>
      <c r="D1422" s="2" t="str">
        <f t="shared" si="21"/>
        <v>Error?</v>
      </c>
    </row>
    <row r="1423" spans="1:4" x14ac:dyDescent="0.2">
      <c r="A1423" s="5">
        <v>1362</v>
      </c>
      <c r="B1423" s="1832">
        <f>'Expenditures 15-22'!D246</f>
        <v>8762</v>
      </c>
      <c r="D1423" s="2" t="str">
        <f t="shared" si="21"/>
        <v>Error?</v>
      </c>
    </row>
    <row r="1424" spans="1:4" x14ac:dyDescent="0.2">
      <c r="A1424" s="5">
        <v>1363</v>
      </c>
      <c r="B1424" s="1832">
        <f>'Expenditures 15-22'!D257</f>
        <v>9539</v>
      </c>
      <c r="C1424" s="2" t="s">
        <v>569</v>
      </c>
      <c r="D1424" s="2" t="str">
        <f t="shared" si="21"/>
        <v>Error?</v>
      </c>
    </row>
    <row r="1425" spans="1:4" x14ac:dyDescent="0.2">
      <c r="A1425" s="5">
        <v>1364</v>
      </c>
      <c r="B1425" s="1832">
        <f>'Expenditures 15-22'!D259</f>
        <v>22148</v>
      </c>
      <c r="D1425" s="2" t="str">
        <f t="shared" si="21"/>
        <v>Error?</v>
      </c>
    </row>
    <row r="1426" spans="1:4" x14ac:dyDescent="0.2">
      <c r="A1426" s="5">
        <v>1365</v>
      </c>
      <c r="B1426" s="1832">
        <f>'Expenditures 15-22'!D260</f>
        <v>510</v>
      </c>
      <c r="D1426" s="2" t="str">
        <f t="shared" si="21"/>
        <v>Error?</v>
      </c>
    </row>
    <row r="1427" spans="1:4" x14ac:dyDescent="0.2">
      <c r="A1427" s="5">
        <v>1366</v>
      </c>
      <c r="B1427" s="1832">
        <f>'Expenditures 15-22'!D261</f>
        <v>22658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7688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44108</v>
      </c>
      <c r="D1431" s="2" t="str">
        <f t="shared" si="21"/>
        <v>Error?</v>
      </c>
    </row>
    <row r="1432" spans="1:4" x14ac:dyDescent="0.2">
      <c r="A1432" s="5">
        <v>1371</v>
      </c>
      <c r="B1432" s="1832">
        <f>'Expenditures 15-22'!D267</f>
        <v>9835</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61631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102802</v>
      </c>
      <c r="C1446" s="2" t="s">
        <v>569</v>
      </c>
      <c r="D1446" s="2" t="str">
        <f t="shared" si="21"/>
        <v>Error?</v>
      </c>
    </row>
    <row r="1447" spans="1:4" x14ac:dyDescent="0.2">
      <c r="A1447" s="5">
        <v>1386</v>
      </c>
      <c r="B1447" s="1832">
        <f>'Expenditures 15-22'!D280</f>
        <v>11484</v>
      </c>
      <c r="D1447" s="2" t="str">
        <f t="shared" si="21"/>
        <v>Error?</v>
      </c>
    </row>
    <row r="1448" spans="1:4" x14ac:dyDescent="0.2">
      <c r="A1448" s="5">
        <v>1387</v>
      </c>
      <c r="B1448" s="1832">
        <f>'Expenditures 15-22'!D295</f>
        <v>215453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958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101167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705</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1040</v>
      </c>
      <c r="C1479" s="2" t="s">
        <v>569</v>
      </c>
      <c r="D1479" s="2" t="str">
        <f t="shared" si="22"/>
        <v>Error?</v>
      </c>
    </row>
    <row r="1480" spans="1:4" x14ac:dyDescent="0.2">
      <c r="A1480" s="5">
        <v>1419</v>
      </c>
      <c r="B1480" s="1832">
        <f>'Expenditures 15-22'!K237</f>
        <v>3163</v>
      </c>
      <c r="C1480" s="2" t="s">
        <v>569</v>
      </c>
      <c r="D1480" s="2" t="str">
        <f t="shared" si="22"/>
        <v>Error?</v>
      </c>
    </row>
    <row r="1481" spans="1:4" x14ac:dyDescent="0.2">
      <c r="A1481" s="5">
        <v>1420</v>
      </c>
      <c r="B1481" s="1832">
        <f>'Expenditures 15-22'!K238</f>
        <v>4908</v>
      </c>
      <c r="C1481" s="2" t="s">
        <v>569</v>
      </c>
      <c r="D1481" s="2" t="str">
        <f t="shared" si="22"/>
        <v>Error?</v>
      </c>
    </row>
    <row r="1482" spans="1:4" x14ac:dyDescent="0.2">
      <c r="A1482" s="5">
        <v>1421</v>
      </c>
      <c r="B1482" s="1832">
        <f>'Expenditures 15-22'!K240</f>
        <v>714</v>
      </c>
      <c r="C1482" s="2" t="s">
        <v>569</v>
      </c>
      <c r="D1482" s="2" t="str">
        <f t="shared" si="22"/>
        <v>Error?</v>
      </c>
    </row>
    <row r="1483" spans="1:4" x14ac:dyDescent="0.2">
      <c r="A1483" s="5">
        <v>1422</v>
      </c>
      <c r="B1483" s="1832">
        <f>'Expenditures 15-22'!K241</f>
        <v>3352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4066</v>
      </c>
      <c r="C1485" s="2" t="s">
        <v>569</v>
      </c>
      <c r="D1485" s="2" t="str">
        <f t="shared" si="22"/>
        <v>Error?</v>
      </c>
    </row>
    <row r="1486" spans="1:4" x14ac:dyDescent="0.2">
      <c r="A1486" s="5">
        <v>1425</v>
      </c>
      <c r="B1486" s="1832">
        <f>'Expenditures 15-22'!K245</f>
        <v>777</v>
      </c>
      <c r="C1486" s="2" t="s">
        <v>569</v>
      </c>
      <c r="D1486" s="2" t="str">
        <f t="shared" si="22"/>
        <v>Error?</v>
      </c>
    </row>
    <row r="1487" spans="1:4" x14ac:dyDescent="0.2">
      <c r="A1487" s="5">
        <v>1426</v>
      </c>
      <c r="B1487" s="1832">
        <f>'Expenditures 15-22'!K246</f>
        <v>8762</v>
      </c>
      <c r="C1487" s="2" t="s">
        <v>569</v>
      </c>
      <c r="D1487" s="2" t="str">
        <f t="shared" si="22"/>
        <v>Error?</v>
      </c>
    </row>
    <row r="1488" spans="1:4" x14ac:dyDescent="0.2">
      <c r="A1488" s="5">
        <v>1427</v>
      </c>
      <c r="B1488" s="1832">
        <f>'Expenditures 15-22'!K257</f>
        <v>9539</v>
      </c>
      <c r="C1488" s="2" t="s">
        <v>569</v>
      </c>
      <c r="D1488" s="2" t="str">
        <f t="shared" si="22"/>
        <v>Error?</v>
      </c>
    </row>
    <row r="1489" spans="1:4" x14ac:dyDescent="0.2">
      <c r="A1489" s="5">
        <v>1428</v>
      </c>
      <c r="B1489" s="1832">
        <f>'Expenditures 15-22'!K259</f>
        <v>22148</v>
      </c>
      <c r="C1489" s="2" t="s">
        <v>569</v>
      </c>
      <c r="D1489" s="2" t="str">
        <f t="shared" si="22"/>
        <v>Error?</v>
      </c>
    </row>
    <row r="1490" spans="1:4" x14ac:dyDescent="0.2">
      <c r="A1490" s="5">
        <v>1429</v>
      </c>
      <c r="B1490" s="1832">
        <f>'Expenditures 15-22'!K260</f>
        <v>510</v>
      </c>
      <c r="C1490" s="2" t="s">
        <v>569</v>
      </c>
      <c r="D1490" s="2" t="str">
        <f t="shared" si="22"/>
        <v>Error?</v>
      </c>
    </row>
    <row r="1491" spans="1:4" x14ac:dyDescent="0.2">
      <c r="A1491" s="5">
        <v>1430</v>
      </c>
      <c r="B1491" s="1832">
        <f>'Expenditures 15-22'!K261</f>
        <v>22658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7688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44108</v>
      </c>
      <c r="C1495" s="2" t="s">
        <v>569</v>
      </c>
      <c r="D1495" s="2" t="str">
        <f t="shared" si="22"/>
        <v>Error?</v>
      </c>
    </row>
    <row r="1496" spans="1:4" x14ac:dyDescent="0.2">
      <c r="A1496" s="5">
        <v>1435</v>
      </c>
      <c r="B1496" s="1832">
        <f>'Expenditures 15-22'!K267</f>
        <v>9835</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61631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102802</v>
      </c>
      <c r="C1510" s="2" t="s">
        <v>569</v>
      </c>
      <c r="D1510" s="2" t="str">
        <f t="shared" si="22"/>
        <v>Error?</v>
      </c>
    </row>
    <row r="1511" spans="1:4" x14ac:dyDescent="0.2">
      <c r="A1511" s="5">
        <v>1450</v>
      </c>
      <c r="B1511" s="1832">
        <f>'Expenditures 15-22'!K280</f>
        <v>11484</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215453</v>
      </c>
      <c r="C1517" s="2" t="s">
        <v>569</v>
      </c>
      <c r="D1517" s="2" t="str">
        <f t="shared" si="22"/>
        <v>Error?</v>
      </c>
    </row>
    <row r="1518" spans="1:4" x14ac:dyDescent="0.2">
      <c r="A1518" s="5">
        <v>1457</v>
      </c>
      <c r="B1518" s="1832">
        <f>'Expenditures 15-22'!K296</f>
        <v>29427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91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2115619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2686494</v>
      </c>
      <c r="C1630" s="2" t="s">
        <v>569</v>
      </c>
      <c r="D1630" s="2" t="str">
        <f t="shared" si="24"/>
        <v>Error?</v>
      </c>
    </row>
    <row r="1631" spans="1:4" x14ac:dyDescent="0.2">
      <c r="A1631" s="5">
        <v>1570</v>
      </c>
      <c r="B1631" s="1832">
        <f>'Acct Summary 7-8'!D79</f>
        <v>1313661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1067218</v>
      </c>
      <c r="C1644" s="2" t="s">
        <v>569</v>
      </c>
      <c r="D1644" s="2" t="str">
        <f t="shared" si="24"/>
        <v>Error?</v>
      </c>
    </row>
    <row r="1645" spans="1:4" x14ac:dyDescent="0.2">
      <c r="A1645" s="5">
        <v>1584</v>
      </c>
      <c r="B1645" s="1832">
        <f>'Acct Summary 7-8'!E79</f>
        <v>40681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45690</v>
      </c>
      <c r="C1658" s="2" t="s">
        <v>569</v>
      </c>
      <c r="D1658" s="2" t="str">
        <f t="shared" si="24"/>
        <v>Error?</v>
      </c>
    </row>
    <row r="1659" spans="1:4" x14ac:dyDescent="0.2">
      <c r="A1659" s="5">
        <v>1598</v>
      </c>
      <c r="B1659" s="1832">
        <f>'Acct Summary 7-8'!F79</f>
        <v>275836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593011</v>
      </c>
      <c r="C1672" s="2" t="s">
        <v>569</v>
      </c>
      <c r="D1672" s="2" t="str">
        <f t="shared" si="25"/>
        <v>Error?</v>
      </c>
    </row>
    <row r="1673" spans="1:4" x14ac:dyDescent="0.2">
      <c r="A1673" s="5">
        <v>1612</v>
      </c>
      <c r="B1673" s="1832">
        <f>'Acct Summary 7-8'!G79</f>
        <v>206236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235663</v>
      </c>
      <c r="C1686" s="2" t="s">
        <v>569</v>
      </c>
      <c r="D1686" s="2" t="str">
        <f t="shared" si="25"/>
        <v>Error?</v>
      </c>
    </row>
    <row r="1687" spans="1:4" x14ac:dyDescent="0.2">
      <c r="A1687" s="5">
        <v>1626</v>
      </c>
      <c r="B1687" s="1832">
        <f>'Acct Summary 7-8'!H79</f>
        <v>7912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8003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3132446</v>
      </c>
      <c r="C1744" s="2" t="s">
        <v>569</v>
      </c>
      <c r="D1744" s="2" t="str">
        <f t="shared" si="26"/>
        <v>Error?</v>
      </c>
    </row>
    <row r="1745" spans="1:5" x14ac:dyDescent="0.2">
      <c r="A1745" s="5">
        <v>1684</v>
      </c>
      <c r="B1745" s="1832">
        <f>'Tax Sched 23'!B5</f>
        <v>243678</v>
      </c>
      <c r="C1745" s="2" t="s">
        <v>569</v>
      </c>
      <c r="D1745" s="2" t="str">
        <f t="shared" si="26"/>
        <v>Error?</v>
      </c>
    </row>
    <row r="1746" spans="1:5" x14ac:dyDescent="0.2">
      <c r="A1746" s="5">
        <v>1685</v>
      </c>
      <c r="B1746" s="1832">
        <f>'Tax Sched 23'!B6</f>
        <v>453859</v>
      </c>
      <c r="C1746" s="2" t="s">
        <v>569</v>
      </c>
      <c r="D1746" s="2" t="str">
        <f t="shared" si="26"/>
        <v>Error?</v>
      </c>
    </row>
    <row r="1747" spans="1:5" x14ac:dyDescent="0.2">
      <c r="A1747" s="5">
        <v>1686</v>
      </c>
      <c r="B1747" s="1832">
        <f>'Tax Sched 23'!B7</f>
        <v>263363</v>
      </c>
      <c r="C1747" s="2" t="s">
        <v>569</v>
      </c>
      <c r="D1747" s="2" t="str">
        <f t="shared" si="26"/>
        <v>Error?</v>
      </c>
    </row>
    <row r="1748" spans="1:5" x14ac:dyDescent="0.2">
      <c r="A1748" s="5">
        <v>1687</v>
      </c>
      <c r="B1748" s="1832">
        <f>'Tax Sched 23'!B8</f>
        <v>39002</v>
      </c>
      <c r="C1748" s="2" t="s">
        <v>569</v>
      </c>
      <c r="D1748" s="2" t="str">
        <f t="shared" si="26"/>
        <v>Error?</v>
      </c>
    </row>
    <row r="1749" spans="1:5" x14ac:dyDescent="0.2">
      <c r="A1749" s="5">
        <v>1688</v>
      </c>
      <c r="B1749" s="1832">
        <f>'Tax Sched 23'!B10</f>
        <v>4017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37058</v>
      </c>
      <c r="C1752" s="2" t="s">
        <v>569</v>
      </c>
      <c r="D1752" s="2" t="str">
        <f t="shared" si="26"/>
        <v>Error?</v>
      </c>
    </row>
    <row r="1753" spans="1:5" x14ac:dyDescent="0.2">
      <c r="A1753" s="5">
        <v>1692</v>
      </c>
      <c r="B1753" s="1832">
        <f>'Tax Sched 23'!B12</f>
        <v>29269</v>
      </c>
      <c r="C1753" s="2" t="s">
        <v>569</v>
      </c>
      <c r="D1753" s="2" t="str">
        <f t="shared" si="26"/>
        <v>Error?</v>
      </c>
    </row>
    <row r="1754" spans="1:5" x14ac:dyDescent="0.2">
      <c r="A1754" s="5">
        <v>1693</v>
      </c>
      <c r="B1754" s="1832">
        <f>'Tax Sched 23'!B14</f>
        <v>32182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4380327</v>
      </c>
      <c r="C1759" s="2" t="s">
        <v>569</v>
      </c>
      <c r="D1759" s="2" t="str">
        <f t="shared" si="26"/>
        <v>Error?</v>
      </c>
    </row>
    <row r="1760" spans="1:5" x14ac:dyDescent="0.2">
      <c r="A1760" s="5">
        <v>1699</v>
      </c>
      <c r="B1760" s="1832">
        <f>'Tax Sched 23'!D4</f>
        <v>3132446</v>
      </c>
      <c r="C1760" s="2" t="s">
        <v>569</v>
      </c>
      <c r="D1760" s="2" t="str">
        <f t="shared" si="26"/>
        <v>Error?</v>
      </c>
    </row>
    <row r="1761" spans="1:7" x14ac:dyDescent="0.2">
      <c r="A1761" s="5">
        <v>1700</v>
      </c>
      <c r="B1761" s="1832">
        <f>'Tax Sched 23'!D5</f>
        <v>243678</v>
      </c>
      <c r="C1761" s="2" t="s">
        <v>569</v>
      </c>
      <c r="D1761" s="2" t="str">
        <f t="shared" si="26"/>
        <v>Error?</v>
      </c>
    </row>
    <row r="1762" spans="1:7" s="8" customFormat="1" x14ac:dyDescent="0.2">
      <c r="A1762" s="5">
        <v>1701</v>
      </c>
      <c r="B1762" s="1832">
        <f>'Tax Sched 23'!D6</f>
        <v>453859</v>
      </c>
      <c r="C1762" s="2" t="s">
        <v>569</v>
      </c>
      <c r="D1762" s="2" t="str">
        <f t="shared" si="26"/>
        <v>Error?</v>
      </c>
      <c r="E1762" s="9"/>
      <c r="G1762"/>
    </row>
    <row r="1763" spans="1:7" x14ac:dyDescent="0.2">
      <c r="A1763" s="5">
        <v>1702</v>
      </c>
      <c r="B1763" s="1832">
        <f>'Tax Sched 23'!D7</f>
        <v>263363</v>
      </c>
      <c r="C1763" s="2" t="s">
        <v>569</v>
      </c>
      <c r="D1763" s="2" t="str">
        <f t="shared" si="26"/>
        <v>Error?</v>
      </c>
    </row>
    <row r="1764" spans="1:7" x14ac:dyDescent="0.2">
      <c r="A1764" s="5">
        <v>1703</v>
      </c>
      <c r="B1764" s="1832">
        <f>'Tax Sched 23'!D8</f>
        <v>39002</v>
      </c>
      <c r="C1764" s="2" t="s">
        <v>569</v>
      </c>
      <c r="D1764" s="2" t="str">
        <f t="shared" si="26"/>
        <v>Error?</v>
      </c>
    </row>
    <row r="1765" spans="1:7" x14ac:dyDescent="0.2">
      <c r="A1765" s="5">
        <v>1704</v>
      </c>
      <c r="B1765" s="1832">
        <f>'Tax Sched 23'!D10</f>
        <v>4017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37058</v>
      </c>
      <c r="C1768" s="2" t="s">
        <v>569</v>
      </c>
      <c r="D1768" s="2" t="str">
        <f t="shared" si="26"/>
        <v>Error?</v>
      </c>
    </row>
    <row r="1769" spans="1:7" x14ac:dyDescent="0.2">
      <c r="A1769" s="5">
        <v>1708</v>
      </c>
      <c r="B1769" s="1832">
        <f>'Tax Sched 23'!D12</f>
        <v>29269</v>
      </c>
      <c r="C1769" s="2" t="s">
        <v>569</v>
      </c>
      <c r="D1769" s="2" t="str">
        <f t="shared" si="26"/>
        <v>Error?</v>
      </c>
    </row>
    <row r="1770" spans="1:7" x14ac:dyDescent="0.2">
      <c r="A1770" s="5">
        <v>1709</v>
      </c>
      <c r="B1770" s="1832">
        <f>'Tax Sched 23'!D14</f>
        <v>32182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4380327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3165500</v>
      </c>
      <c r="C1792" s="2" t="s">
        <v>569</v>
      </c>
      <c r="D1792" s="2" t="str">
        <f t="shared" si="27"/>
        <v>Error?</v>
      </c>
    </row>
    <row r="1793" spans="1:4" x14ac:dyDescent="0.2">
      <c r="A1793" s="5">
        <v>1732</v>
      </c>
      <c r="B1793" s="1832">
        <f>'Tax Sched 23'!F5</f>
        <v>253264</v>
      </c>
      <c r="C1793" s="2" t="s">
        <v>569</v>
      </c>
      <c r="D1793" s="2" t="str">
        <f t="shared" si="27"/>
        <v>Error?</v>
      </c>
    </row>
    <row r="1794" spans="1:4" x14ac:dyDescent="0.2">
      <c r="A1794" s="5">
        <v>1733</v>
      </c>
      <c r="B1794" s="1832">
        <f>'Tax Sched 23'!F6</f>
        <v>458716</v>
      </c>
      <c r="C1794" s="2" t="s">
        <v>569</v>
      </c>
      <c r="D1794" s="2" t="str">
        <f t="shared" si="27"/>
        <v>Error?</v>
      </c>
    </row>
    <row r="1795" spans="1:4" x14ac:dyDescent="0.2">
      <c r="A1795" s="5">
        <v>1734</v>
      </c>
      <c r="B1795" s="1832">
        <f>'Tax Sched 23'!F7</f>
        <v>301972</v>
      </c>
      <c r="C1795" s="2" t="s">
        <v>569</v>
      </c>
      <c r="D1795" s="2" t="str">
        <f t="shared" si="27"/>
        <v>Error?</v>
      </c>
    </row>
    <row r="1796" spans="1:4" x14ac:dyDescent="0.2">
      <c r="A1796" s="5">
        <v>1735</v>
      </c>
      <c r="B1796" s="1832">
        <f>'Tax Sched 23'!F8</f>
        <v>47735</v>
      </c>
      <c r="C1796" s="2" t="s">
        <v>569</v>
      </c>
      <c r="D1796" s="2" t="str">
        <f t="shared" si="27"/>
        <v>Error?</v>
      </c>
    </row>
    <row r="1797" spans="1:4" x14ac:dyDescent="0.2">
      <c r="A1797" s="5">
        <v>1736</v>
      </c>
      <c r="B1797" s="1832">
        <f>'Tax Sched 23'!F10</f>
        <v>4400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37700</v>
      </c>
      <c r="C1800" s="2" t="s">
        <v>569</v>
      </c>
      <c r="D1800" s="2" t="str">
        <f t="shared" si="27"/>
        <v>Error?</v>
      </c>
    </row>
    <row r="1801" spans="1:4" x14ac:dyDescent="0.2">
      <c r="A1801" s="5">
        <v>1740</v>
      </c>
      <c r="B1801" s="1832">
        <f>'Tax Sched 23'!F12</f>
        <v>29240</v>
      </c>
      <c r="C1801" s="2" t="s">
        <v>569</v>
      </c>
      <c r="D1801" s="2" t="str">
        <f t="shared" si="27"/>
        <v>Error?</v>
      </c>
    </row>
    <row r="1802" spans="1:4" x14ac:dyDescent="0.2">
      <c r="A1802" s="5">
        <v>1741</v>
      </c>
      <c r="B1802" s="1832">
        <f>'Tax Sched 23'!F14</f>
        <v>33130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4480034</v>
      </c>
      <c r="C1807" s="2" t="s">
        <v>569</v>
      </c>
      <c r="D1807" s="2" t="str">
        <f t="shared" si="27"/>
        <v>Error?</v>
      </c>
    </row>
    <row r="1808" spans="1:4" x14ac:dyDescent="0.2">
      <c r="A1808" s="5">
        <v>1747</v>
      </c>
      <c r="B1808" s="1832">
        <f>'Tax Sched 23'!E4</f>
        <v>3165500</v>
      </c>
      <c r="D1808" s="2" t="str">
        <f t="shared" si="27"/>
        <v>Error?</v>
      </c>
    </row>
    <row r="1809" spans="1:4" x14ac:dyDescent="0.2">
      <c r="A1809" s="5">
        <v>1748</v>
      </c>
      <c r="B1809" s="1832">
        <f>'Tax Sched 23'!E5</f>
        <v>253264</v>
      </c>
      <c r="D1809" s="2" t="str">
        <f t="shared" si="27"/>
        <v>Error?</v>
      </c>
    </row>
    <row r="1810" spans="1:4" x14ac:dyDescent="0.2">
      <c r="A1810" s="5">
        <v>1749</v>
      </c>
      <c r="B1810" s="1832">
        <f>'Tax Sched 23'!E6</f>
        <v>458716</v>
      </c>
      <c r="D1810" s="2" t="str">
        <f t="shared" si="27"/>
        <v>Error?</v>
      </c>
    </row>
    <row r="1811" spans="1:4" x14ac:dyDescent="0.2">
      <c r="A1811" s="5">
        <v>1750</v>
      </c>
      <c r="B1811" s="1832">
        <f>'Tax Sched 23'!E7</f>
        <v>301972</v>
      </c>
      <c r="D1811" s="2" t="str">
        <f t="shared" si="27"/>
        <v>Error?</v>
      </c>
    </row>
    <row r="1812" spans="1:4" x14ac:dyDescent="0.2">
      <c r="A1812" s="5">
        <v>1751</v>
      </c>
      <c r="B1812" s="1832">
        <f>'Tax Sched 23'!E8</f>
        <v>47735</v>
      </c>
      <c r="D1812" s="2" t="str">
        <f t="shared" si="27"/>
        <v>Error?</v>
      </c>
    </row>
    <row r="1813" spans="1:4" x14ac:dyDescent="0.2">
      <c r="A1813" s="5">
        <v>1752</v>
      </c>
      <c r="B1813" s="1832">
        <f>'Tax Sched 23'!E10</f>
        <v>4400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37700</v>
      </c>
      <c r="D1816" s="2" t="str">
        <f t="shared" si="27"/>
        <v>Error?</v>
      </c>
    </row>
    <row r="1817" spans="1:4" x14ac:dyDescent="0.2">
      <c r="A1817" s="5">
        <v>1756</v>
      </c>
      <c r="B1817" s="1832">
        <f>'Tax Sched 23'!E12</f>
        <v>29240</v>
      </c>
      <c r="D1817" s="2" t="str">
        <f t="shared" si="27"/>
        <v>Error?</v>
      </c>
    </row>
    <row r="1818" spans="1:4" x14ac:dyDescent="0.2">
      <c r="A1818" s="5">
        <v>1757</v>
      </c>
      <c r="B1818" s="1832">
        <f>'Tax Sched 23'!E14</f>
        <v>33130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4480034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3330000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32182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32182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32182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676588</v>
      </c>
      <c r="D2008" s="2" t="str">
        <f t="shared" si="30"/>
        <v>Error?</v>
      </c>
    </row>
    <row r="2009" spans="1:4" x14ac:dyDescent="0.2">
      <c r="A2009" s="5">
        <v>1948</v>
      </c>
      <c r="B2009" s="1832">
        <f>'Cap Outlay Deprec 26'!C8</f>
        <v>14968781</v>
      </c>
      <c r="D2009" s="2" t="str">
        <f t="shared" si="30"/>
        <v>Error?</v>
      </c>
    </row>
    <row r="2010" spans="1:4" x14ac:dyDescent="0.2">
      <c r="A2010" s="5">
        <v>1949</v>
      </c>
      <c r="B2010" s="1832">
        <f>'Cap Outlay Deprec 26'!C10</f>
        <v>233017</v>
      </c>
      <c r="D2010" s="2" t="str">
        <f t="shared" si="30"/>
        <v>Error?</v>
      </c>
    </row>
    <row r="2011" spans="1:4" x14ac:dyDescent="0.2">
      <c r="A2011" s="5">
        <v>1950</v>
      </c>
      <c r="B2011" s="1832">
        <f>'Cap Outlay Deprec 26'!C12</f>
        <v>737846</v>
      </c>
      <c r="D2011" s="2" t="str">
        <f t="shared" si="30"/>
        <v>Error?</v>
      </c>
    </row>
    <row r="2012" spans="1:4" x14ac:dyDescent="0.2">
      <c r="A2012" s="5">
        <v>1951</v>
      </c>
      <c r="B2012" s="1832">
        <f>'Cap Outlay Deprec 26'!C13</f>
        <v>290834</v>
      </c>
      <c r="D2012" s="2" t="str">
        <f t="shared" si="30"/>
        <v>Error?</v>
      </c>
    </row>
    <row r="2013" spans="1:4" x14ac:dyDescent="0.2">
      <c r="A2013" s="5">
        <v>1952</v>
      </c>
      <c r="B2013" s="1832">
        <f>'Cap Outlay Deprec 26'!C16</f>
        <v>16907066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81071</v>
      </c>
      <c r="D2017" s="2" t="str">
        <f t="shared" si="30"/>
        <v>Error?</v>
      </c>
    </row>
    <row r="2018" spans="1:4" x14ac:dyDescent="0.2">
      <c r="A2018" s="5">
        <v>1957</v>
      </c>
      <c r="B2018" s="1832">
        <f>'Cap Outlay Deprec 26'!D13</f>
        <v>175417</v>
      </c>
      <c r="D2018" s="2" t="str">
        <f t="shared" si="30"/>
        <v>Error?</v>
      </c>
    </row>
    <row r="2019" spans="1:4" x14ac:dyDescent="0.2">
      <c r="A2019" s="5">
        <v>1958</v>
      </c>
      <c r="B2019" s="1832">
        <f>'Cap Outlay Deprec 26'!D16</f>
        <v>256488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676588</v>
      </c>
      <c r="C2026" s="2" t="s">
        <v>569</v>
      </c>
      <c r="D2026" s="2" t="str">
        <f t="shared" si="30"/>
        <v>Error?</v>
      </c>
    </row>
    <row r="2027" spans="1:4" x14ac:dyDescent="0.2">
      <c r="A2027" s="5">
        <v>1966</v>
      </c>
      <c r="B2027" s="1832">
        <f>'Cap Outlay Deprec 26'!F8</f>
        <v>14968781</v>
      </c>
      <c r="C2027" s="2" t="s">
        <v>569</v>
      </c>
      <c r="D2027" s="2" t="str">
        <f t="shared" si="30"/>
        <v>Error?</v>
      </c>
    </row>
    <row r="2028" spans="1:4" x14ac:dyDescent="0.2">
      <c r="A2028" s="5">
        <v>1967</v>
      </c>
      <c r="B2028" s="1832">
        <f>'Cap Outlay Deprec 26'!F10</f>
        <v>233017</v>
      </c>
      <c r="C2028" s="2" t="s">
        <v>569</v>
      </c>
      <c r="D2028" s="2" t="str">
        <f t="shared" si="30"/>
        <v>Error?</v>
      </c>
    </row>
    <row r="2029" spans="1:4" x14ac:dyDescent="0.2">
      <c r="A2029" s="5">
        <v>1968</v>
      </c>
      <c r="B2029" s="1832">
        <f>'Cap Outlay Deprec 26'!F12</f>
        <v>818917</v>
      </c>
      <c r="C2029" s="2" t="s">
        <v>569</v>
      </c>
      <c r="D2029" s="2" t="str">
        <f t="shared" si="30"/>
        <v>Error?</v>
      </c>
    </row>
    <row r="2030" spans="1:4" x14ac:dyDescent="0.2">
      <c r="A2030" s="5">
        <v>1969</v>
      </c>
      <c r="B2030" s="1832">
        <f>'Cap Outlay Deprec 26'!F13</f>
        <v>466251</v>
      </c>
      <c r="C2030" s="2" t="s">
        <v>569</v>
      </c>
      <c r="D2030" s="2" t="str">
        <f t="shared" si="30"/>
        <v>Error?</v>
      </c>
    </row>
    <row r="2031" spans="1:4" x14ac:dyDescent="0.2">
      <c r="A2031" s="5">
        <v>1970</v>
      </c>
      <c r="B2031" s="1832">
        <f>'Cap Outlay Deprec 26'!F16</f>
        <v>17163554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5468808</v>
      </c>
      <c r="D2033" s="2" t="str">
        <f t="shared" si="30"/>
        <v>Error?</v>
      </c>
    </row>
    <row r="2034" spans="1:4" x14ac:dyDescent="0.2">
      <c r="A2034" s="5">
        <v>1973</v>
      </c>
      <c r="B2034" s="1832">
        <f>'Cap Outlay Deprec 26'!H10</f>
        <v>102020</v>
      </c>
      <c r="D2034" s="2" t="str">
        <f t="shared" si="30"/>
        <v>Error?</v>
      </c>
    </row>
    <row r="2035" spans="1:4" x14ac:dyDescent="0.2">
      <c r="A2035" s="5">
        <v>1974</v>
      </c>
      <c r="B2035" s="1832">
        <f>'Cap Outlay Deprec 26'!H12</f>
        <v>303441</v>
      </c>
      <c r="D2035" s="2" t="str">
        <f t="shared" si="30"/>
        <v>Error?</v>
      </c>
    </row>
    <row r="2036" spans="1:4" x14ac:dyDescent="0.2">
      <c r="A2036" s="5">
        <v>1975</v>
      </c>
      <c r="B2036" s="1832">
        <f>'Cap Outlay Deprec 26'!H13</f>
        <v>267900</v>
      </c>
      <c r="D2036" s="2" t="str">
        <f t="shared" si="30"/>
        <v>Error?</v>
      </c>
    </row>
    <row r="2037" spans="1:4" x14ac:dyDescent="0.2">
      <c r="A2037" s="5">
        <v>1976</v>
      </c>
      <c r="B2037" s="1832">
        <f>'Cap Outlay Deprec 26'!H16</f>
        <v>6142169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295143</v>
      </c>
      <c r="D2039" s="2" t="str">
        <f t="shared" si="30"/>
        <v>Error?</v>
      </c>
    </row>
    <row r="2040" spans="1:4" x14ac:dyDescent="0.2">
      <c r="A2040" s="5">
        <v>1979</v>
      </c>
      <c r="B2040" s="1832">
        <f>'Cap Outlay Deprec 26'!I10</f>
        <v>9020</v>
      </c>
      <c r="D2040" s="2" t="str">
        <f t="shared" si="30"/>
        <v>Error?</v>
      </c>
    </row>
    <row r="2041" spans="1:4" x14ac:dyDescent="0.2">
      <c r="A2041" s="5">
        <v>1980</v>
      </c>
      <c r="B2041" s="1832">
        <f>'Cap Outlay Deprec 26'!I12</f>
        <v>73783</v>
      </c>
      <c r="D2041" s="2" t="str">
        <f t="shared" si="30"/>
        <v>Error?</v>
      </c>
    </row>
    <row r="2042" spans="1:4" x14ac:dyDescent="0.2">
      <c r="A2042" s="5">
        <v>1981</v>
      </c>
      <c r="B2042" s="1832">
        <f>'Cap Outlay Deprec 26'!I13</f>
        <v>103468</v>
      </c>
      <c r="D2042" s="2" t="str">
        <f t="shared" si="30"/>
        <v>Error?</v>
      </c>
    </row>
    <row r="2043" spans="1:4" x14ac:dyDescent="0.2">
      <c r="A2043" s="5">
        <v>1982</v>
      </c>
      <c r="B2043" s="1832">
        <f>'Cap Outlay Deprec 26'!I16</f>
        <v>481414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5763951</v>
      </c>
      <c r="C2051" s="2" t="s">
        <v>569</v>
      </c>
      <c r="D2051" s="2" t="str">
        <f t="shared" si="31"/>
        <v>Error?</v>
      </c>
    </row>
    <row r="2052" spans="1:4" x14ac:dyDescent="0.2">
      <c r="A2052" s="5">
        <v>1991</v>
      </c>
      <c r="B2052" s="1832">
        <f>'Cap Outlay Deprec 26'!K10</f>
        <v>111040</v>
      </c>
      <c r="C2052" s="2" t="s">
        <v>569</v>
      </c>
      <c r="D2052" s="2" t="str">
        <f t="shared" si="31"/>
        <v>Error?</v>
      </c>
    </row>
    <row r="2053" spans="1:4" x14ac:dyDescent="0.2">
      <c r="A2053" s="5">
        <v>1992</v>
      </c>
      <c r="B2053" s="1832">
        <f>'Cap Outlay Deprec 26'!K12</f>
        <v>377224</v>
      </c>
      <c r="C2053" s="2" t="s">
        <v>569</v>
      </c>
      <c r="D2053" s="2" t="str">
        <f t="shared" si="31"/>
        <v>Error?</v>
      </c>
    </row>
    <row r="2054" spans="1:4" x14ac:dyDescent="0.2">
      <c r="A2054" s="5">
        <v>1993</v>
      </c>
      <c r="B2054" s="1832">
        <f>'Cap Outlay Deprec 26'!K13</f>
        <v>371368</v>
      </c>
      <c r="C2054" s="2" t="s">
        <v>569</v>
      </c>
      <c r="D2054" s="2" t="str">
        <f t="shared" si="31"/>
        <v>Error?</v>
      </c>
    </row>
    <row r="2055" spans="1:4" x14ac:dyDescent="0.2">
      <c r="A2055" s="5">
        <v>1994</v>
      </c>
      <c r="B2055" s="1832">
        <f>'Cap Outlay Deprec 26'!K16</f>
        <v>6623583</v>
      </c>
      <c r="C2055" s="2" t="s">
        <v>569</v>
      </c>
      <c r="D2055" s="2" t="str">
        <f t="shared" si="31"/>
        <v>Error?</v>
      </c>
    </row>
    <row r="2056" spans="1:4" x14ac:dyDescent="0.2">
      <c r="A2056" s="5">
        <v>1995</v>
      </c>
      <c r="B2056" s="1832">
        <f>'Cap Outlay Deprec 26'!L5</f>
        <v>676588</v>
      </c>
      <c r="C2056" s="2" t="s">
        <v>569</v>
      </c>
      <c r="D2056" s="2" t="str">
        <f t="shared" si="31"/>
        <v>Error?</v>
      </c>
    </row>
    <row r="2057" spans="1:4" x14ac:dyDescent="0.2">
      <c r="A2057" s="5">
        <v>1996</v>
      </c>
      <c r="B2057" s="1832">
        <f>'Cap Outlay Deprec 26'!L8</f>
        <v>9204830</v>
      </c>
      <c r="C2057" s="2" t="s">
        <v>569</v>
      </c>
      <c r="D2057" s="2" t="str">
        <f t="shared" si="31"/>
        <v>Error?</v>
      </c>
    </row>
    <row r="2058" spans="1:4" x14ac:dyDescent="0.2">
      <c r="A2058" s="5">
        <v>1997</v>
      </c>
      <c r="B2058" s="1832">
        <f>'Cap Outlay Deprec 26'!L10</f>
        <v>121977</v>
      </c>
      <c r="C2058" s="2" t="s">
        <v>569</v>
      </c>
      <c r="D2058" s="2" t="str">
        <f t="shared" si="31"/>
        <v>Error?</v>
      </c>
    </row>
    <row r="2059" spans="1:4" x14ac:dyDescent="0.2">
      <c r="A2059" s="5">
        <v>1998</v>
      </c>
      <c r="B2059" s="1832">
        <f>'Cap Outlay Deprec 26'!L12</f>
        <v>441693</v>
      </c>
      <c r="C2059" s="2" t="s">
        <v>569</v>
      </c>
      <c r="D2059" s="2" t="str">
        <f t="shared" si="31"/>
        <v>Error?</v>
      </c>
    </row>
    <row r="2060" spans="1:4" x14ac:dyDescent="0.2">
      <c r="A2060" s="5">
        <v>1999</v>
      </c>
      <c r="B2060" s="1832">
        <f>'Cap Outlay Deprec 26'!L13</f>
        <v>94883</v>
      </c>
      <c r="C2060" s="2" t="s">
        <v>569</v>
      </c>
      <c r="D2060" s="2" t="str">
        <f t="shared" si="31"/>
        <v>Error?</v>
      </c>
    </row>
    <row r="2061" spans="1:4" x14ac:dyDescent="0.2">
      <c r="A2061" s="5">
        <v>2000</v>
      </c>
      <c r="B2061" s="1832">
        <f>'Cap Outlay Deprec 26'!L16</f>
        <v>10539971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79061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371112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45106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3663066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3097066</v>
      </c>
      <c r="C2553" s="2" t="s">
        <v>569</v>
      </c>
      <c r="D2553" s="2" t="str">
        <f t="shared" si="38"/>
        <v>Error?</v>
      </c>
    </row>
    <row r="2554" spans="1:4" x14ac:dyDescent="0.2">
      <c r="A2554" s="5">
        <v>2493</v>
      </c>
      <c r="B2554" s="1832">
        <f>'Acct Summary 7-8'!C7</f>
        <v>350355</v>
      </c>
      <c r="C2554" s="2" t="s">
        <v>569</v>
      </c>
      <c r="D2554" s="2" t="str">
        <f t="shared" si="38"/>
        <v>Error?</v>
      </c>
    </row>
    <row r="2555" spans="1:4" x14ac:dyDescent="0.2">
      <c r="A2555" s="5">
        <v>2494</v>
      </c>
      <c r="B2555" s="1832">
        <f>'Acct Summary 7-8'!C8</f>
        <v>7110487</v>
      </c>
      <c r="C2555" s="2" t="s">
        <v>569</v>
      </c>
      <c r="D2555" s="2" t="str">
        <f t="shared" si="38"/>
        <v>Error?</v>
      </c>
    </row>
    <row r="2556" spans="1:4" x14ac:dyDescent="0.2">
      <c r="A2556" s="5">
        <v>2495</v>
      </c>
      <c r="B2556" s="1832">
        <f>'Acct Summary 7-8'!C12</f>
        <v>4163814</v>
      </c>
      <c r="C2556" s="2" t="s">
        <v>569</v>
      </c>
      <c r="D2556" s="2" t="str">
        <f t="shared" si="38"/>
        <v>Error?</v>
      </c>
    </row>
    <row r="2557" spans="1:4" x14ac:dyDescent="0.2">
      <c r="A2557" s="5">
        <v>2496</v>
      </c>
      <c r="B2557" s="1832">
        <f>'Acct Summary 7-8'!C13</f>
        <v>1934854</v>
      </c>
      <c r="C2557" s="2" t="s">
        <v>569</v>
      </c>
      <c r="D2557" s="2" t="str">
        <f t="shared" si="38"/>
        <v>Error?</v>
      </c>
    </row>
    <row r="2558" spans="1:4" x14ac:dyDescent="0.2">
      <c r="A2558" s="5">
        <v>2497</v>
      </c>
      <c r="B2558" s="1832">
        <f>'Acct Summary 7-8'!C14</f>
        <v>89832</v>
      </c>
      <c r="C2558" s="2" t="s">
        <v>569</v>
      </c>
      <c r="D2558" s="2" t="str">
        <f t="shared" si="38"/>
        <v>Error?</v>
      </c>
    </row>
    <row r="2559" spans="1:4" x14ac:dyDescent="0.2">
      <c r="A2559" s="5">
        <v>2498</v>
      </c>
      <c r="B2559" s="1832">
        <f>'Acct Summary 7-8'!C15</f>
        <v>371112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6559612</v>
      </c>
      <c r="C2561" s="2" t="s">
        <v>569</v>
      </c>
      <c r="D2561" s="2" t="str">
        <f t="shared" si="39"/>
        <v>Error?</v>
      </c>
    </row>
    <row r="2562" spans="1:4" x14ac:dyDescent="0.2">
      <c r="A2562" s="5">
        <v>2501</v>
      </c>
      <c r="B2562" s="1832">
        <f>'Acct Summary 7-8'!C20</f>
        <v>550875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304456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354456</v>
      </c>
      <c r="C2568" s="2" t="s">
        <v>569</v>
      </c>
      <c r="D2568" s="2" t="str">
        <f t="shared" si="39"/>
        <v>Error?</v>
      </c>
    </row>
    <row r="2569" spans="1:4" x14ac:dyDescent="0.2">
      <c r="A2569" s="5">
        <v>2508</v>
      </c>
      <c r="B2569" s="1832">
        <f>'Acct Summary 7-8'!D13</f>
        <v>350899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350899</v>
      </c>
      <c r="C2573" s="2" t="s">
        <v>569</v>
      </c>
      <c r="D2573" s="2" t="str">
        <f t="shared" si="39"/>
        <v>Error?</v>
      </c>
    </row>
    <row r="2574" spans="1:4" x14ac:dyDescent="0.2">
      <c r="A2574" s="5">
        <v>2513</v>
      </c>
      <c r="B2574" s="1832">
        <f>'Acct Summary 7-8'!D20</f>
        <v>3557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269618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254556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524174</v>
      </c>
      <c r="C2595" s="2" t="s">
        <v>569</v>
      </c>
      <c r="D2595" s="2" t="str">
        <f t="shared" si="39"/>
        <v>Error?</v>
      </c>
    </row>
    <row r="2596" spans="1:4" x14ac:dyDescent="0.2">
      <c r="A2596" s="5">
        <v>2535</v>
      </c>
      <c r="B2596" s="1832">
        <f>'Acct Summary 7-8'!F13</f>
        <v>456999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456999</v>
      </c>
      <c r="C2600" s="2" t="s">
        <v>569</v>
      </c>
      <c r="D2600" s="2" t="str">
        <f t="shared" si="39"/>
        <v>Error?</v>
      </c>
    </row>
    <row r="2601" spans="1:4" x14ac:dyDescent="0.2">
      <c r="A2601" s="5">
        <v>2540</v>
      </c>
      <c r="B2601" s="1832">
        <f>'Acct Summary 7-8'!F20</f>
        <v>67175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244880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244880</v>
      </c>
      <c r="C2606" s="2" t="s">
        <v>569</v>
      </c>
      <c r="D2606" s="2" t="str">
        <f t="shared" si="39"/>
        <v>Error?</v>
      </c>
    </row>
    <row r="2607" spans="1:4" x14ac:dyDescent="0.2">
      <c r="A2607" s="5">
        <v>2546</v>
      </c>
      <c r="B2607" s="1832">
        <f>'Acct Summary 7-8'!G12</f>
        <v>101167</v>
      </c>
      <c r="C2607" s="2" t="s">
        <v>569</v>
      </c>
      <c r="D2607" s="2" t="str">
        <f t="shared" si="39"/>
        <v>Error?</v>
      </c>
    </row>
    <row r="2608" spans="1:4" x14ac:dyDescent="0.2">
      <c r="A2608" s="5">
        <v>2547</v>
      </c>
      <c r="B2608" s="1832">
        <f>'Acct Summary 7-8'!G13</f>
        <v>102802</v>
      </c>
      <c r="C2608" s="2" t="s">
        <v>569</v>
      </c>
      <c r="D2608" s="2" t="str">
        <f t="shared" si="39"/>
        <v>Error?</v>
      </c>
    </row>
    <row r="2609" spans="1:4" x14ac:dyDescent="0.2">
      <c r="A2609" s="5">
        <v>2548</v>
      </c>
      <c r="B2609" s="1832">
        <f>'Acct Summary 7-8'!G14</f>
        <v>11484</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215453</v>
      </c>
      <c r="C2612" s="2" t="s">
        <v>569</v>
      </c>
      <c r="D2612" s="2" t="str">
        <f t="shared" si="39"/>
        <v>Error?</v>
      </c>
    </row>
    <row r="2613" spans="1:4" x14ac:dyDescent="0.2">
      <c r="A2613" s="5">
        <v>2552</v>
      </c>
      <c r="B2613" s="1832">
        <f>'Acct Summary 7-8'!G20</f>
        <v>29427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456498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456498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451489</v>
      </c>
      <c r="C2634" s="2" t="s">
        <v>569</v>
      </c>
      <c r="D2634" s="2" t="str">
        <f t="shared" si="40"/>
        <v>Error?</v>
      </c>
    </row>
    <row r="2635" spans="1:4" x14ac:dyDescent="0.2">
      <c r="A2635" s="5">
        <v>2574</v>
      </c>
      <c r="B2635" s="1832">
        <f>'Acct Summary 7-8'!E17</f>
        <v>451489</v>
      </c>
      <c r="C2635" s="2" t="s">
        <v>569</v>
      </c>
      <c r="D2635" s="2" t="str">
        <f t="shared" si="40"/>
        <v>Error?</v>
      </c>
    </row>
    <row r="2636" spans="1:4" x14ac:dyDescent="0.2">
      <c r="A2636" s="5">
        <v>2575</v>
      </c>
      <c r="B2636" s="1832">
        <f>'Acct Summary 7-8'!E20</f>
        <v>5009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91</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91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292051</v>
      </c>
      <c r="C2789" s="2" t="s">
        <v>569</v>
      </c>
      <c r="D2789" s="2" t="str">
        <f t="shared" si="42"/>
        <v>Error?</v>
      </c>
    </row>
    <row r="2790" spans="1:4" x14ac:dyDescent="0.2">
      <c r="A2790" s="5">
        <v>2729</v>
      </c>
      <c r="B2790" s="1832">
        <f>'Expenditures 15-22'!E102</f>
        <v>292051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1118809</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1132078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45533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1132078</v>
      </c>
      <c r="D2912" s="2" t="str">
        <f t="shared" si="44"/>
        <v>Error?</v>
      </c>
    </row>
    <row r="2913" spans="1:4" x14ac:dyDescent="0.2">
      <c r="A2913" s="5">
        <v>2852</v>
      </c>
      <c r="B2913" s="1832">
        <f>'Assets-Liab 5-6'!I41</f>
        <v>1132078</v>
      </c>
      <c r="C2913" s="2" t="s">
        <v>569</v>
      </c>
      <c r="D2913" s="2" t="str">
        <f t="shared" si="44"/>
        <v>Error?</v>
      </c>
    </row>
    <row r="2914" spans="1:4" x14ac:dyDescent="0.2">
      <c r="A2914" s="5">
        <v>2853</v>
      </c>
      <c r="B2914" s="1832">
        <f>'Assets-Liab 5-6'!L33</f>
        <v>45533</v>
      </c>
      <c r="D2914" s="2" t="str">
        <f t="shared" si="44"/>
        <v>Error?</v>
      </c>
    </row>
    <row r="2915" spans="1:4" x14ac:dyDescent="0.2">
      <c r="A2915" s="10">
        <v>2854</v>
      </c>
      <c r="B2915" s="1832"/>
      <c r="D2915" s="2" t="str">
        <f t="shared" si="44"/>
        <v>OK</v>
      </c>
    </row>
    <row r="2916" spans="1:4" x14ac:dyDescent="0.2">
      <c r="A2916" s="5">
        <v>2855</v>
      </c>
      <c r="B2916" s="1832">
        <f>'Assets-Liab 5-6'!L34</f>
        <v>45533</v>
      </c>
      <c r="C2916" s="2" t="s">
        <v>569</v>
      </c>
      <c r="D2916" s="2" t="str">
        <f t="shared" si="44"/>
        <v>Error?</v>
      </c>
    </row>
    <row r="2917" spans="1:4" x14ac:dyDescent="0.2">
      <c r="A2917" s="5">
        <v>2856</v>
      </c>
      <c r="B2917" s="1832">
        <f>'Assets-Liab 5-6'!L41</f>
        <v>45533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292051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79061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371112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49389</v>
      </c>
      <c r="D3055" s="2" t="str">
        <f t="shared" si="46"/>
        <v>Error?</v>
      </c>
    </row>
    <row r="3056" spans="1:4" x14ac:dyDescent="0.2">
      <c r="A3056" s="5">
        <v>2995</v>
      </c>
      <c r="B3056" s="1832">
        <f>'Expenditures 15-22'!D10</f>
        <v>5521</v>
      </c>
      <c r="D3056" s="2" t="str">
        <f t="shared" si="46"/>
        <v>Error?</v>
      </c>
    </row>
    <row r="3057" spans="1:4" x14ac:dyDescent="0.2">
      <c r="A3057" s="5">
        <v>2996</v>
      </c>
      <c r="B3057" s="1832">
        <f>'Expenditures 15-22'!E10</f>
        <v>6225</v>
      </c>
      <c r="D3057" s="2" t="str">
        <f t="shared" si="46"/>
        <v>Error?</v>
      </c>
    </row>
    <row r="3058" spans="1:4" x14ac:dyDescent="0.2">
      <c r="A3058" s="5">
        <v>2997</v>
      </c>
      <c r="B3058" s="1832">
        <f>'Expenditures 15-22'!F10</f>
        <v>20736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81871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4797</v>
      </c>
      <c r="D3064" s="2" t="str">
        <f t="shared" si="46"/>
        <v>Error?</v>
      </c>
    </row>
    <row r="3065" spans="1:4" x14ac:dyDescent="0.2">
      <c r="A3065" s="5">
        <v>3004</v>
      </c>
      <c r="B3065" s="1832">
        <f>'Expenditures 15-22'!K219</f>
        <v>4797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21670</v>
      </c>
      <c r="C3225" s="2" t="s">
        <v>569</v>
      </c>
      <c r="D3225" s="2" t="str">
        <f t="shared" si="49"/>
        <v>Error?</v>
      </c>
    </row>
    <row r="3226" spans="1:4" x14ac:dyDescent="0.2">
      <c r="A3226" s="5">
        <v>3165</v>
      </c>
      <c r="B3226" s="1832">
        <f>'Acct Summary 7-8'!I8</f>
        <v>21670</v>
      </c>
      <c r="C3226" s="2" t="s">
        <v>569</v>
      </c>
      <c r="D3226" s="2" t="str">
        <f t="shared" si="49"/>
        <v>Error?</v>
      </c>
    </row>
    <row r="3227" spans="1:4" x14ac:dyDescent="0.2">
      <c r="A3227" s="5">
        <v>3166</v>
      </c>
      <c r="B3227" s="1832">
        <f>'Acct Summary 7-8'!I20</f>
        <v>21670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20000</v>
      </c>
      <c r="C3232" s="2" t="s">
        <v>569</v>
      </c>
      <c r="D3232" s="2" t="str">
        <f t="shared" si="49"/>
        <v>Error?</v>
      </c>
    </row>
    <row r="3233" spans="1:4" x14ac:dyDescent="0.2">
      <c r="A3233" s="5">
        <v>3172</v>
      </c>
      <c r="B3233" s="1832">
        <f>'Acct Summary 7-8'!C78</f>
        <v>570875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250000</v>
      </c>
      <c r="C3237" s="2" t="s">
        <v>569</v>
      </c>
      <c r="D3237" s="2" t="str">
        <f t="shared" si="49"/>
        <v>Error?</v>
      </c>
    </row>
    <row r="3238" spans="1:4" x14ac:dyDescent="0.2">
      <c r="A3238" s="5">
        <v>3177</v>
      </c>
      <c r="B3238" s="1832">
        <f>'Acct Summary 7-8'!D77</f>
        <v>-250000</v>
      </c>
      <c r="C3238" s="2" t="s">
        <v>569</v>
      </c>
      <c r="D3238" s="2" t="str">
        <f t="shared" si="49"/>
        <v>Error?</v>
      </c>
    </row>
    <row r="3239" spans="1:4" x14ac:dyDescent="0.2">
      <c r="A3239" s="5">
        <v>3178</v>
      </c>
      <c r="B3239" s="1832">
        <f>'Acct Summary 7-8'!D78</f>
        <v>-246443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250000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250000</v>
      </c>
      <c r="C3255" s="2" t="s">
        <v>569</v>
      </c>
      <c r="D3255" s="2" t="str">
        <f t="shared" si="49"/>
        <v>Error?</v>
      </c>
    </row>
    <row r="3256" spans="1:4" x14ac:dyDescent="0.2">
      <c r="A3256" s="5">
        <v>3195</v>
      </c>
      <c r="B3256" s="1832">
        <f>'Acct Summary 7-8'!F78</f>
        <v>317175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29427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5009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91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20000</v>
      </c>
      <c r="C3318" s="2" t="s">
        <v>569</v>
      </c>
      <c r="D3318" s="2" t="str">
        <f t="shared" si="50"/>
        <v>Error?</v>
      </c>
    </row>
    <row r="3319" spans="1:4" x14ac:dyDescent="0.2">
      <c r="A3319" s="5">
        <v>3258</v>
      </c>
      <c r="B3319" s="1832">
        <f>'Acct Summary 7-8'!I77</f>
        <v>-20000</v>
      </c>
      <c r="C3319" s="2" t="s">
        <v>569</v>
      </c>
      <c r="D3319" s="2" t="str">
        <f t="shared" si="50"/>
        <v>Error?</v>
      </c>
    </row>
    <row r="3320" spans="1:4" x14ac:dyDescent="0.2">
      <c r="A3320" s="5">
        <v>3259</v>
      </c>
      <c r="B3320" s="1832">
        <f>'Acct Summary 7-8'!I78</f>
        <v>1670</v>
      </c>
      <c r="C3320" s="2" t="s">
        <v>569</v>
      </c>
      <c r="D3320" s="2" t="str">
        <f t="shared" si="50"/>
        <v>Error?</v>
      </c>
    </row>
    <row r="3321" spans="1:4" x14ac:dyDescent="0.2">
      <c r="A3321" s="5">
        <v>3260</v>
      </c>
      <c r="B3321" s="1832">
        <f>'Acct Summary 7-8'!I79</f>
        <v>1130408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1132078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689029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152005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1008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892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842934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30756</v>
      </c>
      <c r="D3387" s="2" t="str">
        <f t="shared" si="51"/>
        <v>Error?</v>
      </c>
    </row>
    <row r="3388" spans="1:4" x14ac:dyDescent="0.2">
      <c r="A3388" s="5">
        <v>3327</v>
      </c>
      <c r="B3388" s="1832">
        <f>'Expenditures 15-22'!D217</f>
        <v>59510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30756</v>
      </c>
      <c r="C3390" s="2" t="s">
        <v>569</v>
      </c>
      <c r="D3390" s="2" t="str">
        <f t="shared" si="51"/>
        <v>Error?</v>
      </c>
    </row>
    <row r="3391" spans="1:4" x14ac:dyDescent="0.2">
      <c r="A3391" s="5">
        <v>3330</v>
      </c>
      <c r="B3391" s="1832">
        <f>'Expenditures 15-22'!K217</f>
        <v>59510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836101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287940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3231</v>
      </c>
      <c r="D3417" s="2" t="str">
        <f t="shared" si="52"/>
        <v>Error?</v>
      </c>
    </row>
    <row r="3418" spans="1:4" x14ac:dyDescent="0.2">
      <c r="A3418" s="10">
        <v>3357</v>
      </c>
      <c r="B3418" s="1832"/>
      <c r="D3418" s="2" t="str">
        <f t="shared" si="52"/>
        <v>OK</v>
      </c>
    </row>
    <row r="3419" spans="1:4" x14ac:dyDescent="0.2">
      <c r="A3419" s="5">
        <v>3358</v>
      </c>
      <c r="B3419" s="1832">
        <f>'Assets-Liab 5-6'!F4</f>
        <v>161501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52907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8003</v>
      </c>
      <c r="D3425" s="2" t="str">
        <f t="shared" si="52"/>
        <v>Error?</v>
      </c>
    </row>
    <row r="3426" spans="1:4" x14ac:dyDescent="0.2">
      <c r="A3426" s="10">
        <v>3365</v>
      </c>
      <c r="B3426" s="1832"/>
      <c r="D3426" s="2" t="str">
        <f t="shared" si="52"/>
        <v>OK</v>
      </c>
    </row>
    <row r="3427" spans="1:4" x14ac:dyDescent="0.2">
      <c r="A3427" s="5">
        <v>3366</v>
      </c>
      <c r="B3427" s="1832">
        <f>'Assets-Liab 5-6'!I4</f>
        <v>13269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45533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143289</v>
      </c>
      <c r="C3446" s="2" t="s">
        <v>569</v>
      </c>
      <c r="D3446" s="2" t="str">
        <f t="shared" si="52"/>
        <v>Error?</v>
      </c>
    </row>
    <row r="3447" spans="1:4" x14ac:dyDescent="0.2">
      <c r="A3447" s="5">
        <v>3386</v>
      </c>
      <c r="B3447" s="1832">
        <f>'Tax Sched 23'!D16</f>
        <v>143289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146123</v>
      </c>
      <c r="C3449" s="2" t="s">
        <v>569</v>
      </c>
      <c r="D3449" s="2" t="str">
        <f t="shared" si="52"/>
        <v>Error?</v>
      </c>
    </row>
    <row r="3450" spans="1:4" x14ac:dyDescent="0.2">
      <c r="A3450" s="5">
        <v>3389</v>
      </c>
      <c r="B3450" s="1832">
        <f>'Tax Sched 23'!E16</f>
        <v>146123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40829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153520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194349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194349</v>
      </c>
      <c r="D3567" s="2" t="str">
        <f t="shared" si="54"/>
        <v>Error?</v>
      </c>
    </row>
    <row r="3568" spans="1:4" x14ac:dyDescent="0.2">
      <c r="A3568" s="5">
        <v>3507</v>
      </c>
      <c r="B3568" s="1832">
        <f>'Assets-Liab 5-6'!K41</f>
        <v>194349</v>
      </c>
      <c r="C3568" s="2" t="s">
        <v>569</v>
      </c>
      <c r="D3568" s="2" t="str">
        <f t="shared" si="54"/>
        <v>Error?</v>
      </c>
    </row>
    <row r="3569" spans="1:4" x14ac:dyDescent="0.2">
      <c r="A3569" s="5">
        <v>3508</v>
      </c>
      <c r="B3569" s="1832">
        <f>'Acct Summary 7-8'!K4</f>
        <v>32083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32083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32083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32083</v>
      </c>
      <c r="C3588" s="2" t="s">
        <v>569</v>
      </c>
      <c r="D3588" s="2" t="str">
        <f t="shared" si="55"/>
        <v>Error?</v>
      </c>
    </row>
    <row r="3589" spans="1:4" x14ac:dyDescent="0.2">
      <c r="A3589" s="5">
        <v>3528</v>
      </c>
      <c r="B3589" s="1832">
        <f>'Acct Summary 7-8'!K79</f>
        <v>162266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194349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32083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2164</v>
      </c>
      <c r="C3725" s="2" t="s">
        <v>569</v>
      </c>
      <c r="D3725" s="2" t="str">
        <f t="shared" si="57"/>
        <v>Error?</v>
      </c>
    </row>
    <row r="3726" spans="1:4" x14ac:dyDescent="0.2">
      <c r="A3726" s="5">
        <v>3665</v>
      </c>
      <c r="B3726" s="1832">
        <f>'Tax Sched 23'!D13</f>
        <v>2164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2254</v>
      </c>
      <c r="C3728" s="2" t="s">
        <v>569</v>
      </c>
      <c r="D3728" s="2" t="str">
        <f t="shared" si="57"/>
        <v>Error?</v>
      </c>
    </row>
    <row r="3729" spans="1:4" x14ac:dyDescent="0.2">
      <c r="A3729" s="5">
        <v>3668</v>
      </c>
      <c r="B3729" s="1832">
        <f>'Tax Sched 23'!E13</f>
        <v>2254</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2792200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9902687</v>
      </c>
      <c r="C4122" s="2" t="s">
        <v>569</v>
      </c>
      <c r="D4122" s="2" t="str">
        <f t="shared" si="63"/>
        <v>Error?</v>
      </c>
    </row>
    <row r="4123" spans="1:4" x14ac:dyDescent="0.2">
      <c r="A4123" s="5">
        <v>4062</v>
      </c>
      <c r="B4123" s="1832">
        <f>'Acct Summary 7-8'!D10</f>
        <v>354456</v>
      </c>
      <c r="C4123" s="2" t="s">
        <v>569</v>
      </c>
      <c r="D4123" s="2" t="str">
        <f t="shared" si="63"/>
        <v>Error?</v>
      </c>
    </row>
    <row r="4124" spans="1:4" x14ac:dyDescent="0.2">
      <c r="A4124" s="5">
        <v>4063</v>
      </c>
      <c r="B4124" s="1832">
        <f>'Acct Summary 7-8'!E10</f>
        <v>456498</v>
      </c>
      <c r="C4124" s="2" t="s">
        <v>569</v>
      </c>
      <c r="D4124" s="2" t="str">
        <f t="shared" si="63"/>
        <v>Error?</v>
      </c>
    </row>
    <row r="4125" spans="1:4" x14ac:dyDescent="0.2">
      <c r="A4125" s="5">
        <v>4064</v>
      </c>
      <c r="B4125" s="1832">
        <f>'Acct Summary 7-8'!F10</f>
        <v>524174</v>
      </c>
      <c r="C4125" s="2" t="s">
        <v>569</v>
      </c>
      <c r="D4125" s="2" t="str">
        <f t="shared" si="63"/>
        <v>Error?</v>
      </c>
    </row>
    <row r="4126" spans="1:4" x14ac:dyDescent="0.2">
      <c r="A4126" s="5">
        <v>4065</v>
      </c>
      <c r="B4126" s="1832">
        <f>'Acct Summary 7-8'!G10</f>
        <v>244880</v>
      </c>
      <c r="C4126" s="2" t="s">
        <v>569</v>
      </c>
      <c r="D4126" s="2" t="str">
        <f t="shared" si="63"/>
        <v>Error?</v>
      </c>
    </row>
    <row r="4127" spans="1:4" x14ac:dyDescent="0.2">
      <c r="A4127" s="5">
        <v>4066</v>
      </c>
      <c r="B4127" s="1832">
        <f>'Acct Summary 7-8'!H10</f>
        <v>91</v>
      </c>
      <c r="C4127" s="2" t="s">
        <v>569</v>
      </c>
      <c r="D4127" s="2" t="str">
        <f t="shared" si="63"/>
        <v>Error?</v>
      </c>
    </row>
    <row r="4128" spans="1:4" x14ac:dyDescent="0.2">
      <c r="A4128" s="5">
        <v>4067</v>
      </c>
      <c r="B4128" s="1832">
        <f>'Acct Summary 7-8'!I10</f>
        <v>21670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32083</v>
      </c>
      <c r="C4130" s="2" t="s">
        <v>569</v>
      </c>
      <c r="D4130" s="2" t="str">
        <f t="shared" si="63"/>
        <v>Error?</v>
      </c>
    </row>
    <row r="4131" spans="1:4" x14ac:dyDescent="0.2">
      <c r="A4131" s="5">
        <v>4070</v>
      </c>
      <c r="B4131" s="1832">
        <f>'Acct Summary 7-8'!C18</f>
        <v>2792200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9351812</v>
      </c>
      <c r="C4136" s="2" t="s">
        <v>569</v>
      </c>
      <c r="D4136" s="2" t="str">
        <f t="shared" si="63"/>
        <v>Error?</v>
      </c>
    </row>
    <row r="4137" spans="1:4" x14ac:dyDescent="0.2">
      <c r="A4137" s="5">
        <v>4076</v>
      </c>
      <c r="B4137" s="1832">
        <f>'Acct Summary 7-8'!D19</f>
        <v>350899</v>
      </c>
      <c r="C4137" s="2" t="s">
        <v>569</v>
      </c>
      <c r="D4137" s="2" t="str">
        <f t="shared" si="63"/>
        <v>Error?</v>
      </c>
    </row>
    <row r="4138" spans="1:4" x14ac:dyDescent="0.2">
      <c r="A4138" s="5">
        <v>4077</v>
      </c>
      <c r="B4138" s="1832">
        <f>'Acct Summary 7-8'!E19</f>
        <v>451489</v>
      </c>
      <c r="C4138" s="2" t="s">
        <v>569</v>
      </c>
      <c r="D4138" s="2" t="str">
        <f t="shared" si="63"/>
        <v>Error?</v>
      </c>
    </row>
    <row r="4139" spans="1:4" x14ac:dyDescent="0.2">
      <c r="A4139" s="5">
        <v>4078</v>
      </c>
      <c r="B4139" s="1832">
        <f>'Acct Summary 7-8'!F19</f>
        <v>456999</v>
      </c>
      <c r="C4139" s="2" t="s">
        <v>569</v>
      </c>
      <c r="D4139" s="2" t="str">
        <f t="shared" si="63"/>
        <v>Error?</v>
      </c>
    </row>
    <row r="4140" spans="1:4" x14ac:dyDescent="0.2">
      <c r="A4140" s="5">
        <v>4079</v>
      </c>
      <c r="B4140" s="1832">
        <f>'Acct Summary 7-8'!G19</f>
        <v>215453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2965000</v>
      </c>
      <c r="C4171" s="2" t="s">
        <v>569</v>
      </c>
      <c r="D4171" s="2" t="str">
        <f t="shared" si="64"/>
        <v>Error?</v>
      </c>
    </row>
    <row r="4172" spans="1:4" x14ac:dyDescent="0.2">
      <c r="A4172" s="5">
        <v>4111</v>
      </c>
      <c r="B4172" s="1832">
        <f>'Short-Term Long-Term Debt 24'!J49</f>
        <v>2919310</v>
      </c>
      <c r="C4172" s="2" t="s">
        <v>569</v>
      </c>
      <c r="D4172" s="2" t="str">
        <f t="shared" si="64"/>
        <v>Error?</v>
      </c>
    </row>
    <row r="4173" spans="1:4" x14ac:dyDescent="0.2">
      <c r="A4173" s="5">
        <v>4112</v>
      </c>
      <c r="B4173" s="1832">
        <f>'Short-Term Long-Term Debt 24'!H49</f>
        <v>365000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2050.4299999999998</v>
      </c>
      <c r="C4265" s="2" t="s">
        <v>569</v>
      </c>
      <c r="D4265" s="2" t="str">
        <f t="shared" si="65"/>
        <v>Error?</v>
      </c>
      <c r="E4265" s="125"/>
    </row>
    <row r="4266" spans="1:5" x14ac:dyDescent="0.2">
      <c r="A4266" s="12">
        <v>4205</v>
      </c>
      <c r="B4266" s="1832">
        <f>('FP Info 3'!F10)*100000</f>
        <v>164.05</v>
      </c>
      <c r="C4266" s="2" t="s">
        <v>569</v>
      </c>
      <c r="D4266" s="2" t="str">
        <f t="shared" si="65"/>
        <v>Error?</v>
      </c>
      <c r="E4266" s="125"/>
    </row>
    <row r="4267" spans="1:5" x14ac:dyDescent="0.2">
      <c r="A4267" s="12">
        <v>4206</v>
      </c>
      <c r="B4267" s="1832">
        <f>('FP Info 3'!H10)*100000</f>
        <v>195.6</v>
      </c>
      <c r="C4267" s="2" t="s">
        <v>569</v>
      </c>
      <c r="D4267" s="2" t="str">
        <f t="shared" si="65"/>
        <v>Error?</v>
      </c>
      <c r="E4267" s="125"/>
    </row>
    <row r="4268" spans="1:5" x14ac:dyDescent="0.2">
      <c r="A4268" s="12">
        <v>4207</v>
      </c>
      <c r="B4268" s="1832">
        <f>('FP Info 3'!J10)*100000</f>
        <v>2410</v>
      </c>
      <c r="C4268" s="2" t="s">
        <v>569</v>
      </c>
      <c r="D4268" s="2" t="str">
        <f t="shared" si="65"/>
        <v>Error?</v>
      </c>
    </row>
    <row r="4269" spans="1:5" x14ac:dyDescent="0.2">
      <c r="A4269" s="12">
        <v>4208</v>
      </c>
      <c r="B4269" s="1832">
        <f>'FP Info 3'!J16</f>
        <v>5478801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13080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13565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13687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2.85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154382228</v>
      </c>
      <c r="D4995" s="2" t="str">
        <f t="shared" si="77"/>
        <v>Error?</v>
      </c>
    </row>
    <row r="4996" spans="1:4" x14ac:dyDescent="0.2">
      <c r="A4996" s="12">
        <v>4935</v>
      </c>
      <c r="B4996" s="1832">
        <f>'FP Info 3'!H31</f>
        <v>10652373.732000001</v>
      </c>
      <c r="D4996" s="2" t="str">
        <f t="shared" si="77"/>
        <v>Error?</v>
      </c>
    </row>
    <row r="4997" spans="1:4" x14ac:dyDescent="0.2">
      <c r="A4997" s="12">
        <v>4936</v>
      </c>
      <c r="B4997" s="1832">
        <f>'FP Info 3'!H37</f>
        <v>2965000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250000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250000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2164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3132446</v>
      </c>
      <c r="D5061" s="2" t="str">
        <f t="shared" si="78"/>
        <v>Error?</v>
      </c>
    </row>
    <row r="5062" spans="1:4" x14ac:dyDescent="0.2">
      <c r="A5062" s="10">
        <v>5001</v>
      </c>
      <c r="B5062" s="1832"/>
      <c r="D5062" s="2" t="str">
        <f t="shared" si="78"/>
        <v>OK</v>
      </c>
    </row>
    <row r="5063" spans="1:4" x14ac:dyDescent="0.2">
      <c r="A5063" s="5">
        <v>5002</v>
      </c>
      <c r="B5063" s="1832">
        <f>'Revenues 9-14'!C7</f>
        <v>32182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3166792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16460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92421</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73297</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182178</v>
      </c>
      <c r="C5087" s="2" t="s">
        <v>569</v>
      </c>
      <c r="D5087" s="2" t="str">
        <f t="shared" si="78"/>
        <v>Error?</v>
      </c>
    </row>
    <row r="5088" spans="1:4" x14ac:dyDescent="0.2">
      <c r="A5088" s="5">
        <v>5027</v>
      </c>
      <c r="B5088" s="1832">
        <f>'Revenues 9-14'!C65</f>
        <v>52117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52117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93988</v>
      </c>
      <c r="C5096" s="2" t="s">
        <v>569</v>
      </c>
      <c r="D5096" s="2" t="str">
        <f t="shared" si="78"/>
        <v>Error?</v>
      </c>
    </row>
    <row r="5097" spans="1:4" x14ac:dyDescent="0.2">
      <c r="A5097" s="5">
        <v>5036</v>
      </c>
      <c r="B5097" s="1832">
        <f>'Revenues 9-14'!C77</f>
        <v>8697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12545</v>
      </c>
      <c r="D5101" s="2" t="str">
        <f t="shared" si="78"/>
        <v>Error?</v>
      </c>
    </row>
    <row r="5102" spans="1:4" x14ac:dyDescent="0.2">
      <c r="A5102" s="5">
        <v>5041</v>
      </c>
      <c r="B5102" s="1832">
        <f>'Revenues 9-14'!C82</f>
        <v>21242</v>
      </c>
      <c r="C5102" s="2" t="s">
        <v>569</v>
      </c>
      <c r="D5102" s="2" t="str">
        <f t="shared" si="78"/>
        <v>Error?</v>
      </c>
    </row>
    <row r="5103" spans="1:4" x14ac:dyDescent="0.2">
      <c r="A5103" s="5">
        <v>5042</v>
      </c>
      <c r="B5103" s="1832">
        <f>'Revenues 9-14'!C84</f>
        <v>81487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81487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2404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45703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17155</v>
      </c>
      <c r="D5119" s="2" t="str">
        <f t="shared" ref="D5119:D5182" si="79">IF(ISBLANK(B5119),"OK",IF(A5119-B5119=0,"OK","Error?"))</f>
        <v>Error?</v>
      </c>
    </row>
    <row r="5120" spans="1:4" x14ac:dyDescent="0.2">
      <c r="A5120" s="5">
        <v>5059</v>
      </c>
      <c r="B5120" s="1832">
        <f>'Revenues 9-14'!C108</f>
        <v>65262</v>
      </c>
      <c r="C5120" s="2" t="s">
        <v>569</v>
      </c>
      <c r="D5120" s="2" t="str">
        <f t="shared" si="79"/>
        <v>Error?</v>
      </c>
    </row>
    <row r="5121" spans="1:4" x14ac:dyDescent="0.2">
      <c r="A5121" s="5">
        <v>5060</v>
      </c>
      <c r="B5121" s="1832">
        <f>'Revenues 9-14'!C109</f>
        <v>3663066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3012859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3012859</v>
      </c>
      <c r="C5132" s="2" t="s">
        <v>569</v>
      </c>
      <c r="D5132" s="2" t="str">
        <f t="shared" si="79"/>
        <v>Error?</v>
      </c>
    </row>
    <row r="5133" spans="1:4" x14ac:dyDescent="0.2">
      <c r="A5133" s="5">
        <v>5072</v>
      </c>
      <c r="B5133" s="1832">
        <f>'Revenues 9-14'!C125</f>
        <v>77141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5727</v>
      </c>
      <c r="D5137" s="2" t="str">
        <f t="shared" si="79"/>
        <v>Error?</v>
      </c>
    </row>
    <row r="5138" spans="1:4" x14ac:dyDescent="0.2">
      <c r="A5138" s="10">
        <v>5077</v>
      </c>
      <c r="B5138" s="1832"/>
      <c r="D5138" s="2" t="str">
        <f t="shared" si="79"/>
        <v>OK</v>
      </c>
    </row>
    <row r="5139" spans="1:4" x14ac:dyDescent="0.2">
      <c r="A5139" s="5">
        <v>5078</v>
      </c>
      <c r="B5139" s="1832">
        <f>'Revenues 9-14'!C129</f>
        <v>454</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83322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885</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84207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3097066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73276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40057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113333</v>
      </c>
      <c r="C5246" s="2" t="s">
        <v>569</v>
      </c>
      <c r="D5246" s="2" t="str">
        <f t="shared" si="80"/>
        <v>Error?</v>
      </c>
    </row>
    <row r="5247" spans="1:4" x14ac:dyDescent="0.2">
      <c r="A5247" s="5">
        <v>5186</v>
      </c>
      <c r="B5247" s="1832">
        <f>'Revenues 9-14'!C200</f>
        <v>73626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73626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25675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97389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123064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350355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350355</v>
      </c>
      <c r="C5326" s="2" t="s">
        <v>569</v>
      </c>
      <c r="D5326" s="2" t="str">
        <f t="shared" si="82"/>
        <v>Error?</v>
      </c>
    </row>
    <row r="5327" spans="1:5" x14ac:dyDescent="0.2">
      <c r="A5327" s="5">
        <v>5266</v>
      </c>
      <c r="B5327" s="1832">
        <f>'Revenues 9-14'!C268</f>
        <v>7110487</v>
      </c>
      <c r="C5327" s="2" t="s">
        <v>569</v>
      </c>
      <c r="D5327" s="2" t="str">
        <f t="shared" si="82"/>
        <v>Error?</v>
      </c>
    </row>
    <row r="5328" spans="1:5" x14ac:dyDescent="0.2">
      <c r="A5328" s="5">
        <v>5267</v>
      </c>
      <c r="B5328" s="1832">
        <f>'Revenues 9-14'!D5</f>
        <v>243678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243678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38834</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38834</v>
      </c>
      <c r="C5339" s="2" t="s">
        <v>569</v>
      </c>
      <c r="D5339" s="2" t="str">
        <f t="shared" si="82"/>
        <v>Error?</v>
      </c>
    </row>
    <row r="5340" spans="1:4" x14ac:dyDescent="0.2">
      <c r="A5340" s="5">
        <v>5279</v>
      </c>
      <c r="B5340" s="1832">
        <f>'Revenues 9-14'!D65</f>
        <v>19494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19494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2450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2450</v>
      </c>
      <c r="C5355" s="2" t="s">
        <v>569</v>
      </c>
      <c r="D5355" s="2" t="str">
        <f t="shared" si="82"/>
        <v>Error?</v>
      </c>
    </row>
    <row r="5356" spans="1:4" x14ac:dyDescent="0.2">
      <c r="A5356" s="5">
        <v>5295</v>
      </c>
      <c r="B5356" s="1832">
        <f>'Revenues 9-14'!D109</f>
        <v>304456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354456</v>
      </c>
      <c r="C5508" s="2" t="s">
        <v>569</v>
      </c>
      <c r="D5508" s="2" t="str">
        <f t="shared" si="85"/>
        <v>Error?</v>
      </c>
    </row>
    <row r="5509" spans="1:4" x14ac:dyDescent="0.2">
      <c r="A5509" s="5">
        <v>5448</v>
      </c>
      <c r="B5509" s="1832">
        <f>'Revenues 9-14'!E5</f>
        <v>453859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453859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2639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2639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456498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456498</v>
      </c>
      <c r="C5552" s="2" t="s">
        <v>569</v>
      </c>
      <c r="D5552" s="2" t="str">
        <f t="shared" si="85"/>
        <v>Error?</v>
      </c>
    </row>
    <row r="5553" spans="1:4" x14ac:dyDescent="0.2">
      <c r="A5553" s="5">
        <v>5492</v>
      </c>
      <c r="B5553" s="1832">
        <f>'Revenues 9-14'!F5</f>
        <v>263363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263363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6255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6255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269618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72957</v>
      </c>
      <c r="D5615" s="2" t="str">
        <f t="shared" si="86"/>
        <v>Error?</v>
      </c>
    </row>
    <row r="5616" spans="1:4" x14ac:dyDescent="0.2">
      <c r="A5616" s="10">
        <v>5555</v>
      </c>
      <c r="B5616" s="1832"/>
      <c r="D5616" s="2" t="str">
        <f t="shared" si="86"/>
        <v>OK</v>
      </c>
    </row>
    <row r="5617" spans="1:5" x14ac:dyDescent="0.2">
      <c r="A5617" s="5">
        <v>5556</v>
      </c>
      <c r="B5617" s="1832">
        <f>'Revenues 9-14'!F153</f>
        <v>181599</v>
      </c>
      <c r="D5617" s="2" t="str">
        <f t="shared" si="86"/>
        <v>Error?</v>
      </c>
    </row>
    <row r="5618" spans="1:5" x14ac:dyDescent="0.2">
      <c r="A5618" s="5">
        <v>5557</v>
      </c>
      <c r="B5618" s="1832">
        <f>'Revenues 9-14'!F155</f>
        <v>254556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254556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254556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524174</v>
      </c>
      <c r="C5720" s="2" t="s">
        <v>569</v>
      </c>
      <c r="D5720" s="2" t="str">
        <f t="shared" si="88"/>
        <v>Error?</v>
      </c>
    </row>
    <row r="5721" spans="1:4" x14ac:dyDescent="0.2">
      <c r="A5721" s="5">
        <v>5660</v>
      </c>
      <c r="B5721" s="1832">
        <f>'Revenues 9-14'!G5</f>
        <v>39002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143289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182291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58251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58251</v>
      </c>
      <c r="C5730" s="2" t="s">
        <v>569</v>
      </c>
      <c r="D5730" s="2" t="str">
        <f t="shared" si="88"/>
        <v>Error?</v>
      </c>
    </row>
    <row r="5731" spans="1:4" x14ac:dyDescent="0.2">
      <c r="A5731" s="5">
        <v>5670</v>
      </c>
      <c r="B5731" s="1832">
        <f>'Revenues 9-14'!G65</f>
        <v>4338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4338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244880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91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91</v>
      </c>
      <c r="C5915" s="2" t="s">
        <v>569</v>
      </c>
      <c r="D5915" s="2" t="str">
        <f t="shared" si="91"/>
        <v>Error?</v>
      </c>
    </row>
    <row r="5916" spans="1:4" x14ac:dyDescent="0.2">
      <c r="A5916" s="5">
        <v>5855</v>
      </c>
      <c r="B5916" s="1832">
        <f>'Revenues 9-14'!I5</f>
        <v>4017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4017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17653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17653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21670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29269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29269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2814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2814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32083</v>
      </c>
      <c r="C6023" s="2" t="s">
        <v>569</v>
      </c>
      <c r="D6023" s="2" t="str">
        <f t="shared" si="93"/>
        <v>Error?</v>
      </c>
    </row>
    <row r="6024" spans="1:5" x14ac:dyDescent="0.2">
      <c r="A6024" s="5">
        <v>5963</v>
      </c>
      <c r="B6024" s="1832">
        <f>'Revenues 9-14'!G109</f>
        <v>244880</v>
      </c>
      <c r="C6024" s="2" t="s">
        <v>569</v>
      </c>
      <c r="D6024" s="2" t="str">
        <f t="shared" si="93"/>
        <v>Error?</v>
      </c>
    </row>
    <row r="6025" spans="1:5" x14ac:dyDescent="0.2">
      <c r="A6025" s="5">
        <v>5964</v>
      </c>
      <c r="B6025" s="1832">
        <f>'Revenues 9-14'!H109</f>
        <v>91</v>
      </c>
      <c r="C6025" s="2" t="s">
        <v>569</v>
      </c>
      <c r="D6025" s="2" t="str">
        <f t="shared" si="93"/>
        <v>Error?</v>
      </c>
    </row>
    <row r="6026" spans="1:5" x14ac:dyDescent="0.2">
      <c r="A6026" s="5">
        <v>5965</v>
      </c>
      <c r="B6026" s="1832">
        <f>'Revenues 9-14'!I109</f>
        <v>21670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32083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93984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18157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920.9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21485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21485</v>
      </c>
      <c r="D6215" s="2" t="str">
        <f t="shared" si="96"/>
        <v>Error?</v>
      </c>
      <c r="E6215" s="2" t="s">
        <v>189</v>
      </c>
    </row>
    <row r="6216" spans="1:5" x14ac:dyDescent="0.2">
      <c r="A6216">
        <v>6155</v>
      </c>
      <c r="B6216" s="1832">
        <f>'Assets-Liab 5-6'!J41</f>
        <v>21485</v>
      </c>
      <c r="D6216" s="2" t="str">
        <f t="shared" si="96"/>
        <v>Error?</v>
      </c>
      <c r="E6216" s="2" t="s">
        <v>189</v>
      </c>
    </row>
    <row r="6217" spans="1:5" x14ac:dyDescent="0.2">
      <c r="A6217">
        <v>6156</v>
      </c>
      <c r="B6217" s="1832">
        <f>'Assets-Liab 5-6'!J4</f>
        <v>21485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37637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37637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37637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34560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34560</v>
      </c>
      <c r="D6229" s="2" t="str">
        <f t="shared" si="96"/>
        <v>Error?</v>
      </c>
      <c r="E6229" s="2" t="s">
        <v>189</v>
      </c>
    </row>
    <row r="6230" spans="1:5" x14ac:dyDescent="0.2">
      <c r="A6230">
        <v>6169</v>
      </c>
      <c r="B6230" s="1832">
        <f>'Acct Summary 7-8'!J20</f>
        <v>3077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3077</v>
      </c>
      <c r="D6263" s="2" t="str">
        <f t="shared" si="96"/>
        <v>Error?</v>
      </c>
      <c r="E6263" s="2" t="s">
        <v>189</v>
      </c>
    </row>
    <row r="6264" spans="1:5" x14ac:dyDescent="0.2">
      <c r="A6264">
        <v>6203</v>
      </c>
      <c r="B6264" s="1832">
        <f>'Acct Summary 7-8'!J79</f>
        <v>18408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21485</v>
      </c>
      <c r="D6266" s="2" t="str">
        <f t="shared" si="96"/>
        <v>Error?</v>
      </c>
      <c r="E6266" s="2" t="s">
        <v>189</v>
      </c>
    </row>
    <row r="6267" spans="1:5" x14ac:dyDescent="0.2">
      <c r="A6267">
        <v>6206</v>
      </c>
      <c r="B6267" s="1832">
        <f>'Acct Summary 7-8'!C82</f>
        <v>570875</v>
      </c>
      <c r="D6267" s="2" t="str">
        <f t="shared" si="96"/>
        <v>Error?</v>
      </c>
      <c r="E6267" s="2" t="s">
        <v>189</v>
      </c>
    </row>
    <row r="6268" spans="1:5" x14ac:dyDescent="0.2">
      <c r="A6268">
        <v>6207</v>
      </c>
      <c r="B6268" s="1832">
        <f>'Acct Summary 7-8'!D82</f>
        <v>-246443</v>
      </c>
      <c r="D6268" s="2" t="str">
        <f t="shared" si="96"/>
        <v>Error?</v>
      </c>
      <c r="E6268" s="2" t="s">
        <v>189</v>
      </c>
    </row>
    <row r="6269" spans="1:5" x14ac:dyDescent="0.2">
      <c r="A6269">
        <v>6208</v>
      </c>
      <c r="B6269" s="1832">
        <f>'Acct Summary 7-8'!E82</f>
        <v>5009</v>
      </c>
      <c r="D6269" s="2" t="str">
        <f t="shared" si="96"/>
        <v>Error?</v>
      </c>
      <c r="E6269" s="2" t="s">
        <v>189</v>
      </c>
    </row>
    <row r="6270" spans="1:5" x14ac:dyDescent="0.2">
      <c r="A6270">
        <v>6209</v>
      </c>
      <c r="B6270" s="1832">
        <f>'Acct Summary 7-8'!F82</f>
        <v>317175</v>
      </c>
      <c r="D6270" s="2" t="str">
        <f t="shared" si="96"/>
        <v>Error?</v>
      </c>
      <c r="E6270" s="2" t="s">
        <v>189</v>
      </c>
    </row>
    <row r="6271" spans="1:5" x14ac:dyDescent="0.2">
      <c r="A6271">
        <v>6210</v>
      </c>
      <c r="B6271" s="1832">
        <f>'Acct Summary 7-8'!G82</f>
        <v>29427</v>
      </c>
      <c r="D6271" s="2" t="str">
        <f t="shared" ref="D6271:D6334" si="97">IF(ISBLANK(B6271),"OK",IF(A6271-B6271=0,"OK","Error?"))</f>
        <v>Error?</v>
      </c>
      <c r="E6271" s="2" t="s">
        <v>189</v>
      </c>
    </row>
    <row r="6272" spans="1:5" x14ac:dyDescent="0.2">
      <c r="A6272">
        <v>6211</v>
      </c>
      <c r="B6272" s="1832">
        <f>'Acct Summary 7-8'!H82</f>
        <v>91</v>
      </c>
      <c r="D6272" s="2" t="str">
        <f t="shared" si="97"/>
        <v>Error?</v>
      </c>
      <c r="E6272" s="2" t="s">
        <v>189</v>
      </c>
    </row>
    <row r="6273" spans="1:5" x14ac:dyDescent="0.2">
      <c r="A6273">
        <v>6212</v>
      </c>
      <c r="B6273" s="1832">
        <f>'Acct Summary 7-8'!I82</f>
        <v>1670</v>
      </c>
      <c r="D6273" s="2" t="str">
        <f t="shared" si="97"/>
        <v>Error?</v>
      </c>
      <c r="E6273" s="2" t="s">
        <v>189</v>
      </c>
    </row>
    <row r="6274" spans="1:5" x14ac:dyDescent="0.2">
      <c r="A6274">
        <v>6213</v>
      </c>
      <c r="B6274" s="1832">
        <f>'Acct Summary 7-8'!J82</f>
        <v>3077</v>
      </c>
      <c r="D6274" s="2" t="str">
        <f t="shared" si="97"/>
        <v>Error?</v>
      </c>
      <c r="E6274" s="2" t="s">
        <v>189</v>
      </c>
    </row>
    <row r="6275" spans="1:5" x14ac:dyDescent="0.2">
      <c r="A6275">
        <v>6214</v>
      </c>
      <c r="B6275" s="1832">
        <f>'Acct Summary 7-8'!K82</f>
        <v>32083</v>
      </c>
      <c r="D6275" s="2" t="str">
        <f t="shared" si="97"/>
        <v>Error?</v>
      </c>
      <c r="E6275" s="2" t="s">
        <v>189</v>
      </c>
    </row>
    <row r="6276" spans="1:5" x14ac:dyDescent="0.2">
      <c r="A6276">
        <v>6215</v>
      </c>
      <c r="B6276" s="1832">
        <f>'Acct Summary 7-8'!C83</f>
        <v>0.21249814814401224</v>
      </c>
      <c r="D6276" s="2" t="str">
        <f t="shared" si="97"/>
        <v>Error?</v>
      </c>
      <c r="E6276" s="2" t="s">
        <v>189</v>
      </c>
    </row>
    <row r="6277" spans="1:5" x14ac:dyDescent="0.2">
      <c r="A6277">
        <v>6216</v>
      </c>
      <c r="B6277" s="1832">
        <f>'Acct Summary 7-8'!D83</f>
        <v>-0.23092095523126485</v>
      </c>
      <c r="D6277" s="2" t="str">
        <f t="shared" si="97"/>
        <v>Error?</v>
      </c>
      <c r="E6277" s="2" t="s">
        <v>189</v>
      </c>
    </row>
    <row r="6278" spans="1:5" x14ac:dyDescent="0.2">
      <c r="A6278">
        <v>6217</v>
      </c>
      <c r="B6278" s="1832">
        <f>'Acct Summary 7-8'!E83</f>
        <v>0.10963011599912453</v>
      </c>
      <c r="D6278" s="2" t="str">
        <f t="shared" si="97"/>
        <v>Error?</v>
      </c>
      <c r="E6278" s="2" t="s">
        <v>189</v>
      </c>
    </row>
    <row r="6279" spans="1:5" x14ac:dyDescent="0.2">
      <c r="A6279">
        <v>6218</v>
      </c>
      <c r="B6279" s="1832">
        <f>'Acct Summary 7-8'!F83</f>
        <v>0.53485517132059945</v>
      </c>
      <c r="D6279" s="2" t="str">
        <f t="shared" si="97"/>
        <v>Error?</v>
      </c>
      <c r="E6279" s="2" t="s">
        <v>189</v>
      </c>
    </row>
    <row r="6280" spans="1:5" x14ac:dyDescent="0.2">
      <c r="A6280">
        <v>6219</v>
      </c>
      <c r="B6280" s="1832">
        <f>'Acct Summary 7-8'!G83</f>
        <v>0.12486898664618544</v>
      </c>
      <c r="D6280" s="2" t="str">
        <f t="shared" si="97"/>
        <v>Error?</v>
      </c>
      <c r="E6280" s="2" t="s">
        <v>189</v>
      </c>
    </row>
    <row r="6281" spans="1:5" x14ac:dyDescent="0.2">
      <c r="A6281">
        <v>6220</v>
      </c>
      <c r="B6281" s="1832">
        <f>'Acct Summary 7-8'!H83</f>
        <v>1.1370735974009746E-2</v>
      </c>
      <c r="D6281" s="2" t="str">
        <f t="shared" si="97"/>
        <v>Error?</v>
      </c>
      <c r="E6281" s="2" t="s">
        <v>189</v>
      </c>
    </row>
    <row r="6282" spans="1:5" x14ac:dyDescent="0.2">
      <c r="A6282">
        <v>6221</v>
      </c>
      <c r="B6282" s="1832">
        <f>'Acct Summary 7-8'!I83</f>
        <v>1.4751633721351355E-3</v>
      </c>
      <c r="D6282" s="2" t="str">
        <f t="shared" si="97"/>
        <v>Error?</v>
      </c>
      <c r="E6282" s="2" t="s">
        <v>189</v>
      </c>
    </row>
    <row r="6283" spans="1:5" x14ac:dyDescent="0.2">
      <c r="A6283">
        <v>6222</v>
      </c>
      <c r="B6283" s="1832">
        <f>'Acct Summary 7-8'!J83</f>
        <v>0.14321619734698626</v>
      </c>
      <c r="D6283" s="2" t="str">
        <f t="shared" si="97"/>
        <v>Error?</v>
      </c>
      <c r="E6283" s="2" t="s">
        <v>189</v>
      </c>
    </row>
    <row r="6284" spans="1:5" x14ac:dyDescent="0.2">
      <c r="A6284">
        <v>6223</v>
      </c>
      <c r="B6284" s="1832">
        <f>'Acct Summary 7-8'!K83</f>
        <v>0.16507931607571946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37058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37058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579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579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37637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89504</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97494</v>
      </c>
      <c r="D6880" s="2" t="str">
        <f t="shared" si="106"/>
        <v>Error?</v>
      </c>
    </row>
    <row r="6881" spans="1:4" x14ac:dyDescent="0.2">
      <c r="A6881">
        <v>6820</v>
      </c>
      <c r="B6881" s="1832">
        <f>'Expenditures 15-22'!K22</f>
        <v>97494</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57691</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57691</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34560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37637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5146</v>
      </c>
      <c r="D7075" s="2" t="str">
        <f t="shared" si="109"/>
        <v>Error?</v>
      </c>
    </row>
    <row r="7076" spans="1:4" x14ac:dyDescent="0.2">
      <c r="A7076">
        <v>7015</v>
      </c>
      <c r="B7076" s="1832">
        <f>'Expenditures 15-22'!K218</f>
        <v>5146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21810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21810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12750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12750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34560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34560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34560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34560</v>
      </c>
      <c r="D7224" s="2" t="str">
        <f t="shared" si="111"/>
        <v>Error?</v>
      </c>
    </row>
    <row r="7225" spans="1:4" x14ac:dyDescent="0.2">
      <c r="A7225">
        <v>7164</v>
      </c>
      <c r="B7225" s="1832">
        <f>'Expenditures 15-22'!K343</f>
        <v>3077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67085</v>
      </c>
      <c r="D7251" s="2" t="str">
        <f t="shared" si="112"/>
        <v>Error?</v>
      </c>
    </row>
    <row r="7252" spans="1:4" x14ac:dyDescent="0.2">
      <c r="A7252">
        <f t="shared" si="113"/>
        <v>7191</v>
      </c>
      <c r="B7252" s="1832">
        <f>'Expenditures 15-22'!D9</f>
        <v>22147</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272</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481414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32182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20000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1997</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5080000</v>
      </c>
      <c r="D7817" s="2" t="str">
        <f t="shared" si="128"/>
        <v>Error?</v>
      </c>
      <c r="E7817" s="4" t="s">
        <v>1966</v>
      </c>
    </row>
    <row r="7818" spans="1:5" x14ac:dyDescent="0.2">
      <c r="A7818">
        <v>7757</v>
      </c>
      <c r="B7818" s="1832">
        <f>'PCTC-OEPP 27-28'!F172</f>
        <v>269303</v>
      </c>
      <c r="D7818" s="2" t="str">
        <f t="shared" si="128"/>
        <v>Error?</v>
      </c>
      <c r="E7818" s="4" t="s">
        <v>1980</v>
      </c>
    </row>
    <row r="7819" spans="1:5" x14ac:dyDescent="0.2">
      <c r="A7819">
        <v>7758</v>
      </c>
      <c r="B7819" s="1832">
        <f>'PCTC-OEPP 27-28'!F173</f>
        <v>194</v>
      </c>
      <c r="D7819" s="2" t="str">
        <f t="shared" si="128"/>
        <v>Error?</v>
      </c>
      <c r="E7819" s="4" t="s">
        <v>1980</v>
      </c>
    </row>
    <row r="7820" spans="1:5" x14ac:dyDescent="0.2">
      <c r="A7820">
        <v>7759</v>
      </c>
      <c r="B7820" s="1832">
        <f>'ICR Computation 30'!E40</f>
        <v>-366672</v>
      </c>
      <c r="D7820" s="2" t="str">
        <f t="shared" si="128"/>
        <v>Error?</v>
      </c>
    </row>
    <row r="7821" spans="1:5" x14ac:dyDescent="0.2">
      <c r="A7821">
        <v>7760</v>
      </c>
      <c r="B7821" s="1832">
        <f>'ICR Computation 30'!G40</f>
        <v>-366672</v>
      </c>
      <c r="D7821" s="2" t="str">
        <f t="shared" si="128"/>
        <v>Error?</v>
      </c>
    </row>
    <row r="7822" spans="1:5" x14ac:dyDescent="0.2">
      <c r="A7822" s="1">
        <v>7761</v>
      </c>
      <c r="B7822" s="1832">
        <f>'PCTC-OEPP 27-28'!F14</f>
        <v>8069012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89504</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89832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1286060</v>
      </c>
      <c r="D7834" s="2" t="str">
        <f t="shared" si="129"/>
        <v>Error?</v>
      </c>
      <c r="E7834" s="4" t="s">
        <v>1998</v>
      </c>
    </row>
    <row r="7835" spans="1:5" x14ac:dyDescent="0.2">
      <c r="A7835">
        <v>7774</v>
      </c>
      <c r="B7835" s="1832">
        <f>'PCTC-OEPP 27-28'!F78</f>
        <v>6782952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7365.5684656314479</v>
      </c>
      <c r="D7837" s="2" t="str">
        <f t="shared" si="129"/>
        <v>Error?</v>
      </c>
      <c r="E7837" s="4" t="s">
        <v>1998</v>
      </c>
    </row>
    <row r="7838" spans="1:5" x14ac:dyDescent="0.2">
      <c r="A7838">
        <v>7777</v>
      </c>
      <c r="B7838" s="1832">
        <f>'PCTC-OEPP 27-28'!F96</f>
        <v>21242</v>
      </c>
      <c r="D7838" s="2" t="str">
        <f t="shared" si="129"/>
        <v>Error?</v>
      </c>
      <c r="E7838" s="4" t="s">
        <v>1998</v>
      </c>
    </row>
    <row r="7839" spans="1:5" x14ac:dyDescent="0.2">
      <c r="A7839">
        <v>7778</v>
      </c>
      <c r="B7839" s="1832">
        <f>'PCTC-OEPP 27-28'!F102</f>
        <v>2450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83322</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254556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113333</v>
      </c>
      <c r="D7858" s="2" t="str">
        <f t="shared" si="129"/>
        <v>Error?</v>
      </c>
      <c r="E7858" s="4" t="s">
        <v>1998</v>
      </c>
    </row>
    <row r="7859" spans="1:5" x14ac:dyDescent="0.2">
      <c r="A7859">
        <v>7798</v>
      </c>
      <c r="B7859" s="1832">
        <f>'PCTC-OEPP 27-28'!F127</f>
        <v>73626</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97389</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13687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13080</v>
      </c>
      <c r="D7874" s="2" t="str">
        <f t="shared" si="129"/>
        <v>Error?</v>
      </c>
      <c r="E7874" s="4" t="s">
        <v>1998</v>
      </c>
    </row>
    <row r="7875" spans="1:5" x14ac:dyDescent="0.2">
      <c r="A7875">
        <v>7814</v>
      </c>
      <c r="B7875" s="1832">
        <f>'PCTC-OEPP 27-28'!F170</f>
        <v>13565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1182107</v>
      </c>
      <c r="D7877" s="2" t="str">
        <f t="shared" si="129"/>
        <v>Error?</v>
      </c>
      <c r="E7877" s="4" t="s">
        <v>1998</v>
      </c>
    </row>
    <row r="7878" spans="1:5" x14ac:dyDescent="0.2">
      <c r="A7878">
        <v>7817</v>
      </c>
      <c r="B7878" s="1832">
        <f>'PCTC-OEPP 27-28'!F176</f>
        <v>5600845</v>
      </c>
      <c r="D7878" s="2" t="str">
        <f t="shared" si="129"/>
        <v>Error?</v>
      </c>
      <c r="E7878" s="4" t="s">
        <v>1998</v>
      </c>
    </row>
    <row r="7879" spans="1:5" x14ac:dyDescent="0.2">
      <c r="A7879">
        <v>7818</v>
      </c>
      <c r="B7879" s="1832">
        <f>'PCTC-OEPP 27-28'!F178</f>
        <v>6082259</v>
      </c>
      <c r="D7879" s="2" t="str">
        <f t="shared" si="129"/>
        <v>Error?</v>
      </c>
      <c r="E7879" s="4" t="s">
        <v>1998</v>
      </c>
    </row>
    <row r="7880" spans="1:5" x14ac:dyDescent="0.2">
      <c r="A7880">
        <v>7819</v>
      </c>
      <c r="B7880" s="1832">
        <f>'PCTC-OEPP 27-28'!F180</f>
        <v>6604.6899771962217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59"/>
  <sheetViews>
    <sheetView showGridLines="0" showZeros="0" topLeftCell="A16" zoomScaleNormal="100" workbookViewId="0">
      <selection activeCell="Q28" sqref="Q2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1183</v>
      </c>
      <c r="B2" s="2543"/>
      <c r="C2" s="2543"/>
      <c r="D2" s="2543"/>
      <c r="E2" s="2543"/>
      <c r="F2" s="2543"/>
      <c r="G2" s="2543"/>
      <c r="H2" s="2543"/>
      <c r="I2" s="2543"/>
      <c r="J2" s="2543"/>
      <c r="K2" s="2543"/>
      <c r="L2" s="2543"/>
    </row>
    <row r="3" spans="1:29" ht="13.5" customHeight="1" x14ac:dyDescent="0.2">
      <c r="A3" s="2529" t="s">
        <v>1182</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23" t="str">
        <f>COVER!A17</f>
        <v xml:space="preserve">   Washington SD 52</v>
      </c>
      <c r="B7" s="2524"/>
      <c r="C7" s="2524"/>
      <c r="D7" s="2562"/>
      <c r="E7" s="2563">
        <f>COVER!A13</f>
        <v>53090052002</v>
      </c>
      <c r="F7" s="2564"/>
      <c r="G7" s="2530" t="str">
        <f>COVER!T23</f>
        <v>066-004355</v>
      </c>
      <c r="H7" s="2531"/>
      <c r="I7" s="2531"/>
      <c r="J7" s="2531"/>
      <c r="K7" s="2531"/>
      <c r="L7" s="2532"/>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33"/>
      <c r="B9" s="2534"/>
      <c r="C9" s="2534"/>
      <c r="D9" s="2534"/>
      <c r="E9" s="2534"/>
      <c r="F9" s="2535"/>
      <c r="G9" s="2536" t="str">
        <f>COVER!T13</f>
        <v>Phillips, Salmi &amp; Associates, LLC</v>
      </c>
      <c r="H9" s="2537"/>
      <c r="I9" s="2537"/>
      <c r="J9" s="2537"/>
      <c r="K9" s="2537"/>
      <c r="L9" s="2538"/>
    </row>
    <row r="10" spans="1:29" ht="13.5" customHeight="1" x14ac:dyDescent="0.2">
      <c r="A10" s="2520" t="str">
        <f>COVER!A38</f>
        <v>Patreak Minasian</v>
      </c>
      <c r="B10" s="2521"/>
      <c r="C10" s="2521"/>
      <c r="D10" s="2521"/>
      <c r="E10" s="2521"/>
      <c r="F10" s="2522"/>
      <c r="G10" s="2536" t="str">
        <f>COVER!T17</f>
        <v>112 S Main Street</v>
      </c>
      <c r="H10" s="2549"/>
      <c r="I10" s="2549"/>
      <c r="J10" s="2549"/>
      <c r="K10" s="2549"/>
      <c r="L10" s="2550"/>
    </row>
    <row r="11" spans="1:29" ht="13.5" customHeight="1" x14ac:dyDescent="0.2">
      <c r="A11" s="963" t="s">
        <v>1505</v>
      </c>
      <c r="B11" s="964"/>
      <c r="C11" s="965"/>
      <c r="D11" s="970"/>
      <c r="E11" s="965"/>
      <c r="F11" s="969"/>
      <c r="G11" s="2536" t="str">
        <f>COVER!T19</f>
        <v>Washington</v>
      </c>
      <c r="H11" s="2549"/>
      <c r="I11" s="2549"/>
      <c r="J11" s="2549"/>
      <c r="K11" s="2549"/>
      <c r="L11" s="2550"/>
    </row>
    <row r="12" spans="1:29" ht="13.5" customHeight="1" x14ac:dyDescent="0.2">
      <c r="A12" s="2554" t="s">
        <v>1504</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1506</v>
      </c>
      <c r="H13" s="2545"/>
      <c r="I13" s="2557" t="str">
        <f>COVER!T25</f>
        <v>lsalmi@psa-cpa.com</v>
      </c>
      <c r="J13" s="2558"/>
      <c r="K13" s="2558"/>
      <c r="L13" s="2559"/>
    </row>
    <row r="14" spans="1:29" ht="13.5" customHeight="1" x14ac:dyDescent="0.2">
      <c r="A14" s="2536" t="str">
        <f>COVER!A19</f>
        <v>303 Jackson</v>
      </c>
      <c r="B14" s="2549"/>
      <c r="C14" s="2549"/>
      <c r="D14" s="2549"/>
      <c r="E14" s="2549"/>
      <c r="F14" s="2550"/>
      <c r="G14" s="974" t="s">
        <v>1177</v>
      </c>
      <c r="H14" s="972"/>
      <c r="I14" s="972"/>
      <c r="J14" s="972"/>
      <c r="K14" s="972"/>
      <c r="L14" s="973"/>
    </row>
    <row r="15" spans="1:29" ht="13.5" customHeight="1" x14ac:dyDescent="0.2">
      <c r="A15" s="2536" t="str">
        <f>COVER!A21</f>
        <v xml:space="preserve">Washington  </v>
      </c>
      <c r="B15" s="2549"/>
      <c r="C15" s="2549"/>
      <c r="D15" s="2549"/>
      <c r="E15" s="2549"/>
      <c r="F15" s="2550"/>
      <c r="G15" s="2546" t="str">
        <f>COVER!T15</f>
        <v>Lori Salmi</v>
      </c>
      <c r="H15" s="2547"/>
      <c r="I15" s="2547"/>
      <c r="J15" s="2547"/>
      <c r="K15" s="2547"/>
      <c r="L15" s="2548"/>
    </row>
    <row r="16" spans="1:29" ht="12.2" customHeight="1" x14ac:dyDescent="0.2">
      <c r="A16" s="2526">
        <f>COVER!A25</f>
        <v>61571</v>
      </c>
      <c r="B16" s="2527"/>
      <c r="C16" s="2527"/>
      <c r="D16" s="2527"/>
      <c r="E16" s="2527"/>
      <c r="F16" s="2528"/>
      <c r="G16" s="2539"/>
      <c r="H16" s="2540"/>
      <c r="I16" s="2540"/>
      <c r="J16" s="2540"/>
      <c r="K16" s="2540"/>
      <c r="L16" s="2541"/>
    </row>
    <row r="17" spans="1:13" ht="12.2" customHeight="1" x14ac:dyDescent="0.2">
      <c r="A17" s="2542"/>
      <c r="B17" s="2527"/>
      <c r="C17" s="2527"/>
      <c r="D17" s="2527"/>
      <c r="E17" s="2527"/>
      <c r="F17" s="2528"/>
      <c r="G17" s="974" t="s">
        <v>1176</v>
      </c>
      <c r="H17" s="972"/>
      <c r="I17" s="972"/>
      <c r="J17" s="972"/>
      <c r="K17" s="976" t="s">
        <v>1175</v>
      </c>
      <c r="L17" s="969"/>
      <c r="M17" s="962"/>
    </row>
    <row r="18" spans="1:13" ht="12.2" customHeight="1" x14ac:dyDescent="0.2">
      <c r="A18" s="2520"/>
      <c r="B18" s="2521"/>
      <c r="C18" s="2521"/>
      <c r="D18" s="2521"/>
      <c r="E18" s="2521"/>
      <c r="F18" s="2522"/>
      <c r="G18" s="2523" t="str">
        <f>COVER!T21</f>
        <v>(309) 444-4909</v>
      </c>
      <c r="H18" s="2524"/>
      <c r="I18" s="2524"/>
      <c r="J18" s="2524"/>
      <c r="K18" s="2523" t="str">
        <f>COVER!X21</f>
        <v>(309) 444-8580</v>
      </c>
      <c r="L18" s="252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K127"/>
  <sheetViews>
    <sheetView showGridLines="0" zoomScaleNormal="100" workbookViewId="0">
      <selection activeCell="Q28" sqref="Q2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 xml:space="preserve">   Washington SD 52</v>
      </c>
      <c r="B1" s="2566"/>
      <c r="C1" s="2566"/>
      <c r="D1" s="2566"/>
    </row>
    <row r="2" spans="1:11" s="991" customFormat="1" ht="12.75" x14ac:dyDescent="0.2">
      <c r="A2" s="2567">
        <f>'Single Audit Cover'!E7</f>
        <v>53090052002</v>
      </c>
      <c r="B2" s="2568"/>
      <c r="C2" s="2568"/>
      <c r="D2" s="2568"/>
    </row>
    <row r="3" spans="1:11" s="991" customFormat="1" ht="12.75" x14ac:dyDescent="0.2">
      <c r="A3" s="2565" t="s">
        <v>1499</v>
      </c>
      <c r="B3" s="2566"/>
      <c r="C3" s="2566"/>
      <c r="D3" s="2566"/>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1969</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E49"/>
  <sheetViews>
    <sheetView showGridLines="0" zoomScaleNormal="100" zoomScaleSheetLayoutView="100" workbookViewId="0">
      <selection activeCell="Q28" sqref="Q2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 xml:space="preserve">   Washington SD 52</v>
      </c>
      <c r="B1" s="2570"/>
      <c r="C1" s="2570"/>
      <c r="D1" s="2570"/>
      <c r="E1" s="2570"/>
    </row>
    <row r="2" spans="1:5" x14ac:dyDescent="0.2">
      <c r="A2" s="2571">
        <f>'Single Audit Cover'!E7</f>
        <v>53090052002</v>
      </c>
      <c r="B2" s="2571"/>
      <c r="C2" s="2571"/>
      <c r="D2" s="2571"/>
      <c r="E2" s="2571"/>
    </row>
    <row r="3" spans="1:5" ht="4.5" customHeight="1" x14ac:dyDescent="0.2"/>
    <row r="4" spans="1:5" x14ac:dyDescent="0.2">
      <c r="A4" s="2570" t="s">
        <v>1236</v>
      </c>
      <c r="B4" s="2570"/>
      <c r="C4" s="2570"/>
      <c r="D4" s="2570"/>
      <c r="E4" s="2570"/>
    </row>
    <row r="5" spans="1:5" x14ac:dyDescent="0.2">
      <c r="A5" s="2573" t="str">
        <f>'Single Audit Cover'!A4</f>
        <v>Year Ending June 30, 2020</v>
      </c>
      <c r="B5" s="2573"/>
      <c r="C5" s="2573"/>
      <c r="D5" s="2573"/>
      <c r="E5" s="2573"/>
    </row>
    <row r="6" spans="1:5" x14ac:dyDescent="0.2">
      <c r="A6" s="2570" t="s">
        <v>1235</v>
      </c>
      <c r="B6" s="2570"/>
      <c r="C6" s="2570"/>
      <c r="D6" s="2570"/>
      <c r="E6" s="2570"/>
    </row>
    <row r="8" spans="1:5" x14ac:dyDescent="0.2">
      <c r="A8" s="1036" t="s">
        <v>1234</v>
      </c>
    </row>
    <row r="10" spans="1:5" x14ac:dyDescent="0.2">
      <c r="A10" s="1037" t="s">
        <v>1233</v>
      </c>
      <c r="B10" s="1038" t="s">
        <v>1232</v>
      </c>
      <c r="C10" s="1038"/>
      <c r="D10" s="1039">
        <f>SUM('Acct Summary 7-8'!C7:K7)</f>
        <v>350355</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2004</v>
      </c>
      <c r="B14" s="1038"/>
      <c r="C14" s="1038"/>
      <c r="D14" s="1040">
        <f>'ICR Computation 30'!E11</f>
        <v>18157</v>
      </c>
    </row>
    <row r="15" spans="1:5" x14ac:dyDescent="0.2">
      <c r="A15" s="1037"/>
      <c r="B15" s="1038"/>
      <c r="C15" s="1038"/>
    </row>
    <row r="16" spans="1:5" x14ac:dyDescent="0.2">
      <c r="A16" s="1037" t="s">
        <v>1815</v>
      </c>
      <c r="B16" s="1038"/>
      <c r="C16" s="1038"/>
    </row>
    <row r="17" spans="1:4" x14ac:dyDescent="0.2">
      <c r="A17" s="1037" t="s">
        <v>1964</v>
      </c>
      <c r="B17" s="1038" t="s">
        <v>1227</v>
      </c>
      <c r="C17" s="1038"/>
      <c r="D17" s="1040">
        <f>-SUM('Revenues 9-14'!C264:D264,'Revenues 9-14'!F264:G264)</f>
        <v>-13565</v>
      </c>
    </row>
    <row r="19" spans="1:4" ht="13.5" thickBot="1" x14ac:dyDescent="0.25">
      <c r="A19" s="1041" t="s">
        <v>1226</v>
      </c>
      <c r="D19" s="1042">
        <f>SUM(D10:D17)</f>
        <v>354947</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1224</v>
      </c>
      <c r="D32" s="1039">
        <f>SUM(D19:D30)</f>
        <v>354947</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9"/>
      <c r="B40" s="2569"/>
      <c r="D40" s="1044"/>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1218</v>
      </c>
      <c r="C47" s="1048"/>
      <c r="D47" s="1049">
        <f>SUM(D35:D45)</f>
        <v>0</v>
      </c>
    </row>
    <row r="49" spans="2:4" x14ac:dyDescent="0.2">
      <c r="B49" s="1048" t="s">
        <v>1217</v>
      </c>
      <c r="C49" s="1048"/>
      <c r="D49" s="1049">
        <f>D32-D47</f>
        <v>354947</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B1:N152"/>
  <sheetViews>
    <sheetView showGridLines="0" topLeftCell="A3" zoomScaleNormal="100" workbookViewId="0">
      <selection activeCell="Q28" sqref="Q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 xml:space="preserve">   Washington SD 52</v>
      </c>
      <c r="C1" s="2574"/>
      <c r="D1" s="2574"/>
      <c r="E1" s="2574"/>
      <c r="F1" s="2574"/>
      <c r="G1" s="2574"/>
      <c r="H1" s="2574"/>
      <c r="I1" s="2574"/>
      <c r="J1" s="2574"/>
      <c r="K1" s="2574"/>
      <c r="L1" s="2574"/>
      <c r="M1" s="2574"/>
    </row>
    <row r="2" spans="2:14" ht="15" x14ac:dyDescent="0.2">
      <c r="B2" s="2575">
        <f>'Single Audit Cover'!E7</f>
        <v>53090052002</v>
      </c>
      <c r="C2" s="2575"/>
      <c r="D2" s="2575"/>
      <c r="E2" s="2575"/>
      <c r="F2" s="2575"/>
      <c r="G2" s="2575"/>
      <c r="H2" s="2575"/>
      <c r="I2" s="2575"/>
      <c r="J2" s="2575"/>
      <c r="K2" s="2575"/>
      <c r="L2" s="2575"/>
      <c r="M2" s="2575"/>
      <c r="N2" s="1078"/>
    </row>
    <row r="3" spans="2:14" ht="15" x14ac:dyDescent="0.2">
      <c r="B3" s="2576" t="s">
        <v>1210</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0"/>
      <c r="J5" s="1910"/>
    </row>
    <row r="6" spans="2:14" x14ac:dyDescent="0.2">
      <c r="B6" s="1079"/>
      <c r="C6" s="1080"/>
      <c r="D6" s="1081" t="s">
        <v>1256</v>
      </c>
      <c r="E6" s="1082" t="s">
        <v>524</v>
      </c>
      <c r="F6" s="1083"/>
      <c r="G6" s="1084" t="s">
        <v>1714</v>
      </c>
      <c r="H6" s="1082"/>
      <c r="I6" s="1082"/>
      <c r="J6" s="1911"/>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09" t="str">
        <f>"7/1/"&amp;MID('AFR20'!$E$2,3,2)-2&amp;"-6/30/"&amp;MID('AFR20'!$E$2,3,2)-1</f>
        <v>7/1/18-6/30/19</v>
      </c>
      <c r="F9" s="1909" t="str">
        <f>"7/1/"&amp;MID('AFR20'!$E$2,3,2)-1&amp;"-6/30/"&amp;MID('AFR20'!$E$2,3,2)</f>
        <v>7/1/19-6/30/20</v>
      </c>
      <c r="G9" s="1909" t="str">
        <f>"7/1/"&amp;MID('AFR20'!$E$2,3,2)-2&amp;"-6/30/"&amp;MID('AFR20'!$E$2,3,2)-1</f>
        <v>7/1/18-6/30/19</v>
      </c>
      <c r="H9" s="1093" t="s">
        <v>1568</v>
      </c>
      <c r="I9" s="1909"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G52"/>
  <sheetViews>
    <sheetView showGridLines="0" topLeftCell="A3" zoomScaleNormal="100" workbookViewId="0">
      <selection activeCell="Q28" sqref="Q2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Washington SD 52</v>
      </c>
      <c r="B1" s="2579"/>
      <c r="C1" s="2579"/>
      <c r="D1" s="2579"/>
      <c r="E1" s="2579"/>
      <c r="F1" s="2579"/>
    </row>
    <row r="2" spans="1:7" ht="13.5" customHeight="1" x14ac:dyDescent="0.2">
      <c r="A2" s="2575">
        <f>'Single Audit Cover'!E7</f>
        <v>53090052002</v>
      </c>
      <c r="B2" s="2575"/>
      <c r="C2" s="2575"/>
      <c r="D2" s="2575"/>
      <c r="E2" s="2575"/>
      <c r="F2" s="2575"/>
      <c r="G2" s="1051"/>
    </row>
    <row r="3" spans="1:7" ht="15.75" customHeight="1" x14ac:dyDescent="0.2">
      <c r="A3" s="2580" t="s">
        <v>1262</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1708</v>
      </c>
      <c r="C6" s="295"/>
      <c r="D6" s="295"/>
    </row>
    <row r="7" spans="1:7" ht="60.95" customHeight="1" x14ac:dyDescent="0.2">
      <c r="A7" s="2578" t="s">
        <v>1709</v>
      </c>
      <c r="B7" s="2578"/>
      <c r="C7" s="2578"/>
      <c r="D7" s="2578"/>
      <c r="E7" s="2578"/>
      <c r="F7" s="2578"/>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8" t="s">
        <v>1711</v>
      </c>
      <c r="B13" s="2578"/>
      <c r="C13" s="2578"/>
      <c r="D13" s="2578"/>
      <c r="E13" s="2578"/>
      <c r="F13" s="2578"/>
    </row>
    <row r="14" spans="1:7" ht="9.75" customHeight="1" x14ac:dyDescent="0.2">
      <c r="C14" s="1036"/>
      <c r="D14" s="1036"/>
    </row>
    <row r="15" spans="1:7" ht="13.5" customHeight="1" x14ac:dyDescent="0.2">
      <c r="C15" s="1476" t="s">
        <v>1261</v>
      </c>
      <c r="D15" s="2583" t="s">
        <v>1260</v>
      </c>
      <c r="E15" s="2583"/>
      <c r="F15" s="2583"/>
    </row>
    <row r="16" spans="1:7" ht="13.5" customHeight="1" x14ac:dyDescent="0.2">
      <c r="A16" s="1058"/>
      <c r="B16" s="1052" t="s">
        <v>1259</v>
      </c>
      <c r="C16" s="1476" t="s">
        <v>1258</v>
      </c>
      <c r="D16" s="2584" t="s">
        <v>1574</v>
      </c>
      <c r="E16" s="2584"/>
      <c r="F16" s="2584"/>
    </row>
    <row r="17" spans="1:6" ht="20.45" customHeight="1" x14ac:dyDescent="0.2">
      <c r="A17" s="1059"/>
      <c r="B17" s="1060"/>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86" t="s">
        <v>1712</v>
      </c>
      <c r="B32" s="2586"/>
      <c r="C32" s="2586"/>
      <c r="D32" s="2586"/>
      <c r="E32" s="2586"/>
      <c r="F32" s="2586"/>
    </row>
    <row r="33" spans="1:6" ht="13.5" customHeight="1" x14ac:dyDescent="0.2">
      <c r="A33" s="306" t="s">
        <v>1420</v>
      </c>
      <c r="B33" s="306"/>
      <c r="C33" s="1064">
        <v>0</v>
      </c>
      <c r="D33" s="1526"/>
      <c r="E33" s="1062"/>
    </row>
    <row r="34" spans="1:6" ht="13.5" customHeight="1" x14ac:dyDescent="0.2">
      <c r="A34" s="306" t="s">
        <v>1811</v>
      </c>
      <c r="B34" s="306"/>
      <c r="C34" s="1065">
        <v>0</v>
      </c>
      <c r="D34" s="1526" t="s">
        <v>1575</v>
      </c>
      <c r="E34" s="2587">
        <f>+C33+C34</f>
        <v>0</v>
      </c>
      <c r="F34" s="2588"/>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9" t="s">
        <v>1576</v>
      </c>
      <c r="C49" s="2589"/>
      <c r="D49" s="2589"/>
      <c r="E49" s="1168"/>
    </row>
    <row r="50" spans="1:5" s="1076" customFormat="1" ht="3.75" customHeight="1" x14ac:dyDescent="0.2">
      <c r="A50" s="1075"/>
      <c r="B50" s="1475"/>
      <c r="C50" s="1475"/>
      <c r="D50" s="1475"/>
      <c r="E50" s="1168"/>
    </row>
    <row r="51" spans="1:5" s="1076" customFormat="1" ht="20.25" customHeight="1" x14ac:dyDescent="0.2">
      <c r="A51" s="1077">
        <v>6</v>
      </c>
      <c r="B51" s="2585" t="s">
        <v>1537</v>
      </c>
      <c r="C51" s="2585"/>
      <c r="D51" s="2585"/>
    </row>
    <row r="52" spans="1:5" ht="14.25" customHeight="1" x14ac:dyDescent="0.2">
      <c r="A52" s="1077"/>
      <c r="B52" s="2585"/>
      <c r="C52" s="2585"/>
      <c r="D52" s="258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104"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1160</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6" t="s">
        <v>1619</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2055</v>
      </c>
      <c r="C53" s="174">
        <v>22</v>
      </c>
      <c r="D53" s="242" t="s">
        <v>1448</v>
      </c>
      <c r="E53" s="243"/>
      <c r="F53" s="244"/>
      <c r="G53" s="244" t="s">
        <v>1447</v>
      </c>
      <c r="H53" s="245">
        <v>36525</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1314</v>
      </c>
      <c r="B70" s="2179"/>
      <c r="C70" s="2179"/>
      <c r="D70" s="2179"/>
      <c r="E70" s="2180"/>
      <c r="F70" s="2180"/>
      <c r="G70" s="2180"/>
      <c r="H70" s="2180"/>
      <c r="I70" s="218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1311</v>
      </c>
      <c r="B83" s="2181"/>
      <c r="C83" s="2181"/>
      <c r="D83" s="218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2" t="s">
        <v>1989</v>
      </c>
      <c r="B85" s="2192"/>
      <c r="C85" s="2192"/>
      <c r="D85" s="2193"/>
      <c r="E85" s="1544"/>
      <c r="F85" s="1544"/>
      <c r="G85" s="1544"/>
      <c r="H85" s="1544"/>
      <c r="I85" s="1900"/>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94" t="s">
        <v>1989</v>
      </c>
      <c r="B88" s="2195"/>
      <c r="C88" s="2195"/>
      <c r="D88" s="2196"/>
      <c r="E88" s="1544"/>
      <c r="F88" s="1544"/>
      <c r="G88" s="1544"/>
      <c r="H88" s="1544"/>
      <c r="I88" s="1900"/>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1"/>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2048</v>
      </c>
      <c r="D114" s="217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1321</v>
      </c>
      <c r="D117" s="2174"/>
      <c r="E117" s="2175"/>
      <c r="F117" s="2175"/>
      <c r="G117" s="2175"/>
      <c r="H117" s="2175"/>
      <c r="I117" s="282"/>
    </row>
    <row r="118" spans="1:9" s="176" customFormat="1" ht="24" customHeight="1" x14ac:dyDescent="0.2">
      <c r="A118" s="294"/>
      <c r="B118" s="294"/>
      <c r="C118" s="294"/>
      <c r="D118" s="301" t="s">
        <v>2103</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49"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J63"/>
  <sheetViews>
    <sheetView showGridLines="0" topLeftCell="A3" zoomScaleNormal="100" workbookViewId="0">
      <selection activeCell="AE35" sqref="AE3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Washington SD 52</v>
      </c>
      <c r="C1" s="2595"/>
      <c r="D1" s="2595"/>
      <c r="E1" s="2595"/>
      <c r="F1" s="2595"/>
      <c r="G1" s="2595"/>
      <c r="H1" s="2595"/>
      <c r="I1" s="2595"/>
      <c r="J1" s="1178"/>
    </row>
    <row r="2" spans="2:10" s="295" customFormat="1" ht="12.75" customHeight="1" x14ac:dyDescent="0.2">
      <c r="B2" s="2596">
        <f>'Single Audit Cover'!E7</f>
        <v>53090052002</v>
      </c>
      <c r="C2" s="2597"/>
      <c r="D2" s="2597"/>
      <c r="E2" s="2597"/>
      <c r="F2" s="2597"/>
      <c r="G2" s="2597"/>
      <c r="H2" s="2597"/>
      <c r="I2" s="2597"/>
      <c r="J2" s="1178"/>
    </row>
    <row r="3" spans="2:10" s="295" customFormat="1" ht="12.75" customHeight="1" x14ac:dyDescent="0.2">
      <c r="B3" s="2598" t="s">
        <v>1276</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1275</v>
      </c>
      <c r="C7" s="2599"/>
      <c r="D7" s="2599"/>
      <c r="E7" s="2599"/>
      <c r="F7" s="2599"/>
      <c r="G7" s="2599"/>
      <c r="H7" s="2599"/>
      <c r="I7" s="2599"/>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0"/>
      <c r="D11" s="2600"/>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1"/>
      <c r="E29" s="2601"/>
      <c r="F29" s="2601"/>
      <c r="G29" s="2601"/>
      <c r="H29" s="2601"/>
      <c r="I29" s="2601"/>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2" t="s">
        <v>1731</v>
      </c>
      <c r="D37" s="2603"/>
      <c r="E37" s="2603"/>
      <c r="F37" s="2604"/>
      <c r="G37" s="2602" t="s">
        <v>1578</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608" t="s">
        <v>1579</v>
      </c>
      <c r="D43" s="2609"/>
      <c r="E43" s="2609"/>
      <c r="F43" s="2610"/>
      <c r="G43" s="2611">
        <f>SUM(G38:I42)</f>
        <v>0</v>
      </c>
      <c r="H43" s="2611"/>
      <c r="I43" s="2611"/>
    </row>
    <row r="44" spans="2:9" ht="12.75" customHeight="1" x14ac:dyDescent="0.2"/>
    <row r="45" spans="2:9" ht="12.75" customHeight="1" x14ac:dyDescent="0.2">
      <c r="B45" s="1912" t="str">
        <f>"Total Federal Expenditures for 7/1/"&amp;MID('AFR20'!E2,3,2)-1&amp;"-6/30/"&amp;MID('AFR20'!E2,3,2)</f>
        <v>Total Federal Expenditures for 7/1/19-6/30/20</v>
      </c>
      <c r="C45" s="1913"/>
      <c r="D45" s="2612">
        <v>0</v>
      </c>
      <c r="E45" s="2613"/>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14"/>
      <c r="F49" s="2614"/>
      <c r="G49" s="2614"/>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Normal="100" workbookViewId="0">
      <selection activeCell="AE35" sqref="AE3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Washington SD 52</v>
      </c>
      <c r="C1" s="2594"/>
      <c r="D1" s="2594"/>
      <c r="E1" s="2594"/>
      <c r="F1" s="2594"/>
      <c r="G1" s="2594"/>
      <c r="H1" s="2594"/>
      <c r="I1" s="2594"/>
      <c r="J1" s="2594"/>
      <c r="K1" s="2594"/>
      <c r="L1" s="1144"/>
      <c r="M1" s="1144"/>
    </row>
    <row r="2" spans="1:13" ht="12" customHeight="1" x14ac:dyDescent="0.2">
      <c r="B2" s="2596">
        <f>'Single Audit Cover'!E7</f>
        <v>53090052002</v>
      </c>
      <c r="C2" s="2596"/>
      <c r="D2" s="2596"/>
      <c r="E2" s="2596"/>
      <c r="F2" s="2596"/>
      <c r="G2" s="2596"/>
      <c r="H2" s="2596"/>
      <c r="I2" s="2596"/>
      <c r="J2" s="2596"/>
      <c r="K2" s="2596"/>
      <c r="L2" s="1145"/>
      <c r="M2" s="1146"/>
    </row>
    <row r="3" spans="1:13" ht="10.35" customHeight="1" x14ac:dyDescent="0.2">
      <c r="B3" s="2617" t="s">
        <v>1276</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1287</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4"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6"/>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6"/>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20"/>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6"/>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6"/>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5"/>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5"/>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 zoomScaleNormal="100" workbookViewId="0">
      <selection activeCell="E24" sqref="E2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 xml:space="preserve">   Washington SD 52</v>
      </c>
      <c r="C1" s="2621"/>
      <c r="D1" s="2621"/>
      <c r="E1" s="2621"/>
      <c r="F1" s="2621"/>
      <c r="G1" s="2621"/>
      <c r="H1" s="2621"/>
      <c r="I1" s="2621"/>
      <c r="J1" s="2621"/>
      <c r="K1" s="2621"/>
      <c r="L1" s="1221"/>
    </row>
    <row r="2" spans="1:12" ht="12.75" customHeight="1" x14ac:dyDescent="0.2">
      <c r="B2" s="2622">
        <f>'Single Audit Cover'!E7</f>
        <v>53090052002</v>
      </c>
      <c r="C2" s="2622"/>
      <c r="D2" s="2622"/>
      <c r="E2" s="2622"/>
      <c r="F2" s="2622"/>
      <c r="G2" s="2622"/>
      <c r="H2" s="2622"/>
      <c r="I2" s="2622"/>
      <c r="J2" s="2622"/>
      <c r="K2" s="2622"/>
      <c r="L2" s="1222"/>
    </row>
    <row r="3" spans="1:12" ht="12.75" customHeight="1" x14ac:dyDescent="0.2">
      <c r="B3" s="2617" t="s">
        <v>1276</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1161</v>
      </c>
      <c r="C5" s="1036"/>
      <c r="L5" s="300"/>
    </row>
    <row r="6" spans="1:12" ht="30.75" customHeight="1" x14ac:dyDescent="0.2">
      <c r="A6" s="300"/>
      <c r="B6" s="2623" t="s">
        <v>1299</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4"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4"/>
      <c r="E14" s="2624"/>
      <c r="F14" s="2624"/>
      <c r="H14" s="1230" t="s">
        <v>1294</v>
      </c>
      <c r="I14" s="2625"/>
      <c r="J14" s="2625"/>
      <c r="K14" s="26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5"/>
      <c r="E16" s="2625"/>
      <c r="F16" s="2625"/>
      <c r="G16" s="2625"/>
      <c r="H16" s="2625"/>
      <c r="I16" s="2625"/>
      <c r="J16" s="2625"/>
      <c r="K16" s="2625"/>
      <c r="L16" s="300"/>
    </row>
    <row r="17" spans="2:12" ht="13.5" customHeight="1" x14ac:dyDescent="0.2">
      <c r="B17" s="1156" t="s">
        <v>1292</v>
      </c>
      <c r="C17" s="1156"/>
      <c r="D17" s="2626"/>
      <c r="E17" s="2626"/>
      <c r="F17" s="2626"/>
      <c r="G17" s="2626"/>
      <c r="H17" s="2626"/>
      <c r="I17" s="2626"/>
      <c r="J17" s="2626"/>
      <c r="K17" s="26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Normal="100" workbookViewId="0">
      <selection activeCell="E24" sqref="E2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Washington SD 52</v>
      </c>
      <c r="C1" s="2594"/>
      <c r="D1" s="2594"/>
      <c r="E1" s="1240"/>
    </row>
    <row r="2" spans="2:5" s="1058" customFormat="1" ht="12.75" customHeight="1" x14ac:dyDescent="0.2">
      <c r="B2" s="2596">
        <f>'Single Audit Cover'!E7</f>
        <v>53090052002</v>
      </c>
      <c r="C2" s="2596"/>
      <c r="D2" s="2596"/>
      <c r="E2" s="1241"/>
    </row>
    <row r="3" spans="2:5" ht="12.75" customHeight="1" x14ac:dyDescent="0.2">
      <c r="B3" s="2617" t="s">
        <v>1746</v>
      </c>
      <c r="C3" s="2617"/>
      <c r="D3" s="2617"/>
      <c r="E3" s="1050"/>
    </row>
    <row r="4" spans="2:5" s="1058" customFormat="1" ht="12.75" customHeight="1" x14ac:dyDescent="0.2">
      <c r="B4" s="2627" t="str">
        <f>'Single Audit Cover'!A4</f>
        <v>Year Ending June 30, 2020</v>
      </c>
      <c r="C4" s="2627"/>
      <c r="D4" s="2627"/>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Normal="100" workbookViewId="0">
      <selection activeCell="Q30" sqref="Q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154382228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2.05043E-2</v>
      </c>
      <c r="E10" s="333" t="s">
        <v>998</v>
      </c>
      <c r="F10" s="332">
        <v>1.6405E-3</v>
      </c>
      <c r="G10" s="333" t="s">
        <v>998</v>
      </c>
      <c r="H10" s="332">
        <v>1.9559999999999998E-3</v>
      </c>
      <c r="I10" s="333" t="s">
        <v>999</v>
      </c>
      <c r="J10" s="1424">
        <f>ROUND(D10+F10+H10,5)</f>
        <v>2.41E-2</v>
      </c>
      <c r="K10" s="217"/>
      <c r="L10" s="332">
        <v>2.8500000000000002E-5</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8010787</v>
      </c>
      <c r="E16" s="1547"/>
      <c r="F16" s="1546">
        <f>SUM('Acct Summary 7-8'!C17,'Acct Summary 7-8'!D17,'Acct Summary 7-8'!F17)</f>
        <v>7367510</v>
      </c>
      <c r="G16" s="1547"/>
      <c r="H16" s="1546">
        <f>SUM(D16-F16)</f>
        <v>643277</v>
      </c>
      <c r="I16" s="1548"/>
      <c r="J16" s="1546">
        <f>SUM('Acct Summary 7-8'!C81,'Acct Summary 7-8'!D81,'Acct Summary 7-8'!F81,'Acct Summary 7-8'!I81)</f>
        <v>5478801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2071</v>
      </c>
      <c r="C31" s="344" t="s">
        <v>582</v>
      </c>
      <c r="D31" s="232" t="s">
        <v>1065</v>
      </c>
      <c r="E31" s="217"/>
      <c r="F31" s="217"/>
      <c r="G31" s="340"/>
      <c r="H31" s="1425">
        <f>IF(B31="X",(J7*0.069),IF(B32="X",(J7*0.138),"Enter x in a.or b."))</f>
        <v>10652373.732000001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2965000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Normal="100" workbookViewId="0">
      <selection activeCell="F25" sqref="F2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1399</v>
      </c>
      <c r="B3" s="2217"/>
      <c r="C3" s="2217"/>
      <c r="D3" s="2217"/>
      <c r="E3" s="2217"/>
      <c r="F3" s="2217"/>
      <c r="G3" s="2217"/>
      <c r="H3" s="2217"/>
      <c r="I3" s="2217"/>
      <c r="J3" s="2217"/>
      <c r="K3" s="2217"/>
      <c r="L3" s="2217"/>
      <c r="M3" s="2217"/>
      <c r="N3" s="2217"/>
      <c r="O3" s="2217"/>
      <c r="P3" s="2217"/>
      <c r="Q3" s="2217"/>
      <c r="R3" s="2217"/>
    </row>
    <row r="4" spans="1:18" x14ac:dyDescent="0.2">
      <c r="A4" s="2218" t="s">
        <v>1540</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Washington SD 52</v>
      </c>
      <c r="E7" s="368"/>
      <c r="G7" s="247"/>
      <c r="H7" s="364"/>
      <c r="I7" s="364"/>
      <c r="J7" s="364"/>
      <c r="K7" s="364"/>
      <c r="L7" s="307"/>
      <c r="M7" s="307"/>
      <c r="N7" s="307"/>
      <c r="O7" s="307"/>
      <c r="P7" s="307"/>
    </row>
    <row r="8" spans="1:18" ht="12.75" x14ac:dyDescent="0.2">
      <c r="A8" s="307"/>
      <c r="B8" s="307"/>
      <c r="C8" s="366" t="s">
        <v>1117</v>
      </c>
      <c r="D8" s="369">
        <f>COVER!A13</f>
        <v>53090052002</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5478801</v>
      </c>
      <c r="I12" s="380"/>
      <c r="J12" s="380"/>
      <c r="K12" s="1559">
        <f>TRUNC((H12/H13*100000),5)/100000</f>
        <v>0.68392793359999993</v>
      </c>
      <c r="L12" s="381"/>
      <c r="M12" s="337" t="s">
        <v>1136</v>
      </c>
      <c r="N12" s="337"/>
      <c r="O12" s="1562">
        <v>0.35</v>
      </c>
      <c r="P12" s="213"/>
      <c r="Q12" s="213"/>
    </row>
    <row r="13" spans="1:18" s="382" customFormat="1" ht="12.75" x14ac:dyDescent="0.2">
      <c r="A13" s="213"/>
      <c r="B13" s="377"/>
      <c r="C13" s="2214" t="s">
        <v>1315</v>
      </c>
      <c r="D13" s="2215"/>
      <c r="E13" s="213"/>
      <c r="F13" s="383" t="s">
        <v>788</v>
      </c>
      <c r="G13" s="378"/>
      <c r="H13" s="1551">
        <f>SUM('Acct Summary 7-8'!C8+'Acct Summary 7-8'!D8+'Acct Summary 7-8'!F8+'Acct Summary 7-8'!I8)+H14</f>
        <v>8010787</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7367510</v>
      </c>
      <c r="I17" s="380"/>
      <c r="J17" s="389"/>
      <c r="K17" s="1559">
        <f>TRUNC((H17/H18*100000),5)/100000</f>
        <v>0.91969865130000006</v>
      </c>
      <c r="L17" s="381"/>
      <c r="M17" s="390" t="s">
        <v>1163</v>
      </c>
      <c r="O17" s="1565" t="str">
        <f>IF(AND(O16="2", J20 &gt; 2),"1",IF(AND(O16 = "1", J20 &gt; 2),"2",IF(AND(O16="1", J20 &gt;1),"1","0")))</f>
        <v>0</v>
      </c>
      <c r="P17" s="213"/>
    </row>
    <row r="18" spans="1:18" s="382" customFormat="1" ht="11.25" x14ac:dyDescent="0.2">
      <c r="A18" s="213"/>
      <c r="B18" s="377"/>
      <c r="C18" s="2214" t="s">
        <v>1308</v>
      </c>
      <c r="D18" s="2215"/>
      <c r="E18" s="213"/>
      <c r="F18" s="391" t="s">
        <v>789</v>
      </c>
      <c r="G18" s="378"/>
      <c r="H18" s="1551">
        <f>SUM('Acct Summary 7-8'!C8+'Acct Summary 7-8'!D8+'Acct Summary 7-8'!F8+'Acct Summary 7-8'!I8)+H19</f>
        <v>8010787</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11" t="s">
        <v>1398</v>
      </c>
      <c r="D24" s="2211"/>
      <c r="E24" s="213"/>
      <c r="F24" s="213" t="s">
        <v>442</v>
      </c>
      <c r="G24" s="378"/>
      <c r="H24" s="1551">
        <f>SUM('Assets-Liab 5-6'!C4+'Assets-Liab 5-6'!D4+'Assets-Liab 5-6'!F4+'Assets-Liab 5-6'!I4+'Assets-Liab 5-6'!C5+'Assets-Liab 5-6'!D5+'Assets-Liab 5-6'!F5+'Assets-Liab 5-6'!I5)</f>
        <v>5478801</v>
      </c>
      <c r="I24" s="394"/>
      <c r="J24" s="394"/>
      <c r="K24" s="1555">
        <f>TRUNC(((H24/H25*100000)/100000),2)</f>
        <v>267.70999999999998</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20465.305560000001</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3162519.9405800002</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3</v>
      </c>
      <c r="P31" s="211"/>
    </row>
    <row r="32" spans="1:18" s="382" customFormat="1" ht="11.25" x14ac:dyDescent="0.2">
      <c r="A32" s="213"/>
      <c r="B32" s="377"/>
      <c r="C32" s="213" t="s">
        <v>842</v>
      </c>
      <c r="D32" s="213"/>
      <c r="E32" s="213"/>
      <c r="F32" s="213"/>
      <c r="G32" s="378"/>
      <c r="H32" s="1551">
        <f>'FP Info 3'!H37</f>
        <v>2965000</v>
      </c>
      <c r="I32" s="392"/>
      <c r="J32" s="392"/>
      <c r="K32" s="1555">
        <f>TRUNC(100-((((H32/H33*100))*100)/100),2)</f>
        <v>72.16</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10652373.732000001</v>
      </c>
      <c r="I33" s="392"/>
      <c r="J33" s="392"/>
      <c r="K33" s="379"/>
      <c r="L33" s="213"/>
      <c r="M33" s="401" t="s">
        <v>1137</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E35" sqref="AE35"/>
      <selection pane="bottomLeft" activeCell="C8" sqref="C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1635</v>
      </c>
      <c r="B4" s="428"/>
      <c r="C4" s="1572">
        <v>836101</v>
      </c>
      <c r="D4" s="1573">
        <v>287940</v>
      </c>
      <c r="E4" s="1573">
        <v>3231</v>
      </c>
      <c r="F4" s="1573">
        <v>161501</v>
      </c>
      <c r="G4" s="1573">
        <v>52907</v>
      </c>
      <c r="H4" s="1573">
        <v>8003</v>
      </c>
      <c r="I4" s="1573">
        <v>13269</v>
      </c>
      <c r="J4" s="1574">
        <v>21485</v>
      </c>
      <c r="K4" s="1573">
        <v>40829</v>
      </c>
      <c r="L4" s="1573">
        <v>45533</v>
      </c>
      <c r="M4" s="1575"/>
      <c r="N4" s="1576"/>
    </row>
    <row r="5" spans="1:14" x14ac:dyDescent="0.2">
      <c r="A5" s="427" t="s">
        <v>985</v>
      </c>
      <c r="B5" s="429">
        <v>120</v>
      </c>
      <c r="C5" s="1572">
        <v>1850393</v>
      </c>
      <c r="D5" s="1573">
        <v>779278</v>
      </c>
      <c r="E5" s="1573">
        <v>42459</v>
      </c>
      <c r="F5" s="1573">
        <v>431510</v>
      </c>
      <c r="G5" s="1573">
        <v>182756</v>
      </c>
      <c r="H5" s="1573"/>
      <c r="I5" s="1573">
        <v>1118809</v>
      </c>
      <c r="J5" s="1574"/>
      <c r="K5" s="1577">
        <v>153520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2686494</v>
      </c>
      <c r="D13" s="1587">
        <f t="shared" ref="D13:L13" si="0">SUM(D4:D12)</f>
        <v>1067218</v>
      </c>
      <c r="E13" s="1587">
        <f t="shared" si="0"/>
        <v>45690</v>
      </c>
      <c r="F13" s="1587">
        <f t="shared" si="0"/>
        <v>593011</v>
      </c>
      <c r="G13" s="1587">
        <f t="shared" si="0"/>
        <v>235663</v>
      </c>
      <c r="H13" s="1587">
        <f t="shared" si="0"/>
        <v>8003</v>
      </c>
      <c r="I13" s="1587">
        <f t="shared" si="0"/>
        <v>1132078</v>
      </c>
      <c r="J13" s="1587">
        <f t="shared" si="0"/>
        <v>21485</v>
      </c>
      <c r="K13" s="1587">
        <f t="shared" si="0"/>
        <v>194349</v>
      </c>
      <c r="L13" s="1587">
        <f t="shared" si="0"/>
        <v>45533</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676588</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14968781</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233017</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1285168</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f>E13</f>
        <v>45690</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2919310</v>
      </c>
    </row>
    <row r="23" spans="1:14" ht="13.5" customHeight="1" thickBot="1" x14ac:dyDescent="0.25">
      <c r="A23" s="1426" t="s">
        <v>638</v>
      </c>
      <c r="B23" s="1429"/>
      <c r="C23" s="1575"/>
      <c r="D23" s="1575"/>
      <c r="E23" s="1575"/>
      <c r="F23" s="1575"/>
      <c r="G23" s="1575"/>
      <c r="H23" s="1575"/>
      <c r="I23" s="1575"/>
      <c r="J23" s="1575"/>
      <c r="K23" s="1575"/>
      <c r="L23" s="1575"/>
      <c r="M23" s="1594">
        <f>SUM(M15:M22)</f>
        <v>17163554</v>
      </c>
      <c r="N23" s="1594">
        <f>SUM(N21:N22)</f>
        <v>2965000</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3"/>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45533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45533</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2965000</v>
      </c>
    </row>
    <row r="37" spans="1:14" ht="13.5" thickBot="1" x14ac:dyDescent="0.25">
      <c r="A37" s="1426" t="s">
        <v>648</v>
      </c>
      <c r="B37" s="1429"/>
      <c r="C37" s="1582"/>
      <c r="D37" s="1582"/>
      <c r="E37" s="1582"/>
      <c r="F37" s="1582"/>
      <c r="G37" s="1582"/>
      <c r="H37" s="1582"/>
      <c r="I37" s="1582"/>
      <c r="J37" s="1582"/>
      <c r="K37" s="1582"/>
      <c r="L37" s="1585"/>
      <c r="M37" s="1575"/>
      <c r="N37" s="1594">
        <f>SUM(N36:N36)</f>
        <v>2965000</v>
      </c>
    </row>
    <row r="38" spans="1:14" s="307" customFormat="1" ht="13.5" customHeight="1" thickTop="1" x14ac:dyDescent="0.2">
      <c r="A38" s="438" t="s">
        <v>417</v>
      </c>
      <c r="B38" s="432">
        <v>714</v>
      </c>
      <c r="C38" s="1573"/>
      <c r="D38" s="1573">
        <v>50000</v>
      </c>
      <c r="E38" s="1573"/>
      <c r="F38" s="1573"/>
      <c r="G38" s="1573">
        <v>45106</v>
      </c>
      <c r="H38" s="1573"/>
      <c r="I38" s="1573"/>
      <c r="J38" s="1574"/>
      <c r="K38" s="1573"/>
      <c r="L38" s="1586"/>
      <c r="M38" s="1604"/>
      <c r="N38" s="1604"/>
    </row>
    <row r="39" spans="1:14" s="307" customFormat="1" ht="13.5" customHeight="1" x14ac:dyDescent="0.2">
      <c r="A39" s="438" t="s">
        <v>339</v>
      </c>
      <c r="B39" s="432">
        <v>730</v>
      </c>
      <c r="C39" s="1573">
        <f>'Acct Summary 7-8'!C81</f>
        <v>2686494</v>
      </c>
      <c r="D39" s="1573">
        <f>'Acct Summary 7-8'!D81-D38</f>
        <v>1017218</v>
      </c>
      <c r="E39" s="1573">
        <f>'Acct Summary 7-8'!E81</f>
        <v>45690</v>
      </c>
      <c r="F39" s="1573">
        <f>'Acct Summary 7-8'!F81</f>
        <v>593011</v>
      </c>
      <c r="G39" s="1573">
        <f>'Acct Summary 7-8'!G81-G38</f>
        <v>190557</v>
      </c>
      <c r="H39" s="1573">
        <f>'Acct Summary 7-8'!H81</f>
        <v>8003</v>
      </c>
      <c r="I39" s="1573">
        <f>'Acct Summary 7-8'!I81</f>
        <v>1132078</v>
      </c>
      <c r="J39" s="1573">
        <f>'Acct Summary 7-8'!J81</f>
        <v>21485</v>
      </c>
      <c r="K39" s="1573">
        <f>'Acct Summary 7-8'!K81</f>
        <v>194349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17163554</v>
      </c>
      <c r="N40" s="1604"/>
    </row>
    <row r="41" spans="1:14" ht="13.5" customHeight="1" thickBot="1" x14ac:dyDescent="0.25">
      <c r="A41" s="1426" t="s">
        <v>650</v>
      </c>
      <c r="B41" s="1405"/>
      <c r="C41" s="1594">
        <f>(SUM(C34,C37,C38,C39))</f>
        <v>2686494</v>
      </c>
      <c r="D41" s="1594">
        <f t="shared" ref="D41:L41" si="2">SUM(D34,D37,D38:D39)</f>
        <v>1067218</v>
      </c>
      <c r="E41" s="1594">
        <f t="shared" si="2"/>
        <v>45690</v>
      </c>
      <c r="F41" s="1594">
        <f t="shared" si="2"/>
        <v>593011</v>
      </c>
      <c r="G41" s="1594">
        <f t="shared" si="2"/>
        <v>235663</v>
      </c>
      <c r="H41" s="1594">
        <f t="shared" si="2"/>
        <v>8003</v>
      </c>
      <c r="I41" s="1594">
        <f t="shared" si="2"/>
        <v>1132078</v>
      </c>
      <c r="J41" s="1594">
        <f t="shared" si="2"/>
        <v>21485</v>
      </c>
      <c r="K41" s="1594">
        <f t="shared" si="2"/>
        <v>194349</v>
      </c>
      <c r="L41" s="1594">
        <f t="shared" si="2"/>
        <v>45533</v>
      </c>
      <c r="M41" s="1594">
        <f>SUM(M40)</f>
        <v>17163554</v>
      </c>
      <c r="N41" s="1594">
        <f>SUM(N37)</f>
        <v>2965000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48" activePane="bottomLeft" state="frozen"/>
      <selection activeCell="AE35" sqref="AE35"/>
      <selection pane="bottomLeft" activeCell="D50" sqref="D5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1167</v>
      </c>
      <c r="B3" s="2250"/>
      <c r="C3" s="1311"/>
      <c r="D3" s="1312"/>
      <c r="E3" s="1312"/>
      <c r="F3" s="1312"/>
      <c r="G3" s="1312"/>
      <c r="H3" s="1312"/>
      <c r="I3" s="1312"/>
      <c r="J3" s="1312"/>
      <c r="K3" s="1313"/>
      <c r="L3" s="446"/>
    </row>
    <row r="4" spans="1:13" ht="15.75" customHeight="1" x14ac:dyDescent="0.2">
      <c r="A4" s="1537" t="s">
        <v>1485</v>
      </c>
      <c r="B4" s="1538">
        <v>1000</v>
      </c>
      <c r="C4" s="1606">
        <f>'Revenues 9-14'!C109</f>
        <v>3663066</v>
      </c>
      <c r="D4" s="1606">
        <f>'Revenues 9-14'!D109</f>
        <v>304456</v>
      </c>
      <c r="E4" s="1606">
        <f>'Revenues 9-14'!E109</f>
        <v>456498</v>
      </c>
      <c r="F4" s="1606">
        <f>'Revenues 9-14'!F109</f>
        <v>269618</v>
      </c>
      <c r="G4" s="1606">
        <f>'Revenues 9-14'!G109</f>
        <v>244880</v>
      </c>
      <c r="H4" s="1606">
        <f>'Revenues 9-14'!H109</f>
        <v>91</v>
      </c>
      <c r="I4" s="1606">
        <f>'Revenues 9-14'!I109</f>
        <v>21670</v>
      </c>
      <c r="J4" s="1606">
        <f>'Revenues 9-14'!J109</f>
        <v>37637</v>
      </c>
      <c r="K4" s="1606">
        <f>'Revenues 9-14'!K109</f>
        <v>32083</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3097066</v>
      </c>
      <c r="D6" s="1607">
        <f>'Revenues 9-14'!D170</f>
        <v>50000</v>
      </c>
      <c r="E6" s="1607">
        <f>'Revenues 9-14'!E170</f>
        <v>0</v>
      </c>
      <c r="F6" s="1607">
        <f>'Revenues 9-14'!F170</f>
        <v>254556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350355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7110487</v>
      </c>
      <c r="D8" s="1594">
        <f t="shared" ref="D8:K8" si="0">SUM(D4:D7)</f>
        <v>354456</v>
      </c>
      <c r="E8" s="1594">
        <f t="shared" si="0"/>
        <v>456498</v>
      </c>
      <c r="F8" s="1594">
        <f t="shared" si="0"/>
        <v>524174</v>
      </c>
      <c r="G8" s="1594">
        <f t="shared" si="0"/>
        <v>244880</v>
      </c>
      <c r="H8" s="1594">
        <f t="shared" si="0"/>
        <v>91</v>
      </c>
      <c r="I8" s="1594">
        <f t="shared" si="0"/>
        <v>21670</v>
      </c>
      <c r="J8" s="1594">
        <f t="shared" si="0"/>
        <v>37637</v>
      </c>
      <c r="K8" s="1594">
        <f t="shared" si="0"/>
        <v>32083</v>
      </c>
      <c r="L8" s="325"/>
    </row>
    <row r="9" spans="1:13" ht="15.75" thickTop="1" x14ac:dyDescent="0.2">
      <c r="A9" s="449" t="s">
        <v>1637</v>
      </c>
      <c r="B9" s="450">
        <v>3998</v>
      </c>
      <c r="C9" s="1586">
        <f>2748738+43462</f>
        <v>2792200</v>
      </c>
      <c r="D9" s="1613"/>
      <c r="E9" s="1586"/>
      <c r="F9" s="1586"/>
      <c r="G9" s="1614"/>
      <c r="H9" s="1586"/>
      <c r="I9" s="1609" t="s">
        <v>1161</v>
      </c>
      <c r="J9" s="1583"/>
      <c r="K9" s="1586"/>
      <c r="L9" s="325"/>
    </row>
    <row r="10" spans="1:13" s="452" customFormat="1" ht="13.5" thickBot="1" x14ac:dyDescent="0.25">
      <c r="A10" s="1426" t="s">
        <v>1165</v>
      </c>
      <c r="B10" s="1407"/>
      <c r="C10" s="1594">
        <f>SUM(C8:C9)</f>
        <v>9902687</v>
      </c>
      <c r="D10" s="1594">
        <f t="shared" ref="D10:K10" si="1">SUM(D8:D9)</f>
        <v>354456</v>
      </c>
      <c r="E10" s="1594">
        <f t="shared" si="1"/>
        <v>456498</v>
      </c>
      <c r="F10" s="1594">
        <f t="shared" si="1"/>
        <v>524174</v>
      </c>
      <c r="G10" s="1594">
        <f t="shared" si="1"/>
        <v>244880</v>
      </c>
      <c r="H10" s="1594">
        <f t="shared" si="1"/>
        <v>91</v>
      </c>
      <c r="I10" s="1594">
        <f t="shared" si="1"/>
        <v>21670</v>
      </c>
      <c r="J10" s="1594">
        <f t="shared" si="1"/>
        <v>37637</v>
      </c>
      <c r="K10" s="1594">
        <f t="shared" si="1"/>
        <v>32083</v>
      </c>
      <c r="L10" s="451"/>
    </row>
    <row r="11" spans="1:13" s="452" customFormat="1" ht="16.7" customHeight="1" thickTop="1" x14ac:dyDescent="0.2">
      <c r="A11" s="2223" t="s">
        <v>1168</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4163814</v>
      </c>
      <c r="D12" s="1616" t="s">
        <v>1161</v>
      </c>
      <c r="E12" s="1575" t="s">
        <v>1161</v>
      </c>
      <c r="F12" s="1575" t="s">
        <v>1161</v>
      </c>
      <c r="G12" s="1606">
        <f>'Expenditures 15-22'!K229</f>
        <v>101167</v>
      </c>
      <c r="H12" s="1617"/>
      <c r="I12" s="1575" t="s">
        <v>1161</v>
      </c>
      <c r="J12" s="1575" t="s">
        <v>1161</v>
      </c>
      <c r="K12" s="1617" t="s">
        <v>1161</v>
      </c>
      <c r="L12" s="325"/>
    </row>
    <row r="13" spans="1:13" ht="15.75" customHeight="1" x14ac:dyDescent="0.2">
      <c r="A13" s="1314" t="s">
        <v>454</v>
      </c>
      <c r="B13" s="1316">
        <v>2000</v>
      </c>
      <c r="C13" s="1607">
        <f>'Expenditures 15-22'!K74</f>
        <v>1934854</v>
      </c>
      <c r="D13" s="1607">
        <f>'Expenditures 15-22'!K129</f>
        <v>350899</v>
      </c>
      <c r="E13" s="1576" t="s">
        <v>1161</v>
      </c>
      <c r="F13" s="1607">
        <f>'Expenditures 15-22'!K184</f>
        <v>456999</v>
      </c>
      <c r="G13" s="1607">
        <f>'Expenditures 15-22'!K279</f>
        <v>102802</v>
      </c>
      <c r="H13" s="1607">
        <f>'Expenditures 15-22'!K303</f>
        <v>0</v>
      </c>
      <c r="I13" s="1575" t="s">
        <v>1161</v>
      </c>
      <c r="J13" s="1607">
        <f>'Expenditures 15-22'!K330</f>
        <v>34560</v>
      </c>
      <c r="K13" s="1618">
        <f>'Expenditures 15-22'!K352</f>
        <v>0</v>
      </c>
      <c r="L13" s="325"/>
    </row>
    <row r="14" spans="1:13" ht="15.75" customHeight="1" x14ac:dyDescent="0.2">
      <c r="A14" s="1314" t="s">
        <v>446</v>
      </c>
      <c r="B14" s="1316">
        <v>3000</v>
      </c>
      <c r="C14" s="1607">
        <f>'Expenditures 15-22'!K75</f>
        <v>89832</v>
      </c>
      <c r="D14" s="1607">
        <f>'Expenditures 15-22'!K130</f>
        <v>0</v>
      </c>
      <c r="E14" s="1616" t="s">
        <v>1161</v>
      </c>
      <c r="F14" s="1607">
        <f>'Expenditures 15-22'!K185</f>
        <v>0</v>
      </c>
      <c r="G14" s="1607">
        <f>'Expenditures 15-22'!K280</f>
        <v>11484</v>
      </c>
      <c r="H14" s="1612"/>
      <c r="I14" s="1575" t="s">
        <v>1161</v>
      </c>
      <c r="J14" s="1575" t="s">
        <v>1161</v>
      </c>
      <c r="K14" s="1612" t="s">
        <v>1161</v>
      </c>
      <c r="L14" s="325"/>
    </row>
    <row r="15" spans="1:13" ht="15.75" customHeight="1" x14ac:dyDescent="0.2">
      <c r="A15" s="1314" t="s">
        <v>107</v>
      </c>
      <c r="B15" s="1316">
        <v>4000</v>
      </c>
      <c r="C15" s="1607">
        <f>'Expenditures 15-22'!K102</f>
        <v>371112</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451489</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6559612</v>
      </c>
      <c r="D17" s="1594">
        <f t="shared" si="2"/>
        <v>350899</v>
      </c>
      <c r="E17" s="1594">
        <f t="shared" si="2"/>
        <v>451489</v>
      </c>
      <c r="F17" s="1594">
        <f t="shared" si="2"/>
        <v>456999</v>
      </c>
      <c r="G17" s="1594">
        <f t="shared" si="2"/>
        <v>215453</v>
      </c>
      <c r="H17" s="1594">
        <f t="shared" si="2"/>
        <v>0</v>
      </c>
      <c r="I17" s="1575"/>
      <c r="J17" s="1594">
        <f>SUM(J12:J16)</f>
        <v>34560</v>
      </c>
      <c r="K17" s="1594">
        <f>SUM(K12:K16)</f>
        <v>0</v>
      </c>
      <c r="L17" s="325"/>
    </row>
    <row r="18" spans="1:12" ht="15" customHeight="1" thickTop="1" x14ac:dyDescent="0.2">
      <c r="A18" s="1430" t="s">
        <v>1638</v>
      </c>
      <c r="B18" s="1431">
        <v>4180</v>
      </c>
      <c r="C18" s="1606">
        <f t="shared" ref="C18:H18" si="3">C9</f>
        <v>2792200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9351812</v>
      </c>
      <c r="D19" s="1594">
        <f t="shared" si="4"/>
        <v>350899</v>
      </c>
      <c r="E19" s="1594">
        <f t="shared" si="4"/>
        <v>451489</v>
      </c>
      <c r="F19" s="1594">
        <f t="shared" si="4"/>
        <v>456999</v>
      </c>
      <c r="G19" s="1594">
        <f t="shared" si="4"/>
        <v>215453</v>
      </c>
      <c r="H19" s="1594">
        <f t="shared" si="4"/>
        <v>0</v>
      </c>
      <c r="I19" s="1575"/>
      <c r="J19" s="1594">
        <f>SUM(J17:J18)</f>
        <v>34560</v>
      </c>
      <c r="K19" s="1594">
        <f>SUM(K17:K18)</f>
        <v>0</v>
      </c>
      <c r="L19" s="325"/>
    </row>
    <row r="20" spans="1:12" ht="16.5" thickTop="1" thickBot="1" x14ac:dyDescent="0.25">
      <c r="A20" s="2239" t="s">
        <v>1639</v>
      </c>
      <c r="B20" s="2240"/>
      <c r="C20" s="1622">
        <f>C8-C17</f>
        <v>550875</v>
      </c>
      <c r="D20" s="1622">
        <f t="shared" ref="D20:K20" si="5">D8-D17</f>
        <v>3557</v>
      </c>
      <c r="E20" s="1622">
        <f t="shared" si="5"/>
        <v>5009</v>
      </c>
      <c r="F20" s="1622">
        <f t="shared" si="5"/>
        <v>67175</v>
      </c>
      <c r="G20" s="1622">
        <f t="shared" si="5"/>
        <v>29427</v>
      </c>
      <c r="H20" s="1622">
        <f t="shared" si="5"/>
        <v>91</v>
      </c>
      <c r="I20" s="1622">
        <f t="shared" si="5"/>
        <v>21670</v>
      </c>
      <c r="J20" s="1622">
        <f t="shared" si="5"/>
        <v>3077</v>
      </c>
      <c r="K20" s="1622">
        <f t="shared" si="5"/>
        <v>32083</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v>20000</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v>250000</v>
      </c>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3" t="s">
        <v>371</v>
      </c>
      <c r="B44" s="2254"/>
      <c r="C44" s="1624">
        <f>SUM(C24:C43)</f>
        <v>20000</v>
      </c>
      <c r="D44" s="1624">
        <f t="shared" ref="D44:K44" si="6">SUM(D24:D43)</f>
        <v>0</v>
      </c>
      <c r="E44" s="1624">
        <f t="shared" si="6"/>
        <v>0</v>
      </c>
      <c r="F44" s="1624">
        <f t="shared" si="6"/>
        <v>250000</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20000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v>250000</v>
      </c>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9" t="s">
        <v>437</v>
      </c>
      <c r="B76" s="2230"/>
      <c r="C76" s="1624">
        <f t="shared" ref="C76:K76" si="7">SUM(C47:C75)</f>
        <v>0</v>
      </c>
      <c r="D76" s="1624">
        <f t="shared" si="7"/>
        <v>250000</v>
      </c>
      <c r="E76" s="1624">
        <f t="shared" si="7"/>
        <v>0</v>
      </c>
      <c r="F76" s="1624">
        <f t="shared" si="7"/>
        <v>0</v>
      </c>
      <c r="G76" s="1624">
        <f t="shared" si="7"/>
        <v>0</v>
      </c>
      <c r="H76" s="1624">
        <f t="shared" si="7"/>
        <v>0</v>
      </c>
      <c r="I76" s="1624">
        <f t="shared" si="7"/>
        <v>20000</v>
      </c>
      <c r="J76" s="1624">
        <f t="shared" si="7"/>
        <v>0</v>
      </c>
      <c r="K76" s="1624">
        <f t="shared" si="7"/>
        <v>0</v>
      </c>
      <c r="L76" s="453"/>
    </row>
    <row r="77" spans="1:12" ht="14.25" thickTop="1" thickBot="1" x14ac:dyDescent="0.25">
      <c r="A77" s="2231" t="s">
        <v>1169</v>
      </c>
      <c r="B77" s="2232"/>
      <c r="C77" s="1624">
        <f t="shared" ref="C77:K77" si="8">C44-C76</f>
        <v>20000</v>
      </c>
      <c r="D77" s="1624">
        <f t="shared" si="8"/>
        <v>-250000</v>
      </c>
      <c r="E77" s="1624">
        <f t="shared" si="8"/>
        <v>0</v>
      </c>
      <c r="F77" s="1624">
        <f t="shared" si="8"/>
        <v>250000</v>
      </c>
      <c r="G77" s="1624">
        <f t="shared" si="8"/>
        <v>0</v>
      </c>
      <c r="H77" s="1624">
        <f t="shared" si="8"/>
        <v>0</v>
      </c>
      <c r="I77" s="1624">
        <f t="shared" si="8"/>
        <v>-20000</v>
      </c>
      <c r="J77" s="1624">
        <f t="shared" si="8"/>
        <v>0</v>
      </c>
      <c r="K77" s="1624">
        <f t="shared" si="8"/>
        <v>0</v>
      </c>
      <c r="L77" s="325"/>
    </row>
    <row r="78" spans="1:12" ht="21.75" customHeight="1" thickTop="1" thickBot="1" x14ac:dyDescent="0.25">
      <c r="A78" s="2235" t="s">
        <v>593</v>
      </c>
      <c r="B78" s="2236"/>
      <c r="C78" s="1629">
        <f t="shared" ref="C78:K78" si="9">C20+C77</f>
        <v>570875</v>
      </c>
      <c r="D78" s="1629">
        <f t="shared" si="9"/>
        <v>-246443</v>
      </c>
      <c r="E78" s="1629">
        <f t="shared" si="9"/>
        <v>5009</v>
      </c>
      <c r="F78" s="1629">
        <f t="shared" si="9"/>
        <v>317175</v>
      </c>
      <c r="G78" s="1629">
        <f t="shared" si="9"/>
        <v>29427</v>
      </c>
      <c r="H78" s="1629">
        <f t="shared" si="9"/>
        <v>91</v>
      </c>
      <c r="I78" s="1629">
        <f t="shared" si="9"/>
        <v>1670</v>
      </c>
      <c r="J78" s="1629">
        <f t="shared" si="9"/>
        <v>3077</v>
      </c>
      <c r="K78" s="1629">
        <f t="shared" si="9"/>
        <v>32083</v>
      </c>
      <c r="L78" s="457"/>
    </row>
    <row r="79" spans="1:12" ht="13.5" thickTop="1" x14ac:dyDescent="0.2">
      <c r="A79" s="1844" t="str">
        <f>"Fund Balances - July 1, "&amp;'AFR20'!E2-1</f>
        <v>Fund Balances - July 1, 2019</v>
      </c>
      <c r="B79" s="458"/>
      <c r="C79" s="1583">
        <v>2115619</v>
      </c>
      <c r="D79" s="1630">
        <v>1313661</v>
      </c>
      <c r="E79" s="1630">
        <v>40681</v>
      </c>
      <c r="F79" s="1630">
        <v>275836</v>
      </c>
      <c r="G79" s="1630">
        <v>206236</v>
      </c>
      <c r="H79" s="1630">
        <v>7912</v>
      </c>
      <c r="I79" s="1630">
        <v>1130408</v>
      </c>
      <c r="J79" s="1630">
        <v>18408</v>
      </c>
      <c r="K79" s="1630">
        <v>162266</v>
      </c>
      <c r="L79" s="325"/>
    </row>
    <row r="80" spans="1:12" x14ac:dyDescent="0.2">
      <c r="A80" s="2241" t="s">
        <v>1775</v>
      </c>
      <c r="B80" s="2242"/>
      <c r="C80" s="1574"/>
      <c r="D80" s="1574"/>
      <c r="E80" s="1574"/>
      <c r="F80" s="1574"/>
      <c r="G80" s="1574"/>
      <c r="H80" s="1574"/>
      <c r="I80" s="1574"/>
      <c r="J80" s="1574"/>
      <c r="K80" s="1574"/>
      <c r="L80" s="325"/>
    </row>
    <row r="81" spans="1:12" ht="13.5" thickBot="1" x14ac:dyDescent="0.25">
      <c r="A81" s="2233" t="str">
        <f>"Fund Balances - June 30, "&amp;'AFR20'!E2</f>
        <v>Fund Balances - June 30, 2020</v>
      </c>
      <c r="B81" s="2234"/>
      <c r="C81" s="1594">
        <f>(SUM(C78:C80))</f>
        <v>2686494</v>
      </c>
      <c r="D81" s="1594">
        <f>SUM(D78:D80)</f>
        <v>1067218</v>
      </c>
      <c r="E81" s="1594">
        <f t="shared" ref="E81:K81" si="10">SUM(E78:E80)</f>
        <v>45690</v>
      </c>
      <c r="F81" s="1594">
        <f t="shared" si="10"/>
        <v>593011</v>
      </c>
      <c r="G81" s="1594">
        <f t="shared" si="10"/>
        <v>235663</v>
      </c>
      <c r="H81" s="1594">
        <f t="shared" si="10"/>
        <v>8003</v>
      </c>
      <c r="I81" s="1594">
        <f t="shared" si="10"/>
        <v>1132078</v>
      </c>
      <c r="J81" s="1594">
        <f t="shared" si="10"/>
        <v>21485</v>
      </c>
      <c r="K81" s="1594">
        <f t="shared" si="10"/>
        <v>194349</v>
      </c>
      <c r="L81" s="325"/>
    </row>
    <row r="82" spans="1:12" ht="0.75" customHeight="1" thickTop="1" thickBot="1" x14ac:dyDescent="0.25">
      <c r="A82" s="459" t="s">
        <v>340</v>
      </c>
      <c r="B82" s="460"/>
      <c r="C82" s="461">
        <f>(C81-C79)</f>
        <v>570875</v>
      </c>
      <c r="D82" s="461">
        <f t="shared" ref="D82:K82" si="11">(D81-D79)</f>
        <v>-246443</v>
      </c>
      <c r="E82" s="461">
        <f t="shared" si="11"/>
        <v>5009</v>
      </c>
      <c r="F82" s="461">
        <f t="shared" si="11"/>
        <v>317175</v>
      </c>
      <c r="G82" s="461">
        <f t="shared" si="11"/>
        <v>29427</v>
      </c>
      <c r="H82" s="461">
        <f t="shared" si="11"/>
        <v>91</v>
      </c>
      <c r="I82" s="461">
        <f t="shared" si="11"/>
        <v>1670</v>
      </c>
      <c r="J82" s="461">
        <f t="shared" si="11"/>
        <v>3077</v>
      </c>
      <c r="K82" s="461">
        <f t="shared" si="11"/>
        <v>32083</v>
      </c>
    </row>
    <row r="83" spans="1:12" ht="14.25" hidden="1" thickTop="1" thickBot="1" x14ac:dyDescent="0.25">
      <c r="A83" s="462" t="s">
        <v>341</v>
      </c>
      <c r="B83" s="428"/>
      <c r="C83" s="463">
        <f>C82/C81</f>
        <v>0.21249814814401224</v>
      </c>
      <c r="D83" s="463">
        <f t="shared" ref="D83:K83" si="12">D82/D81</f>
        <v>-0.23092095523126485</v>
      </c>
      <c r="E83" s="463">
        <f t="shared" si="12"/>
        <v>0.10963011599912453</v>
      </c>
      <c r="F83" s="463">
        <f t="shared" si="12"/>
        <v>0.53485517132059945</v>
      </c>
      <c r="G83" s="463">
        <f t="shared" si="12"/>
        <v>0.12486898664618544</v>
      </c>
      <c r="H83" s="463">
        <f t="shared" si="12"/>
        <v>1.1370735974009746E-2</v>
      </c>
      <c r="I83" s="463">
        <f t="shared" si="12"/>
        <v>1.4751633721351355E-3</v>
      </c>
      <c r="J83" s="463">
        <f t="shared" si="12"/>
        <v>0.14321619734698626</v>
      </c>
      <c r="K83" s="463">
        <f t="shared" si="12"/>
        <v>0.16507931607571946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43" activePane="bottomLeft" state="frozen"/>
      <selection activeCell="AE35" sqref="AE35"/>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1782</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3132446</v>
      </c>
      <c r="D5" s="1586">
        <v>243678</v>
      </c>
      <c r="E5" s="1573">
        <v>453859</v>
      </c>
      <c r="F5" s="1631">
        <v>263363</v>
      </c>
      <c r="G5" s="1573">
        <v>39002</v>
      </c>
      <c r="H5" s="1573"/>
      <c r="I5" s="1573">
        <v>4017</v>
      </c>
      <c r="J5" s="1574">
        <v>37058</v>
      </c>
      <c r="K5" s="1573">
        <v>29269</v>
      </c>
    </row>
    <row r="6" spans="1:12" ht="15" x14ac:dyDescent="0.2">
      <c r="A6" s="427" t="s">
        <v>1646</v>
      </c>
      <c r="B6" s="429">
        <v>1130</v>
      </c>
      <c r="C6" s="1573">
        <v>2164</v>
      </c>
      <c r="D6" s="1573"/>
      <c r="E6" s="1580"/>
      <c r="F6" s="1580"/>
      <c r="G6" s="1575"/>
      <c r="H6" s="1575"/>
      <c r="I6" s="1575"/>
      <c r="J6" s="1575"/>
      <c r="K6" s="1575"/>
    </row>
    <row r="7" spans="1:12" x14ac:dyDescent="0.2">
      <c r="A7" s="427" t="s">
        <v>110</v>
      </c>
      <c r="B7" s="471">
        <v>1140</v>
      </c>
      <c r="C7" s="1573">
        <v>32182</v>
      </c>
      <c r="D7" s="1573"/>
      <c r="E7" s="1575"/>
      <c r="F7" s="1574"/>
      <c r="G7" s="1574"/>
      <c r="H7" s="1574"/>
      <c r="I7" s="1575"/>
      <c r="J7" s="1575"/>
      <c r="K7" s="1575"/>
    </row>
    <row r="8" spans="1:12" x14ac:dyDescent="0.2">
      <c r="A8" s="427" t="s">
        <v>410</v>
      </c>
      <c r="B8" s="429">
        <v>1150</v>
      </c>
      <c r="C8" s="1580"/>
      <c r="D8" s="1580"/>
      <c r="E8" s="1582"/>
      <c r="F8" s="1582"/>
      <c r="G8" s="1586">
        <v>143289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3166792</v>
      </c>
      <c r="D12" s="1633">
        <f t="shared" si="0"/>
        <v>243678</v>
      </c>
      <c r="E12" s="1633">
        <f t="shared" si="0"/>
        <v>453859</v>
      </c>
      <c r="F12" s="1633">
        <f t="shared" si="0"/>
        <v>263363</v>
      </c>
      <c r="G12" s="1633">
        <f t="shared" si="0"/>
        <v>182291</v>
      </c>
      <c r="H12" s="1633">
        <f t="shared" si="0"/>
        <v>0</v>
      </c>
      <c r="I12" s="1633">
        <f t="shared" si="0"/>
        <v>4017</v>
      </c>
      <c r="J12" s="1633">
        <f t="shared" si="0"/>
        <v>37058</v>
      </c>
      <c r="K12" s="1594">
        <f t="shared" si="0"/>
        <v>29269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c r="D16" s="1573">
        <v>38834</v>
      </c>
      <c r="E16" s="1573"/>
      <c r="F16" s="1573"/>
      <c r="G16" s="1573">
        <v>58251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38834</v>
      </c>
      <c r="E18" s="1635">
        <f t="shared" si="1"/>
        <v>0</v>
      </c>
      <c r="F18" s="1635">
        <f t="shared" si="1"/>
        <v>0</v>
      </c>
      <c r="G18" s="1635">
        <f t="shared" si="1"/>
        <v>58251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v>16460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v>92421</v>
      </c>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73297</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182178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52117</v>
      </c>
      <c r="D65" s="1573">
        <v>19494</v>
      </c>
      <c r="E65" s="1573">
        <v>2639</v>
      </c>
      <c r="F65" s="1574">
        <v>6255</v>
      </c>
      <c r="G65" s="1573">
        <v>4338</v>
      </c>
      <c r="H65" s="1573">
        <v>91</v>
      </c>
      <c r="I65" s="1573">
        <v>17653</v>
      </c>
      <c r="J65" s="1574">
        <v>579</v>
      </c>
      <c r="K65" s="1573">
        <v>2814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52117</v>
      </c>
      <c r="D67" s="1594">
        <f t="shared" ref="D67:K67" si="2">SUM(D65:D66)</f>
        <v>19494</v>
      </c>
      <c r="E67" s="1594">
        <f t="shared" si="2"/>
        <v>2639</v>
      </c>
      <c r="F67" s="1594">
        <f t="shared" si="2"/>
        <v>6255</v>
      </c>
      <c r="G67" s="1594">
        <f t="shared" si="2"/>
        <v>4338</v>
      </c>
      <c r="H67" s="1594">
        <f t="shared" si="2"/>
        <v>91</v>
      </c>
      <c r="I67" s="1594">
        <f t="shared" si="2"/>
        <v>17653</v>
      </c>
      <c r="J67" s="1594">
        <f t="shared" si="2"/>
        <v>579</v>
      </c>
      <c r="K67" s="1594">
        <f t="shared" si="2"/>
        <v>2814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93984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93988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8697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12545</v>
      </c>
      <c r="D81" s="1573"/>
      <c r="E81" s="1575"/>
      <c r="F81" s="1575"/>
      <c r="G81" s="1575"/>
      <c r="H81" s="1575"/>
      <c r="I81" s="1575"/>
      <c r="J81" s="1575"/>
      <c r="K81" s="1575"/>
    </row>
    <row r="82" spans="1:11" ht="12.75" customHeight="1" thickBot="1" x14ac:dyDescent="0.25">
      <c r="A82" s="1406" t="s">
        <v>239</v>
      </c>
      <c r="B82" s="1407"/>
      <c r="C82" s="1633">
        <f>SUM(C77:C81)</f>
        <v>21242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81487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81487</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v>2450</v>
      </c>
      <c r="E95" s="1617"/>
      <c r="F95" s="1617"/>
      <c r="G95" s="1617"/>
      <c r="H95" s="1617"/>
      <c r="I95" s="1617"/>
      <c r="J95" s="1617"/>
      <c r="K95" s="1617"/>
    </row>
    <row r="96" spans="1:11" ht="12.75" customHeight="1" x14ac:dyDescent="0.2">
      <c r="A96" s="427" t="s">
        <v>388</v>
      </c>
      <c r="B96" s="429">
        <v>1920</v>
      </c>
      <c r="C96" s="1632">
        <v>2404</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45703</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17155</v>
      </c>
      <c r="D107" s="1573"/>
      <c r="E107" s="1573"/>
      <c r="F107" s="1573"/>
      <c r="G107" s="1573"/>
      <c r="H107" s="1573"/>
      <c r="I107" s="1573"/>
      <c r="J107" s="1574"/>
      <c r="K107" s="1573"/>
    </row>
    <row r="108" spans="1:12" ht="12.75" customHeight="1" thickBot="1" x14ac:dyDescent="0.25">
      <c r="A108" s="1406" t="s">
        <v>484</v>
      </c>
      <c r="B108" s="1408"/>
      <c r="C108" s="1633">
        <f>SUM(C95:C107)</f>
        <v>65262</v>
      </c>
      <c r="D108" s="1633">
        <f t="shared" ref="D108:K108" si="3">SUM(D95:D107)</f>
        <v>2450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3663066</v>
      </c>
      <c r="D109" s="1641">
        <f t="shared" si="4"/>
        <v>304456</v>
      </c>
      <c r="E109" s="1641">
        <f t="shared" si="4"/>
        <v>456498</v>
      </c>
      <c r="F109" s="1641">
        <f t="shared" si="4"/>
        <v>269618</v>
      </c>
      <c r="G109" s="1641">
        <f t="shared" si="4"/>
        <v>244880</v>
      </c>
      <c r="H109" s="1641">
        <f t="shared" si="4"/>
        <v>91</v>
      </c>
      <c r="I109" s="1641">
        <f t="shared" si="4"/>
        <v>21670</v>
      </c>
      <c r="J109" s="1641">
        <f t="shared" si="4"/>
        <v>37637</v>
      </c>
      <c r="K109" s="1629">
        <f t="shared" si="4"/>
        <v>32083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3012859</v>
      </c>
      <c r="D117" s="1586"/>
      <c r="E117" s="1573"/>
      <c r="F117" s="1586"/>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3012859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77141</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5727</v>
      </c>
      <c r="D128" s="1640"/>
      <c r="E128" s="1575"/>
      <c r="F128" s="1573"/>
      <c r="G128" s="1575"/>
      <c r="H128" s="1575"/>
      <c r="I128" s="1575"/>
      <c r="J128" s="1575"/>
      <c r="K128" s="1575"/>
    </row>
    <row r="129" spans="1:11" ht="12.75" customHeight="1" x14ac:dyDescent="0.2">
      <c r="A129" s="427" t="s">
        <v>1433</v>
      </c>
      <c r="B129" s="478">
        <v>3130</v>
      </c>
      <c r="C129" s="1573">
        <v>454</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83322</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885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72957</v>
      </c>
      <c r="G152" s="1574"/>
      <c r="H152" s="1575"/>
      <c r="I152" s="1575"/>
      <c r="J152" s="1575"/>
      <c r="K152" s="1575"/>
    </row>
    <row r="153" spans="1:11" ht="12.75" customHeight="1" x14ac:dyDescent="0.2">
      <c r="A153" s="427" t="s">
        <v>1050</v>
      </c>
      <c r="B153" s="478">
        <v>3510</v>
      </c>
      <c r="C153" s="1632"/>
      <c r="D153" s="1573"/>
      <c r="E153" s="1640"/>
      <c r="F153" s="1573">
        <v>181599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254556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7" t="s">
        <v>395</v>
      </c>
      <c r="B169" s="2258"/>
      <c r="C169" s="1658">
        <f t="shared" ref="C169:K169" si="6">SUM(C132,C141,C145,C146:C150,C155,C156:C167,C168)</f>
        <v>84207</v>
      </c>
      <c r="D169" s="1658">
        <f t="shared" si="6"/>
        <v>50000</v>
      </c>
      <c r="E169" s="1658">
        <f t="shared" si="6"/>
        <v>0</v>
      </c>
      <c r="F169" s="1658">
        <f t="shared" si="6"/>
        <v>254556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3097066</v>
      </c>
      <c r="D170" s="1641">
        <f t="shared" si="7"/>
        <v>50000</v>
      </c>
      <c r="E170" s="1641">
        <f t="shared" si="7"/>
        <v>0</v>
      </c>
      <c r="F170" s="1641">
        <f t="shared" si="7"/>
        <v>254556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1478</v>
      </c>
      <c r="B172" s="2260"/>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3" t="s">
        <v>1649</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1648</v>
      </c>
      <c r="B176" s="2268"/>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5"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1783</v>
      </c>
      <c r="B182" s="2262"/>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73276</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v>40057</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113333</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73626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73626</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25675</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97389</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123064</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13687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13080</v>
      </c>
      <c r="D263" s="1651"/>
      <c r="E263" s="1575"/>
      <c r="F263" s="1651"/>
      <c r="G263" s="1651"/>
      <c r="H263" s="1575"/>
      <c r="I263" s="1575"/>
      <c r="J263" s="1575"/>
      <c r="K263" s="1575"/>
    </row>
    <row r="264" spans="1:11" ht="12.75" customHeight="1" thickTop="1" thickBot="1" x14ac:dyDescent="0.25">
      <c r="A264" s="427" t="s">
        <v>374</v>
      </c>
      <c r="B264" s="429">
        <v>4992</v>
      </c>
      <c r="C264" s="1650">
        <v>13565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350355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350355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7110487</v>
      </c>
      <c r="D268" s="1641">
        <f t="shared" si="12"/>
        <v>354456</v>
      </c>
      <c r="E268" s="1641">
        <f t="shared" si="12"/>
        <v>456498</v>
      </c>
      <c r="F268" s="1641">
        <f t="shared" si="12"/>
        <v>524174</v>
      </c>
      <c r="G268" s="1641">
        <f t="shared" si="12"/>
        <v>244880</v>
      </c>
      <c r="H268" s="1641">
        <f t="shared" si="12"/>
        <v>91</v>
      </c>
      <c r="I268" s="1641">
        <f t="shared" si="12"/>
        <v>21670</v>
      </c>
      <c r="J268" s="1641">
        <f t="shared" si="12"/>
        <v>37637</v>
      </c>
      <c r="K268" s="1629">
        <f t="shared" si="12"/>
        <v>32083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53" activePane="bottomLeft" state="frozen"/>
      <selection activeCell="AE35" sqref="AE35"/>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7" t="s">
        <v>294</v>
      </c>
      <c r="B3" s="227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2231396</v>
      </c>
      <c r="D5" s="1573">
        <v>620040</v>
      </c>
      <c r="E5" s="1573">
        <v>33566</v>
      </c>
      <c r="F5" s="1573">
        <v>80145</v>
      </c>
      <c r="G5" s="1573"/>
      <c r="H5" s="1573"/>
      <c r="I5" s="1574"/>
      <c r="J5" s="1574"/>
      <c r="K5" s="1672">
        <f>SUM(C5:J5)</f>
        <v>2965147</v>
      </c>
      <c r="L5" s="1573">
        <v>3134785</v>
      </c>
    </row>
    <row r="6" spans="1:14" x14ac:dyDescent="0.2">
      <c r="A6" s="1274" t="s">
        <v>1419</v>
      </c>
      <c r="B6" s="503" t="s">
        <v>1417</v>
      </c>
      <c r="C6" s="1582"/>
      <c r="D6" s="1582"/>
      <c r="E6" s="1573"/>
      <c r="F6" s="1582"/>
      <c r="G6" s="1582"/>
      <c r="H6" s="1582"/>
      <c r="I6" s="1582"/>
      <c r="J6" s="1582"/>
      <c r="K6" s="1672">
        <f>SUM(C6,E6)</f>
        <v>0</v>
      </c>
      <c r="L6" s="1573">
        <v>6100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689029</v>
      </c>
      <c r="D8" s="1573">
        <v>152005</v>
      </c>
      <c r="E8" s="1573">
        <v>1008</v>
      </c>
      <c r="F8" s="1573">
        <v>892</v>
      </c>
      <c r="G8" s="1573"/>
      <c r="H8" s="1573"/>
      <c r="I8" s="1574"/>
      <c r="J8" s="1574"/>
      <c r="K8" s="1672">
        <f t="shared" si="0"/>
        <v>842934</v>
      </c>
      <c r="L8" s="1573">
        <v>806815</v>
      </c>
    </row>
    <row r="9" spans="1:14" x14ac:dyDescent="0.2">
      <c r="A9" s="1274" t="s">
        <v>716</v>
      </c>
      <c r="B9" s="503" t="s">
        <v>962</v>
      </c>
      <c r="C9" s="1574">
        <v>67085</v>
      </c>
      <c r="D9" s="1574">
        <v>22147</v>
      </c>
      <c r="E9" s="1574"/>
      <c r="F9" s="1574">
        <v>272</v>
      </c>
      <c r="G9" s="1574"/>
      <c r="H9" s="1574"/>
      <c r="I9" s="1574"/>
      <c r="J9" s="1574"/>
      <c r="K9" s="1672">
        <f t="shared" si="0"/>
        <v>89504</v>
      </c>
      <c r="L9" s="1573">
        <v>75010</v>
      </c>
    </row>
    <row r="10" spans="1:14" x14ac:dyDescent="0.2">
      <c r="A10" s="1274" t="s">
        <v>717</v>
      </c>
      <c r="B10" s="503">
        <v>1250</v>
      </c>
      <c r="C10" s="1573">
        <v>49389</v>
      </c>
      <c r="D10" s="1573">
        <v>5521</v>
      </c>
      <c r="E10" s="1573">
        <v>6225</v>
      </c>
      <c r="F10" s="1573">
        <v>20736</v>
      </c>
      <c r="G10" s="1573"/>
      <c r="H10" s="1573"/>
      <c r="I10" s="1574"/>
      <c r="J10" s="1574"/>
      <c r="K10" s="1672">
        <f t="shared" si="0"/>
        <v>81871</v>
      </c>
      <c r="L10" s="1573">
        <v>67700</v>
      </c>
    </row>
    <row r="11" spans="1:14" x14ac:dyDescent="0.2">
      <c r="A11" s="1274" t="s">
        <v>1122</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62166</v>
      </c>
      <c r="D14" s="1573">
        <v>7680</v>
      </c>
      <c r="E14" s="1573">
        <v>12356</v>
      </c>
      <c r="F14" s="1573">
        <v>4076</v>
      </c>
      <c r="G14" s="1573"/>
      <c r="H14" s="1573">
        <v>586</v>
      </c>
      <c r="I14" s="1574"/>
      <c r="J14" s="1574"/>
      <c r="K14" s="1672">
        <f t="shared" si="0"/>
        <v>86864</v>
      </c>
      <c r="L14" s="1573">
        <v>87250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1080</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97494</v>
      </c>
      <c r="I22" s="1673"/>
      <c r="J22" s="1582"/>
      <c r="K22" s="1672">
        <f t="shared" si="0"/>
        <v>97494</v>
      </c>
      <c r="L22" s="1577">
        <v>200000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1121</v>
      </c>
      <c r="B32" s="503" t="s">
        <v>732</v>
      </c>
      <c r="C32" s="1582"/>
      <c r="D32" s="1582"/>
      <c r="E32" s="1582"/>
      <c r="F32" s="1582"/>
      <c r="G32" s="1582"/>
      <c r="H32" s="1579"/>
      <c r="I32" s="1673"/>
      <c r="J32" s="1585"/>
      <c r="K32" s="1672">
        <f t="shared" si="0"/>
        <v>0</v>
      </c>
      <c r="L32" s="1577">
        <v>0</v>
      </c>
    </row>
    <row r="33" spans="1:14" ht="12.75" customHeight="1" thickBot="1" x14ac:dyDescent="0.25">
      <c r="A33" s="1380" t="s">
        <v>1652</v>
      </c>
      <c r="B33" s="1381" t="s">
        <v>566</v>
      </c>
      <c r="C33" s="1674">
        <f>SUM(C5:C32)</f>
        <v>3099065</v>
      </c>
      <c r="D33" s="1674">
        <f t="shared" ref="D33:L33" si="1">SUM(D5:D32)</f>
        <v>807393</v>
      </c>
      <c r="E33" s="1674">
        <f t="shared" si="1"/>
        <v>53155</v>
      </c>
      <c r="F33" s="1674">
        <f t="shared" si="1"/>
        <v>106121</v>
      </c>
      <c r="G33" s="1674">
        <f t="shared" si="1"/>
        <v>0</v>
      </c>
      <c r="H33" s="1674">
        <f t="shared" si="1"/>
        <v>98080</v>
      </c>
      <c r="I33" s="1674">
        <f t="shared" si="1"/>
        <v>0</v>
      </c>
      <c r="J33" s="1674">
        <f t="shared" si="1"/>
        <v>0</v>
      </c>
      <c r="K33" s="1674">
        <f t="shared" si="1"/>
        <v>4163814</v>
      </c>
      <c r="L33" s="1674">
        <f t="shared" si="1"/>
        <v>4377660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c r="D36" s="1586"/>
      <c r="E36" s="1586"/>
      <c r="F36" s="1586"/>
      <c r="G36" s="1586"/>
      <c r="H36" s="1586"/>
      <c r="I36" s="1574"/>
      <c r="J36" s="1574"/>
      <c r="K36" s="1672">
        <f t="shared" ref="K36:K41" si="2">SUM(C36:J36)</f>
        <v>0</v>
      </c>
      <c r="L36" s="1573">
        <v>0</v>
      </c>
    </row>
    <row r="37" spans="1:14" x14ac:dyDescent="0.2">
      <c r="A37" s="1274" t="s">
        <v>1083</v>
      </c>
      <c r="B37" s="503">
        <v>2120</v>
      </c>
      <c r="C37" s="1573">
        <v>52101</v>
      </c>
      <c r="D37" s="1573">
        <v>3711</v>
      </c>
      <c r="E37" s="1573">
        <v>25</v>
      </c>
      <c r="F37" s="1573"/>
      <c r="G37" s="1573"/>
      <c r="H37" s="1573"/>
      <c r="I37" s="1574"/>
      <c r="J37" s="1574"/>
      <c r="K37" s="1672">
        <f t="shared" si="2"/>
        <v>55837</v>
      </c>
      <c r="L37" s="1573">
        <v>57120</v>
      </c>
    </row>
    <row r="38" spans="1:14" x14ac:dyDescent="0.2">
      <c r="A38" s="1274" t="s">
        <v>196</v>
      </c>
      <c r="B38" s="503">
        <v>2130</v>
      </c>
      <c r="C38" s="1573"/>
      <c r="D38" s="1573"/>
      <c r="E38" s="1573"/>
      <c r="F38" s="1573">
        <v>812</v>
      </c>
      <c r="G38" s="1573"/>
      <c r="H38" s="1573"/>
      <c r="I38" s="1574"/>
      <c r="J38" s="1574"/>
      <c r="K38" s="1672">
        <f t="shared" si="2"/>
        <v>812</v>
      </c>
      <c r="L38" s="1573">
        <v>900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71714</v>
      </c>
      <c r="D40" s="1573">
        <v>9767</v>
      </c>
      <c r="E40" s="1573"/>
      <c r="F40" s="1573"/>
      <c r="G40" s="1573"/>
      <c r="H40" s="1573"/>
      <c r="I40" s="1574"/>
      <c r="J40" s="1574"/>
      <c r="K40" s="1672">
        <f t="shared" si="2"/>
        <v>81481</v>
      </c>
      <c r="L40" s="1573">
        <v>87170</v>
      </c>
    </row>
    <row r="41" spans="1:14" x14ac:dyDescent="0.2">
      <c r="A41" s="1274" t="s">
        <v>1653</v>
      </c>
      <c r="B41" s="503">
        <v>2190</v>
      </c>
      <c r="C41" s="1573">
        <v>28451</v>
      </c>
      <c r="D41" s="1573">
        <v>593</v>
      </c>
      <c r="E41" s="1573">
        <v>94415</v>
      </c>
      <c r="F41" s="1573">
        <v>1767</v>
      </c>
      <c r="G41" s="1573"/>
      <c r="H41" s="1573"/>
      <c r="I41" s="1574"/>
      <c r="J41" s="1574"/>
      <c r="K41" s="1672">
        <f t="shared" si="2"/>
        <v>125226</v>
      </c>
      <c r="L41" s="1573">
        <v>123975</v>
      </c>
    </row>
    <row r="42" spans="1:14" ht="12.75" customHeight="1" thickBot="1" x14ac:dyDescent="0.25">
      <c r="A42" s="1380" t="s">
        <v>556</v>
      </c>
      <c r="B42" s="1381" t="s">
        <v>711</v>
      </c>
      <c r="C42" s="1674">
        <f>SUM(C36:C41)</f>
        <v>152266</v>
      </c>
      <c r="D42" s="1674">
        <f t="shared" ref="D42:L42" si="3">SUM(D36:D41)</f>
        <v>14071</v>
      </c>
      <c r="E42" s="1674">
        <f t="shared" si="3"/>
        <v>94440</v>
      </c>
      <c r="F42" s="1674">
        <f t="shared" si="3"/>
        <v>2579</v>
      </c>
      <c r="G42" s="1674">
        <f t="shared" si="3"/>
        <v>0</v>
      </c>
      <c r="H42" s="1674">
        <f t="shared" si="3"/>
        <v>0</v>
      </c>
      <c r="I42" s="1674">
        <f t="shared" si="3"/>
        <v>0</v>
      </c>
      <c r="J42" s="1674">
        <f t="shared" si="3"/>
        <v>0</v>
      </c>
      <c r="K42" s="1674">
        <f t="shared" si="3"/>
        <v>263356</v>
      </c>
      <c r="L42" s="1674">
        <f t="shared" si="3"/>
        <v>269165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89484</v>
      </c>
      <c r="D44" s="1586">
        <v>23710</v>
      </c>
      <c r="E44" s="1586">
        <v>37425</v>
      </c>
      <c r="F44" s="1586"/>
      <c r="G44" s="1586"/>
      <c r="H44" s="1586"/>
      <c r="I44" s="1574"/>
      <c r="J44" s="1574"/>
      <c r="K44" s="1678">
        <f>SUM(C44:J44)</f>
        <v>150619</v>
      </c>
      <c r="L44" s="1586">
        <v>35875</v>
      </c>
    </row>
    <row r="45" spans="1:14" x14ac:dyDescent="0.2">
      <c r="A45" s="1274" t="s">
        <v>810</v>
      </c>
      <c r="B45" s="503">
        <v>2220</v>
      </c>
      <c r="C45" s="1573">
        <v>39208</v>
      </c>
      <c r="D45" s="1573">
        <v>2661</v>
      </c>
      <c r="E45" s="1573">
        <v>90010</v>
      </c>
      <c r="F45" s="1573">
        <v>8377</v>
      </c>
      <c r="G45" s="1573">
        <v>81071</v>
      </c>
      <c r="H45" s="1573"/>
      <c r="I45" s="1574"/>
      <c r="J45" s="1574"/>
      <c r="K45" s="1678">
        <f>SUM(C45:J45)</f>
        <v>221327</v>
      </c>
      <c r="L45" s="1573">
        <v>161565</v>
      </c>
    </row>
    <row r="46" spans="1:14" x14ac:dyDescent="0.2">
      <c r="A46" s="1274" t="s">
        <v>811</v>
      </c>
      <c r="B46" s="503">
        <v>2230</v>
      </c>
      <c r="C46" s="1573"/>
      <c r="D46" s="1573"/>
      <c r="E46" s="1573">
        <v>38476</v>
      </c>
      <c r="F46" s="1573"/>
      <c r="G46" s="1573"/>
      <c r="H46" s="1573"/>
      <c r="I46" s="1574"/>
      <c r="J46" s="1574"/>
      <c r="K46" s="1678">
        <f>SUM(C46:J46)</f>
        <v>38476</v>
      </c>
      <c r="L46" s="1573">
        <v>40000</v>
      </c>
    </row>
    <row r="47" spans="1:14" ht="12.75" customHeight="1" thickBot="1" x14ac:dyDescent="0.25">
      <c r="A47" s="1380" t="s">
        <v>557</v>
      </c>
      <c r="B47" s="1381" t="s">
        <v>32</v>
      </c>
      <c r="C47" s="1674">
        <f>SUM(C44:C46)</f>
        <v>128692</v>
      </c>
      <c r="D47" s="1674">
        <f t="shared" ref="D47:K47" si="4">SUM(D44:D46)</f>
        <v>26371</v>
      </c>
      <c r="E47" s="1674">
        <f t="shared" si="4"/>
        <v>165911</v>
      </c>
      <c r="F47" s="1674">
        <f t="shared" si="4"/>
        <v>8377</v>
      </c>
      <c r="G47" s="1674">
        <f t="shared" si="4"/>
        <v>81071</v>
      </c>
      <c r="H47" s="1674">
        <f t="shared" si="4"/>
        <v>0</v>
      </c>
      <c r="I47" s="1674">
        <f t="shared" si="4"/>
        <v>0</v>
      </c>
      <c r="J47" s="1674">
        <f t="shared" si="4"/>
        <v>0</v>
      </c>
      <c r="K47" s="1674">
        <f t="shared" si="4"/>
        <v>410422</v>
      </c>
      <c r="L47" s="1674">
        <f>SUM(L44:L46)</f>
        <v>237440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8158</v>
      </c>
      <c r="D49" s="1586"/>
      <c r="E49" s="1586">
        <v>51988</v>
      </c>
      <c r="F49" s="1586">
        <v>13247</v>
      </c>
      <c r="G49" s="1586"/>
      <c r="H49" s="1586">
        <v>9310</v>
      </c>
      <c r="I49" s="1574"/>
      <c r="J49" s="1574"/>
      <c r="K49" s="1678">
        <f>SUM(C49:J49)</f>
        <v>82703</v>
      </c>
      <c r="L49" s="1586">
        <v>86480</v>
      </c>
    </row>
    <row r="50" spans="1:14" x14ac:dyDescent="0.2">
      <c r="A50" s="1274" t="s">
        <v>813</v>
      </c>
      <c r="B50" s="503">
        <v>2320</v>
      </c>
      <c r="C50" s="1573">
        <v>166436</v>
      </c>
      <c r="D50" s="1573">
        <v>50357</v>
      </c>
      <c r="E50" s="1573">
        <v>4174</v>
      </c>
      <c r="F50" s="1573">
        <v>1794</v>
      </c>
      <c r="G50" s="1573"/>
      <c r="H50" s="1573">
        <v>1779</v>
      </c>
      <c r="I50" s="1574"/>
      <c r="J50" s="1574"/>
      <c r="K50" s="1678">
        <f>SUM(C50:J50)</f>
        <v>224540</v>
      </c>
      <c r="L50" s="1573">
        <v>229446</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v>57691</v>
      </c>
      <c r="F52" s="1579"/>
      <c r="G52" s="1579"/>
      <c r="H52" s="1579"/>
      <c r="I52" s="1579"/>
      <c r="J52" s="1579"/>
      <c r="K52" s="1678">
        <f>SUM(C52:J52)</f>
        <v>57691</v>
      </c>
      <c r="L52" s="1579">
        <v>54700</v>
      </c>
    </row>
    <row r="53" spans="1:14" ht="12.75" customHeight="1" thickBot="1" x14ac:dyDescent="0.25">
      <c r="A53" s="1380" t="s">
        <v>712</v>
      </c>
      <c r="B53" s="1381" t="s">
        <v>33</v>
      </c>
      <c r="C53" s="1674">
        <f>SUM(C49:C52)</f>
        <v>174594</v>
      </c>
      <c r="D53" s="1674">
        <f t="shared" ref="D53:L53" si="5">SUM(D49:D52)</f>
        <v>50357</v>
      </c>
      <c r="E53" s="1674">
        <f t="shared" si="5"/>
        <v>113853</v>
      </c>
      <c r="F53" s="1674">
        <f t="shared" si="5"/>
        <v>15041</v>
      </c>
      <c r="G53" s="1674">
        <f t="shared" si="5"/>
        <v>0</v>
      </c>
      <c r="H53" s="1674">
        <f t="shared" si="5"/>
        <v>11089</v>
      </c>
      <c r="I53" s="1674">
        <f t="shared" si="5"/>
        <v>0</v>
      </c>
      <c r="J53" s="1674">
        <f t="shared" si="5"/>
        <v>0</v>
      </c>
      <c r="K53" s="1674">
        <f t="shared" si="5"/>
        <v>364934</v>
      </c>
      <c r="L53" s="1674">
        <f t="shared" si="5"/>
        <v>370626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295401</v>
      </c>
      <c r="D55" s="1586">
        <v>88655</v>
      </c>
      <c r="E55" s="1586">
        <v>2178</v>
      </c>
      <c r="F55" s="1586">
        <v>1401</v>
      </c>
      <c r="G55" s="1586"/>
      <c r="H55" s="1586">
        <v>350</v>
      </c>
      <c r="I55" s="1574"/>
      <c r="J55" s="1574"/>
      <c r="K55" s="1678">
        <f>SUM(C55:J55)</f>
        <v>387985</v>
      </c>
      <c r="L55" s="1586">
        <v>416283</v>
      </c>
    </row>
    <row r="56" spans="1:14" ht="12.75" customHeight="1" x14ac:dyDescent="0.2">
      <c r="A56" s="1278" t="s">
        <v>373</v>
      </c>
      <c r="B56" s="512">
        <v>2490</v>
      </c>
      <c r="C56" s="1573"/>
      <c r="D56" s="1573"/>
      <c r="E56" s="1573"/>
      <c r="F56" s="1573">
        <v>38</v>
      </c>
      <c r="G56" s="1573"/>
      <c r="H56" s="1573">
        <v>76</v>
      </c>
      <c r="I56" s="1574"/>
      <c r="J56" s="1574"/>
      <c r="K56" s="1678">
        <f>SUM(C56:J56)</f>
        <v>114</v>
      </c>
      <c r="L56" s="1573">
        <v>115012</v>
      </c>
    </row>
    <row r="57" spans="1:14" s="321" customFormat="1" ht="12.75" customHeight="1" thickBot="1" x14ac:dyDescent="0.25">
      <c r="A57" s="1380" t="s">
        <v>261</v>
      </c>
      <c r="B57" s="1382" t="s">
        <v>34</v>
      </c>
      <c r="C57" s="1679">
        <f>SUM(C55:C56)</f>
        <v>295401</v>
      </c>
      <c r="D57" s="1679">
        <f t="shared" ref="D57:K57" si="6">SUM(D55:D56)</f>
        <v>88655</v>
      </c>
      <c r="E57" s="1679">
        <f t="shared" si="6"/>
        <v>2178</v>
      </c>
      <c r="F57" s="1679">
        <f t="shared" si="6"/>
        <v>1439</v>
      </c>
      <c r="G57" s="1679">
        <f t="shared" si="6"/>
        <v>0</v>
      </c>
      <c r="H57" s="1679">
        <f t="shared" si="6"/>
        <v>426</v>
      </c>
      <c r="I57" s="1679">
        <f t="shared" si="6"/>
        <v>0</v>
      </c>
      <c r="J57" s="1679">
        <f t="shared" si="6"/>
        <v>0</v>
      </c>
      <c r="K57" s="1679">
        <f t="shared" si="6"/>
        <v>388099</v>
      </c>
      <c r="L57" s="1674">
        <f>SUM(L55:L56)</f>
        <v>531295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46371</v>
      </c>
      <c r="D60" s="1573">
        <v>197</v>
      </c>
      <c r="E60" s="1573">
        <v>986</v>
      </c>
      <c r="F60" s="1573">
        <v>162</v>
      </c>
      <c r="G60" s="1573"/>
      <c r="H60" s="1573"/>
      <c r="I60" s="1574"/>
      <c r="J60" s="1574"/>
      <c r="K60" s="1678">
        <f t="shared" si="7"/>
        <v>47716</v>
      </c>
      <c r="L60" s="1573">
        <v>49040</v>
      </c>
      <c r="M60" s="501"/>
      <c r="N60" s="501"/>
    </row>
    <row r="61" spans="1:14" s="321" customFormat="1" x14ac:dyDescent="0.2">
      <c r="A61" s="1274" t="s">
        <v>195</v>
      </c>
      <c r="B61" s="503">
        <v>2540</v>
      </c>
      <c r="C61" s="1573">
        <v>155245</v>
      </c>
      <c r="D61" s="1573">
        <v>14180</v>
      </c>
      <c r="E61" s="1573">
        <v>112</v>
      </c>
      <c r="F61" s="1573">
        <v>121723</v>
      </c>
      <c r="G61" s="1573"/>
      <c r="H61" s="1573"/>
      <c r="I61" s="1574"/>
      <c r="J61" s="1574"/>
      <c r="K61" s="1678">
        <f t="shared" si="7"/>
        <v>291260</v>
      </c>
      <c r="L61" s="1573">
        <v>315285</v>
      </c>
      <c r="M61" s="501"/>
      <c r="N61" s="501"/>
    </row>
    <row r="62" spans="1:14" s="321" customFormat="1" x14ac:dyDescent="0.2">
      <c r="A62" s="1274" t="s">
        <v>947</v>
      </c>
      <c r="B62" s="503">
        <v>2550</v>
      </c>
      <c r="C62" s="1573">
        <v>2106</v>
      </c>
      <c r="D62" s="1573"/>
      <c r="E62" s="1573"/>
      <c r="F62" s="1573"/>
      <c r="G62" s="1573"/>
      <c r="H62" s="1573"/>
      <c r="I62" s="1574"/>
      <c r="J62" s="1574"/>
      <c r="K62" s="1678">
        <f t="shared" si="7"/>
        <v>2106</v>
      </c>
      <c r="L62" s="1573">
        <v>2100</v>
      </c>
      <c r="M62" s="501"/>
      <c r="N62" s="501"/>
    </row>
    <row r="63" spans="1:14" s="501" customFormat="1" x14ac:dyDescent="0.2">
      <c r="A63" s="1274" t="s">
        <v>100</v>
      </c>
      <c r="B63" s="503">
        <v>2560</v>
      </c>
      <c r="C63" s="1573"/>
      <c r="D63" s="1573"/>
      <c r="E63" s="1573">
        <v>166961</v>
      </c>
      <c r="F63" s="1573"/>
      <c r="G63" s="1573"/>
      <c r="H63" s="1573"/>
      <c r="I63" s="1574"/>
      <c r="J63" s="1574"/>
      <c r="K63" s="1678">
        <f t="shared" si="7"/>
        <v>166961</v>
      </c>
      <c r="L63" s="1573">
        <v>191200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203722</v>
      </c>
      <c r="D65" s="1674">
        <f t="shared" ref="D65:L65" si="8">SUM(D59:D64)</f>
        <v>14377</v>
      </c>
      <c r="E65" s="1674">
        <f t="shared" si="8"/>
        <v>168059</v>
      </c>
      <c r="F65" s="1674">
        <f t="shared" si="8"/>
        <v>121885</v>
      </c>
      <c r="G65" s="1674">
        <f t="shared" si="8"/>
        <v>0</v>
      </c>
      <c r="H65" s="1674">
        <f t="shared" si="8"/>
        <v>0</v>
      </c>
      <c r="I65" s="1674">
        <f t="shared" si="8"/>
        <v>0</v>
      </c>
      <c r="J65" s="1674">
        <f t="shared" si="8"/>
        <v>0</v>
      </c>
      <c r="K65" s="1674">
        <f t="shared" si="8"/>
        <v>508043</v>
      </c>
      <c r="L65" s="1674">
        <f t="shared" si="8"/>
        <v>557625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1054</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954675</v>
      </c>
      <c r="D74" s="1681">
        <f t="shared" ref="D74:K74" si="10">SUM(D42,D47,D53,D57,D65,D72,D73)</f>
        <v>193831</v>
      </c>
      <c r="E74" s="1681">
        <f t="shared" si="10"/>
        <v>544441</v>
      </c>
      <c r="F74" s="1681">
        <f t="shared" si="10"/>
        <v>149321</v>
      </c>
      <c r="G74" s="1681">
        <f t="shared" si="10"/>
        <v>81071</v>
      </c>
      <c r="H74" s="1681">
        <f t="shared" si="10"/>
        <v>11515</v>
      </c>
      <c r="I74" s="1681">
        <f t="shared" si="10"/>
        <v>0</v>
      </c>
      <c r="J74" s="1681">
        <f t="shared" si="10"/>
        <v>0</v>
      </c>
      <c r="K74" s="1681">
        <f t="shared" si="10"/>
        <v>1934854</v>
      </c>
      <c r="L74" s="1681">
        <f>SUM(L42,L47,L53,L57,L65,L72,L73)</f>
        <v>1966151</v>
      </c>
    </row>
    <row r="75" spans="1:14" s="254" customFormat="1" ht="15.75" customHeight="1" thickTop="1" thickBot="1" x14ac:dyDescent="0.25">
      <c r="A75" s="1348" t="s">
        <v>47</v>
      </c>
      <c r="B75" s="1349" t="s">
        <v>571</v>
      </c>
      <c r="C75" s="1649">
        <v>73987</v>
      </c>
      <c r="D75" s="1649">
        <v>9313</v>
      </c>
      <c r="E75" s="1649">
        <v>1956</v>
      </c>
      <c r="F75" s="1649">
        <v>4576</v>
      </c>
      <c r="G75" s="1649"/>
      <c r="H75" s="1649"/>
      <c r="I75" s="1627"/>
      <c r="J75" s="1627"/>
      <c r="K75" s="1674">
        <f>SUM(C75:J75)</f>
        <v>89832</v>
      </c>
      <c r="L75" s="1651">
        <v>100750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292051</v>
      </c>
      <c r="F79" s="1673"/>
      <c r="G79" s="1673"/>
      <c r="H79" s="1573">
        <v>79061</v>
      </c>
      <c r="I79" s="1582"/>
      <c r="J79" s="1582"/>
      <c r="K79" s="1672">
        <f t="shared" si="11"/>
        <v>371112</v>
      </c>
      <c r="L79" s="1573">
        <v>365000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1471</v>
      </c>
      <c r="B84" s="1385">
        <v>4100</v>
      </c>
      <c r="C84" s="1673"/>
      <c r="D84" s="1673"/>
      <c r="E84" s="1674">
        <f>SUM(E78:E83)</f>
        <v>292051</v>
      </c>
      <c r="F84" s="1673"/>
      <c r="G84" s="1673"/>
      <c r="H84" s="1674">
        <f>SUM(H78:H83)</f>
        <v>79061</v>
      </c>
      <c r="I84" s="1582"/>
      <c r="J84" s="1582"/>
      <c r="K84" s="1674">
        <f>SUM(K78:K83)</f>
        <v>371112</v>
      </c>
      <c r="L84" s="1674">
        <f>SUM(L78:L83)</f>
        <v>365000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1474</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1473</v>
      </c>
      <c r="B102" s="1385">
        <v>4000</v>
      </c>
      <c r="C102" s="1673"/>
      <c r="D102" s="1673"/>
      <c r="E102" s="1681">
        <f>SUM(E84,E92,E100,E101)</f>
        <v>292051</v>
      </c>
      <c r="F102" s="1673"/>
      <c r="G102" s="1673"/>
      <c r="H102" s="1681">
        <f>SUM(H84,H92,H100,H101)</f>
        <v>79061</v>
      </c>
      <c r="I102" s="1582"/>
      <c r="J102" s="1582"/>
      <c r="K102" s="1681">
        <f>SUM(K84,K92,K100,K101)</f>
        <v>371112</v>
      </c>
      <c r="L102" s="1681">
        <f>SUM(L84,L92,L100,L101)</f>
        <v>365000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4127727</v>
      </c>
      <c r="D114" s="1674">
        <f t="shared" ref="D114:K114" si="13">SUM(D33,D74,D75,D102,D112,D113)</f>
        <v>1010537</v>
      </c>
      <c r="E114" s="1674">
        <f t="shared" si="13"/>
        <v>891603</v>
      </c>
      <c r="F114" s="1674">
        <f t="shared" si="13"/>
        <v>260018</v>
      </c>
      <c r="G114" s="1674">
        <f t="shared" si="13"/>
        <v>81071</v>
      </c>
      <c r="H114" s="1674">
        <f>SUM(H33,H74,H75,H102,H112,H113)</f>
        <v>188656</v>
      </c>
      <c r="I114" s="1674">
        <f t="shared" si="13"/>
        <v>0</v>
      </c>
      <c r="J114" s="1674">
        <f t="shared" si="13"/>
        <v>0</v>
      </c>
      <c r="K114" s="1674">
        <f t="shared" si="13"/>
        <v>6559612</v>
      </c>
      <c r="L114" s="1674">
        <f>SUM(L33,L74,L75,L102,L112,L113)</f>
        <v>6809561</v>
      </c>
    </row>
    <row r="115" spans="1:14" ht="13.5" thickTop="1" x14ac:dyDescent="0.2">
      <c r="A115" s="2269" t="s">
        <v>989</v>
      </c>
      <c r="B115" s="2270"/>
      <c r="C115" s="1675"/>
      <c r="D115" s="1675"/>
      <c r="E115" s="1675"/>
      <c r="F115" s="1675"/>
      <c r="G115" s="1675"/>
      <c r="H115" s="1675"/>
      <c r="I115" s="1675"/>
      <c r="J115" s="1675"/>
      <c r="K115" s="1689">
        <f>'Revenues 9-14'!C268-'Expenditures 15-22'!K114</f>
        <v>550875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4" t="s">
        <v>293</v>
      </c>
      <c r="B117" s="227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123078</v>
      </c>
      <c r="D124" s="1573">
        <v>15807</v>
      </c>
      <c r="E124" s="1573">
        <v>143558</v>
      </c>
      <c r="F124" s="1573">
        <v>50373</v>
      </c>
      <c r="G124" s="1573">
        <v>18083</v>
      </c>
      <c r="H124" s="1573"/>
      <c r="I124" s="1574"/>
      <c r="J124" s="1574"/>
      <c r="K124" s="1674">
        <f>SUM(C124:J124)</f>
        <v>350899</v>
      </c>
      <c r="L124" s="1573">
        <v>434100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123078</v>
      </c>
      <c r="D127" s="1674">
        <f t="shared" ref="D127:L127" si="14">SUM(D122:D126)</f>
        <v>15807</v>
      </c>
      <c r="E127" s="1674">
        <f t="shared" si="14"/>
        <v>143558</v>
      </c>
      <c r="F127" s="1674">
        <f t="shared" si="14"/>
        <v>50373</v>
      </c>
      <c r="G127" s="1674">
        <f t="shared" si="14"/>
        <v>18083</v>
      </c>
      <c r="H127" s="1674">
        <f t="shared" si="14"/>
        <v>0</v>
      </c>
      <c r="I127" s="1674">
        <f t="shared" si="14"/>
        <v>0</v>
      </c>
      <c r="J127" s="1674">
        <f t="shared" si="14"/>
        <v>0</v>
      </c>
      <c r="K127" s="1674">
        <f t="shared" si="14"/>
        <v>350899</v>
      </c>
      <c r="L127" s="1674">
        <f t="shared" si="14"/>
        <v>434100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123078</v>
      </c>
      <c r="D129" s="1681">
        <f t="shared" ref="D129:L129" si="15">SUM(D120,D127,D128)</f>
        <v>15807</v>
      </c>
      <c r="E129" s="1681">
        <f t="shared" si="15"/>
        <v>143558</v>
      </c>
      <c r="F129" s="1681">
        <f t="shared" si="15"/>
        <v>50373</v>
      </c>
      <c r="G129" s="1681">
        <f t="shared" si="15"/>
        <v>18083</v>
      </c>
      <c r="H129" s="1681">
        <f t="shared" si="15"/>
        <v>0</v>
      </c>
      <c r="I129" s="1681">
        <f t="shared" si="15"/>
        <v>0</v>
      </c>
      <c r="J129" s="1681">
        <f t="shared" si="15"/>
        <v>0</v>
      </c>
      <c r="K129" s="1681">
        <f t="shared" si="15"/>
        <v>350899</v>
      </c>
      <c r="L129" s="1681">
        <f t="shared" si="15"/>
        <v>434100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1162</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6" t="s">
        <v>616</v>
      </c>
      <c r="B151" s="2266"/>
      <c r="C151" s="1674">
        <f>SUM(C129,C130,C139,C149,C150)</f>
        <v>123078</v>
      </c>
      <c r="D151" s="1674">
        <f t="shared" ref="D151:K151" si="16">SUM(D129,D130,D139,D149,D150)</f>
        <v>15807</v>
      </c>
      <c r="E151" s="1674">
        <f t="shared" si="16"/>
        <v>143558</v>
      </c>
      <c r="F151" s="1674">
        <f t="shared" si="16"/>
        <v>50373</v>
      </c>
      <c r="G151" s="1674">
        <f t="shared" si="16"/>
        <v>18083</v>
      </c>
      <c r="H151" s="1674">
        <f t="shared" si="16"/>
        <v>0</v>
      </c>
      <c r="I151" s="1674">
        <f t="shared" si="16"/>
        <v>0</v>
      </c>
      <c r="J151" s="1674">
        <f t="shared" si="16"/>
        <v>0</v>
      </c>
      <c r="K151" s="1674">
        <f t="shared" si="16"/>
        <v>350899</v>
      </c>
      <c r="L151" s="1674">
        <f>SUM(L129,L130,L139,L149,L150)</f>
        <v>434100</v>
      </c>
    </row>
    <row r="152" spans="1:14" ht="12.75" customHeight="1" thickTop="1" x14ac:dyDescent="0.2">
      <c r="A152" s="2289" t="s">
        <v>1170</v>
      </c>
      <c r="B152" s="2290"/>
      <c r="C152" s="1675"/>
      <c r="D152" s="1675"/>
      <c r="E152" s="1675"/>
      <c r="F152" s="1675"/>
      <c r="G152" s="1675"/>
      <c r="H152" s="1675"/>
      <c r="I152" s="1675"/>
      <c r="J152" s="1673"/>
      <c r="K152" s="1689">
        <f>'Revenues 9-14'!D268-'Expenditures 15-22'!K151</f>
        <v>3557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4" t="s">
        <v>617</v>
      </c>
      <c r="B154" s="227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1162</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84989</v>
      </c>
      <c r="I169" s="1673"/>
      <c r="J169" s="1673"/>
      <c r="K169" s="1672">
        <f>SUM(C169:H169)</f>
        <v>84989</v>
      </c>
      <c r="L169" s="1695">
        <v>115000</v>
      </c>
    </row>
    <row r="170" spans="1:14" ht="33.75" customHeight="1" x14ac:dyDescent="0.2">
      <c r="A170" s="543" t="s">
        <v>1654</v>
      </c>
      <c r="B170" s="545" t="s">
        <v>31</v>
      </c>
      <c r="C170" s="1673"/>
      <c r="D170" s="1673"/>
      <c r="E170" s="1673"/>
      <c r="F170" s="1673"/>
      <c r="G170" s="1673"/>
      <c r="H170" s="1646">
        <v>365000</v>
      </c>
      <c r="I170" s="1673"/>
      <c r="J170" s="1673"/>
      <c r="K170" s="1672">
        <f>SUM(C170:J170)</f>
        <v>365000</v>
      </c>
      <c r="L170" s="1646">
        <v>335000</v>
      </c>
    </row>
    <row r="171" spans="1:14" ht="15.75" customHeight="1" x14ac:dyDescent="0.2">
      <c r="A171" s="507" t="s">
        <v>761</v>
      </c>
      <c r="B171" s="546" t="s">
        <v>84</v>
      </c>
      <c r="C171" s="1673"/>
      <c r="D171" s="1673"/>
      <c r="E171" s="1573"/>
      <c r="F171" s="1673"/>
      <c r="G171" s="1673"/>
      <c r="H171" s="1646">
        <v>1500</v>
      </c>
      <c r="I171" s="1582"/>
      <c r="J171" s="1673"/>
      <c r="K171" s="1672">
        <f>SUM(C171:J171)</f>
        <v>1500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451489</v>
      </c>
      <c r="I172" s="1684"/>
      <c r="J172" s="1673"/>
      <c r="K172" s="1681">
        <f>SUM(K168,K169,K170,K171)</f>
        <v>451489</v>
      </c>
      <c r="L172" s="1681">
        <f>SUM(L168,L169,L170,L171)</f>
        <v>451000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451489</v>
      </c>
      <c r="I174" s="1684"/>
      <c r="J174" s="1673"/>
      <c r="K174" s="1681">
        <f>SUM(K160,K172,K173)</f>
        <v>451489</v>
      </c>
      <c r="L174" s="1681">
        <f>SUM(L160,L172,L173)</f>
        <v>451000</v>
      </c>
    </row>
    <row r="175" spans="1:14" ht="13.5" thickTop="1" x14ac:dyDescent="0.2">
      <c r="A175" s="2269" t="s">
        <v>989</v>
      </c>
      <c r="B175" s="2270"/>
      <c r="C175" s="1673"/>
      <c r="D175" s="1673"/>
      <c r="E175" s="1673"/>
      <c r="F175" s="1673"/>
      <c r="G175" s="1673"/>
      <c r="H175" s="1675"/>
      <c r="I175" s="1673"/>
      <c r="J175" s="1673"/>
      <c r="K175" s="1689">
        <f>'Revenues 9-14'!E268-'Expenditures 15-22'!K174</f>
        <v>5009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97814</v>
      </c>
      <c r="D182" s="1573">
        <v>468</v>
      </c>
      <c r="E182" s="1573">
        <v>185408</v>
      </c>
      <c r="F182" s="1573">
        <v>15975</v>
      </c>
      <c r="G182" s="1573">
        <v>157334</v>
      </c>
      <c r="H182" s="1573"/>
      <c r="I182" s="1574"/>
      <c r="J182" s="1574"/>
      <c r="K182" s="1672">
        <f>SUM(C182:J182)</f>
        <v>456999</v>
      </c>
      <c r="L182" s="1573">
        <v>642190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97814</v>
      </c>
      <c r="D184" s="1681">
        <f t="shared" ref="D184:J184" si="17">SUM(D180,D182,D183)</f>
        <v>468</v>
      </c>
      <c r="E184" s="1681">
        <f t="shared" si="17"/>
        <v>185408</v>
      </c>
      <c r="F184" s="1681">
        <f t="shared" si="17"/>
        <v>15975</v>
      </c>
      <c r="G184" s="1681">
        <f t="shared" si="17"/>
        <v>157334</v>
      </c>
      <c r="H184" s="1681">
        <f t="shared" si="17"/>
        <v>0</v>
      </c>
      <c r="I184" s="1681">
        <f t="shared" si="17"/>
        <v>0</v>
      </c>
      <c r="J184" s="1681">
        <f t="shared" si="17"/>
        <v>0</v>
      </c>
      <c r="K184" s="1681">
        <f>SUM(K180,K182,K183)</f>
        <v>456999</v>
      </c>
      <c r="L184" s="1681">
        <f>SUM(L180, L182:L183)</f>
        <v>642190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1162</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1655</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97814</v>
      </c>
      <c r="D210" s="1674">
        <f>SUM(D184,D185)</f>
        <v>468</v>
      </c>
      <c r="E210" s="1674">
        <f>SUM(E184,E185,E196)</f>
        <v>185408</v>
      </c>
      <c r="F210" s="1674">
        <f>SUM(F184,F185)</f>
        <v>15975</v>
      </c>
      <c r="G210" s="1674">
        <f>SUM(G184,G185)</f>
        <v>157334</v>
      </c>
      <c r="H210" s="1674">
        <f>SUM(H184,H185,H196,H208,H209)</f>
        <v>0</v>
      </c>
      <c r="I210" s="1674">
        <f>SUM(I184,I185)</f>
        <v>0</v>
      </c>
      <c r="J210" s="1674">
        <f>SUM(J184,J185)</f>
        <v>0</v>
      </c>
      <c r="K210" s="1672">
        <f>SUM(K184,K185,K196,K208,K209)</f>
        <v>456999</v>
      </c>
      <c r="L210" s="1674">
        <f>SUM(L184,L185,L196,L208,L209)</f>
        <v>642190</v>
      </c>
    </row>
    <row r="211" spans="1:14" ht="13.5" thickTop="1" x14ac:dyDescent="0.2">
      <c r="A211" s="2269" t="s">
        <v>989</v>
      </c>
      <c r="B211" s="2270"/>
      <c r="C211" s="1675"/>
      <c r="D211" s="1675"/>
      <c r="E211" s="1675"/>
      <c r="F211" s="1675"/>
      <c r="G211" s="1675"/>
      <c r="H211" s="1675"/>
      <c r="I211" s="1673"/>
      <c r="J211" s="1673"/>
      <c r="K211" s="1689">
        <f>'Revenues 9-14'!F268-'Expenditures 15-22'!K210</f>
        <v>67175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1" t="s">
        <v>959</v>
      </c>
      <c r="B213" s="229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30756</v>
      </c>
      <c r="E215" s="1673"/>
      <c r="F215" s="1673"/>
      <c r="G215" s="1673"/>
      <c r="H215" s="1673"/>
      <c r="I215" s="1673"/>
      <c r="J215" s="1673"/>
      <c r="K215" s="1672">
        <f>D215</f>
        <v>30756</v>
      </c>
      <c r="L215" s="1573">
        <v>33185</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59510</v>
      </c>
      <c r="E217" s="1673"/>
      <c r="F217" s="1673"/>
      <c r="G217" s="1673"/>
      <c r="H217" s="1673"/>
      <c r="I217" s="1673"/>
      <c r="J217" s="1673"/>
      <c r="K217" s="1672">
        <f t="shared" si="19"/>
        <v>59510</v>
      </c>
      <c r="L217" s="1573">
        <v>55210</v>
      </c>
    </row>
    <row r="218" spans="1:14" x14ac:dyDescent="0.2">
      <c r="A218" s="1274" t="s">
        <v>276</v>
      </c>
      <c r="B218" s="503" t="s">
        <v>962</v>
      </c>
      <c r="C218" s="1673"/>
      <c r="D218" s="1574">
        <v>5146</v>
      </c>
      <c r="E218" s="1673"/>
      <c r="F218" s="1673"/>
      <c r="G218" s="1673"/>
      <c r="H218" s="1673"/>
      <c r="I218" s="1673"/>
      <c r="J218" s="1673"/>
      <c r="K218" s="1672">
        <f t="shared" si="19"/>
        <v>5146</v>
      </c>
      <c r="L218" s="1573">
        <v>3510</v>
      </c>
    </row>
    <row r="219" spans="1:14" x14ac:dyDescent="0.2">
      <c r="A219" s="1274" t="s">
        <v>277</v>
      </c>
      <c r="B219" s="503">
        <v>1250</v>
      </c>
      <c r="C219" s="1673"/>
      <c r="D219" s="1573">
        <v>4797</v>
      </c>
      <c r="E219" s="1673"/>
      <c r="F219" s="1673"/>
      <c r="G219" s="1673"/>
      <c r="H219" s="1673"/>
      <c r="I219" s="1673"/>
      <c r="J219" s="1673"/>
      <c r="K219" s="1672">
        <f t="shared" si="19"/>
        <v>4797</v>
      </c>
      <c r="L219" s="1573">
        <v>3950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958</v>
      </c>
      <c r="E223" s="1673"/>
      <c r="F223" s="1673"/>
      <c r="G223" s="1673"/>
      <c r="H223" s="1673"/>
      <c r="I223" s="1673"/>
      <c r="J223" s="1673"/>
      <c r="K223" s="1672">
        <f t="shared" si="19"/>
        <v>958</v>
      </c>
      <c r="L223" s="1573">
        <v>1320</v>
      </c>
    </row>
    <row r="224" spans="1:14" x14ac:dyDescent="0.2">
      <c r="A224" s="1274" t="s">
        <v>958</v>
      </c>
      <c r="B224" s="503">
        <v>1600</v>
      </c>
      <c r="C224" s="1673"/>
      <c r="D224" s="1573"/>
      <c r="E224" s="1673"/>
      <c r="F224" s="1673"/>
      <c r="G224" s="1673"/>
      <c r="H224" s="1673"/>
      <c r="I224" s="1673"/>
      <c r="J224" s="1673"/>
      <c r="K224" s="1672">
        <f t="shared" si="19"/>
        <v>0</v>
      </c>
      <c r="L224" s="1573">
        <v>40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1080</v>
      </c>
      <c r="B227" s="503">
        <v>1800</v>
      </c>
      <c r="C227" s="1673"/>
      <c r="D227" s="1573"/>
      <c r="E227" s="1673"/>
      <c r="F227" s="1673"/>
      <c r="G227" s="1673"/>
      <c r="H227" s="1673"/>
      <c r="I227" s="1673"/>
      <c r="J227" s="1673"/>
      <c r="K227" s="1672">
        <f t="shared" si="19"/>
        <v>0</v>
      </c>
      <c r="L227" s="1573">
        <v>0</v>
      </c>
    </row>
    <row r="228" spans="1:12" x14ac:dyDescent="0.2">
      <c r="A228" s="1274" t="s">
        <v>1081</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101167</v>
      </c>
      <c r="E229" s="1673"/>
      <c r="F229" s="1673"/>
      <c r="G229" s="1673"/>
      <c r="H229" s="1673"/>
      <c r="I229" s="1673"/>
      <c r="J229" s="1673"/>
      <c r="K229" s="1674">
        <f>SUM(K215:K228)</f>
        <v>101167</v>
      </c>
      <c r="L229" s="1674">
        <f>SUM(L215:L228)</f>
        <v>97215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v>0</v>
      </c>
    </row>
    <row r="233" spans="1:12" x14ac:dyDescent="0.2">
      <c r="A233" s="1274" t="s">
        <v>1083</v>
      </c>
      <c r="B233" s="503">
        <v>2120</v>
      </c>
      <c r="C233" s="1673"/>
      <c r="D233" s="1573">
        <v>705</v>
      </c>
      <c r="E233" s="1673"/>
      <c r="F233" s="1673"/>
      <c r="G233" s="1673"/>
      <c r="H233" s="1673"/>
      <c r="I233" s="1673"/>
      <c r="J233" s="1673"/>
      <c r="K233" s="1672">
        <f t="shared" si="20"/>
        <v>705</v>
      </c>
      <c r="L233" s="1573">
        <v>820</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1040</v>
      </c>
      <c r="E236" s="1673"/>
      <c r="F236" s="1673"/>
      <c r="G236" s="1673"/>
      <c r="H236" s="1673"/>
      <c r="I236" s="1673"/>
      <c r="J236" s="1673"/>
      <c r="K236" s="1672">
        <f t="shared" si="20"/>
        <v>1040</v>
      </c>
      <c r="L236" s="1573">
        <v>1200</v>
      </c>
    </row>
    <row r="237" spans="1:12" x14ac:dyDescent="0.2">
      <c r="A237" s="1274" t="s">
        <v>164</v>
      </c>
      <c r="B237" s="503">
        <v>2190</v>
      </c>
      <c r="C237" s="1673"/>
      <c r="D237" s="1573">
        <v>3163</v>
      </c>
      <c r="E237" s="1673"/>
      <c r="F237" s="1673"/>
      <c r="G237" s="1673"/>
      <c r="H237" s="1673"/>
      <c r="I237" s="1673"/>
      <c r="J237" s="1673"/>
      <c r="K237" s="1672">
        <f t="shared" si="20"/>
        <v>3163</v>
      </c>
      <c r="L237" s="1573">
        <v>2980</v>
      </c>
    </row>
    <row r="238" spans="1:12" ht="12.75" customHeight="1" thickBot="1" x14ac:dyDescent="0.25">
      <c r="A238" s="1380" t="s">
        <v>556</v>
      </c>
      <c r="B238" s="1383" t="s">
        <v>711</v>
      </c>
      <c r="C238" s="1673"/>
      <c r="D238" s="1674">
        <f>SUM(D232:D237)</f>
        <v>4908</v>
      </c>
      <c r="E238" s="1673"/>
      <c r="F238" s="1673"/>
      <c r="G238" s="1673"/>
      <c r="H238" s="1673"/>
      <c r="I238" s="1673"/>
      <c r="J238" s="1673"/>
      <c r="K238" s="1674">
        <f>SUM(K232:K237)</f>
        <v>4908</v>
      </c>
      <c r="L238" s="1674">
        <f>SUM(L232:L237)</f>
        <v>5000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714</v>
      </c>
      <c r="E240" s="1673"/>
      <c r="F240" s="1673"/>
      <c r="G240" s="1673"/>
      <c r="H240" s="1673"/>
      <c r="I240" s="1673"/>
      <c r="J240" s="1673"/>
      <c r="K240" s="1678">
        <f>D240</f>
        <v>714</v>
      </c>
      <c r="L240" s="1586">
        <v>0</v>
      </c>
    </row>
    <row r="241" spans="1:12" x14ac:dyDescent="0.2">
      <c r="A241" s="1274" t="s">
        <v>810</v>
      </c>
      <c r="B241" s="503">
        <v>2220</v>
      </c>
      <c r="C241" s="1673"/>
      <c r="D241" s="1573">
        <v>3352</v>
      </c>
      <c r="E241" s="1673"/>
      <c r="F241" s="1673"/>
      <c r="G241" s="1673"/>
      <c r="H241" s="1673"/>
      <c r="I241" s="1673"/>
      <c r="J241" s="1673"/>
      <c r="K241" s="1678">
        <f>D241</f>
        <v>3352</v>
      </c>
      <c r="L241" s="1573">
        <v>3370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4066</v>
      </c>
      <c r="E243" s="1673"/>
      <c r="F243" s="1673"/>
      <c r="G243" s="1673"/>
      <c r="H243" s="1673"/>
      <c r="I243" s="1673"/>
      <c r="J243" s="1673"/>
      <c r="K243" s="1674">
        <f>SUM(K240:K242)</f>
        <v>4066</v>
      </c>
      <c r="L243" s="1674">
        <f>SUM(L240:L242)</f>
        <v>3370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777</v>
      </c>
      <c r="E245" s="1673"/>
      <c r="F245" s="1673"/>
      <c r="G245" s="1673"/>
      <c r="H245" s="1673"/>
      <c r="I245" s="1673"/>
      <c r="J245" s="1673"/>
      <c r="K245" s="1678">
        <f>D245</f>
        <v>777</v>
      </c>
      <c r="L245" s="1586">
        <v>920</v>
      </c>
    </row>
    <row r="246" spans="1:12" x14ac:dyDescent="0.2">
      <c r="A246" s="1274" t="s">
        <v>813</v>
      </c>
      <c r="B246" s="503">
        <v>2320</v>
      </c>
      <c r="C246" s="1673"/>
      <c r="D246" s="1573">
        <v>8762</v>
      </c>
      <c r="E246" s="1673"/>
      <c r="F246" s="1673"/>
      <c r="G246" s="1673"/>
      <c r="H246" s="1673"/>
      <c r="I246" s="1673"/>
      <c r="J246" s="1673"/>
      <c r="K246" s="1678">
        <f t="shared" ref="K246:K256" si="21">D246</f>
        <v>8762</v>
      </c>
      <c r="L246" s="1573">
        <v>9500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1785</v>
      </c>
      <c r="B249" s="557" t="s">
        <v>280</v>
      </c>
      <c r="C249" s="1673"/>
      <c r="D249" s="1579"/>
      <c r="E249" s="1673"/>
      <c r="F249" s="1673"/>
      <c r="G249" s="1673"/>
      <c r="H249" s="1673"/>
      <c r="I249" s="1673"/>
      <c r="J249" s="1673"/>
      <c r="K249" s="1678">
        <f t="shared" si="21"/>
        <v>0</v>
      </c>
      <c r="L249" s="1573">
        <v>0</v>
      </c>
    </row>
    <row r="250" spans="1:12" x14ac:dyDescent="0.2">
      <c r="A250" s="1275" t="s">
        <v>1786</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9539</v>
      </c>
      <c r="E257" s="1673"/>
      <c r="F257" s="1673"/>
      <c r="G257" s="1673"/>
      <c r="H257" s="1673"/>
      <c r="I257" s="1673"/>
      <c r="J257" s="1673"/>
      <c r="K257" s="1674">
        <f>SUM(K245:K256)</f>
        <v>9539</v>
      </c>
      <c r="L257" s="1674">
        <f>SUM(L245:L256)</f>
        <v>10420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22148</v>
      </c>
      <c r="E259" s="1673"/>
      <c r="F259" s="1673"/>
      <c r="G259" s="1673"/>
      <c r="H259" s="1673"/>
      <c r="I259" s="1673"/>
      <c r="J259" s="1673"/>
      <c r="K259" s="1678">
        <f>D259</f>
        <v>22148</v>
      </c>
      <c r="L259" s="1586">
        <v>23720</v>
      </c>
    </row>
    <row r="260" spans="1:14" s="493" customFormat="1" x14ac:dyDescent="0.2">
      <c r="A260" s="1292" t="s">
        <v>1784</v>
      </c>
      <c r="B260" s="512">
        <v>2490</v>
      </c>
      <c r="C260" s="1673"/>
      <c r="D260" s="1573">
        <v>510</v>
      </c>
      <c r="E260" s="1673"/>
      <c r="F260" s="1673"/>
      <c r="G260" s="1673"/>
      <c r="H260" s="1673"/>
      <c r="I260" s="1673"/>
      <c r="J260" s="1673"/>
      <c r="K260" s="1678">
        <f>D260</f>
        <v>510</v>
      </c>
      <c r="L260" s="1573">
        <v>1200</v>
      </c>
      <c r="M260" s="205"/>
      <c r="N260" s="205"/>
    </row>
    <row r="261" spans="1:14" ht="12.75" customHeight="1" thickBot="1" x14ac:dyDescent="0.25">
      <c r="A261" s="1394" t="s">
        <v>261</v>
      </c>
      <c r="B261" s="1399" t="s">
        <v>34</v>
      </c>
      <c r="C261" s="1673"/>
      <c r="D261" s="1674">
        <f>SUM(D259:D260)</f>
        <v>22658</v>
      </c>
      <c r="E261" s="1673"/>
      <c r="F261" s="1673"/>
      <c r="G261" s="1673"/>
      <c r="H261" s="1673"/>
      <c r="I261" s="1673"/>
      <c r="J261" s="1673"/>
      <c r="K261" s="1674">
        <f>SUM(K259:K260)</f>
        <v>22658</v>
      </c>
      <c r="L261" s="1674">
        <f>SUM(L259:L260)</f>
        <v>24920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7688</v>
      </c>
      <c r="E264" s="1673"/>
      <c r="F264" s="1673"/>
      <c r="G264" s="1673"/>
      <c r="H264" s="1673"/>
      <c r="I264" s="1673"/>
      <c r="J264" s="1673"/>
      <c r="K264" s="1678">
        <f t="shared" ref="K264:K269" si="22">D264</f>
        <v>7688</v>
      </c>
      <c r="L264" s="1573">
        <v>7700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44108</v>
      </c>
      <c r="E266" s="1673"/>
      <c r="F266" s="1673"/>
      <c r="G266" s="1673"/>
      <c r="H266" s="1673"/>
      <c r="I266" s="1673"/>
      <c r="J266" s="1673"/>
      <c r="K266" s="1678">
        <f t="shared" si="22"/>
        <v>44108</v>
      </c>
      <c r="L266" s="1573">
        <v>33640</v>
      </c>
    </row>
    <row r="267" spans="1:14" x14ac:dyDescent="0.2">
      <c r="A267" s="1274" t="s">
        <v>947</v>
      </c>
      <c r="B267" s="503">
        <v>2550</v>
      </c>
      <c r="C267" s="1673"/>
      <c r="D267" s="1573">
        <v>9835</v>
      </c>
      <c r="E267" s="1673"/>
      <c r="F267" s="1673"/>
      <c r="G267" s="1673"/>
      <c r="H267" s="1673"/>
      <c r="I267" s="1673"/>
      <c r="J267" s="1673"/>
      <c r="K267" s="1678">
        <f t="shared" si="22"/>
        <v>9835</v>
      </c>
      <c r="L267" s="1573">
        <v>13860</v>
      </c>
    </row>
    <row r="268" spans="1:14" x14ac:dyDescent="0.2">
      <c r="A268" s="1274" t="s">
        <v>100</v>
      </c>
      <c r="B268" s="503">
        <v>2560</v>
      </c>
      <c r="C268" s="1673"/>
      <c r="D268" s="1573"/>
      <c r="E268" s="1673"/>
      <c r="F268" s="1673"/>
      <c r="G268" s="1673"/>
      <c r="H268" s="1673"/>
      <c r="I268" s="1673"/>
      <c r="J268" s="1673"/>
      <c r="K268" s="1678">
        <f t="shared" si="22"/>
        <v>0</v>
      </c>
      <c r="L268" s="1573">
        <v>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61631</v>
      </c>
      <c r="E270" s="1673"/>
      <c r="F270" s="1673"/>
      <c r="G270" s="1673"/>
      <c r="H270" s="1673"/>
      <c r="I270" s="1673"/>
      <c r="J270" s="1673"/>
      <c r="K270" s="1674">
        <f>SUM(K263:K269)</f>
        <v>61631</v>
      </c>
      <c r="L270" s="1674">
        <f>SUM(L263:L269)</f>
        <v>55200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1054</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102802</v>
      </c>
      <c r="E279" s="1673"/>
      <c r="F279" s="1673"/>
      <c r="G279" s="1673"/>
      <c r="H279" s="1673"/>
      <c r="I279" s="1673"/>
      <c r="J279" s="1673"/>
      <c r="K279" s="1681">
        <f>SUM(K238,K243,K257,K261,K270,K277,K278)</f>
        <v>102802</v>
      </c>
      <c r="L279" s="1681">
        <f>SUM(L238,L243,L257,L261,L270,L277,L278)</f>
        <v>98910</v>
      </c>
    </row>
    <row r="280" spans="1:12" ht="15.75" customHeight="1" thickTop="1" thickBot="1" x14ac:dyDescent="0.25">
      <c r="A280" s="1362" t="s">
        <v>870</v>
      </c>
      <c r="B280" s="1351">
        <v>3000</v>
      </c>
      <c r="C280" s="1673"/>
      <c r="D280" s="1651">
        <v>11484</v>
      </c>
      <c r="E280" s="1673"/>
      <c r="F280" s="1673"/>
      <c r="G280" s="1673"/>
      <c r="H280" s="1673"/>
      <c r="I280" s="1673"/>
      <c r="J280" s="1673"/>
      <c r="K280" s="1687">
        <f>D280</f>
        <v>11484</v>
      </c>
      <c r="L280" s="1651">
        <v>12200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1162</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7" t="s">
        <v>502</v>
      </c>
      <c r="B295" s="2288"/>
      <c r="C295" s="1673"/>
      <c r="D295" s="1674">
        <f>SUM(D229,D279,D280,D285)</f>
        <v>215453</v>
      </c>
      <c r="E295" s="1673"/>
      <c r="F295" s="1673"/>
      <c r="G295" s="1673"/>
      <c r="H295" s="1674">
        <f>H293</f>
        <v>0</v>
      </c>
      <c r="I295" s="1673"/>
      <c r="J295" s="1673"/>
      <c r="K295" s="1674">
        <f>SUM(K229,K279,K280,K285,K293,K294)</f>
        <v>215453</v>
      </c>
      <c r="L295" s="1674">
        <f>SUM(L229,L279,L280,L285,L293,L294)</f>
        <v>208325</v>
      </c>
    </row>
    <row r="296" spans="1:14" ht="13.5" thickTop="1" x14ac:dyDescent="0.2">
      <c r="A296" s="2269" t="s">
        <v>989</v>
      </c>
      <c r="B296" s="2270"/>
      <c r="C296" s="1673"/>
      <c r="D296" s="1675"/>
      <c r="E296" s="1673"/>
      <c r="F296" s="1673"/>
      <c r="G296" s="1673"/>
      <c r="H296" s="1707"/>
      <c r="I296" s="1673"/>
      <c r="J296" s="1673"/>
      <c r="K296" s="1689">
        <f>'Revenues 9-14'!G268-'Expenditures 15-22'!K295</f>
        <v>29427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9" t="s">
        <v>142</v>
      </c>
      <c r="B298" s="227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4" t="s">
        <v>275</v>
      </c>
      <c r="B312" s="228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0" t="s">
        <v>989</v>
      </c>
      <c r="B313" s="2281"/>
      <c r="C313" s="1677"/>
      <c r="D313" s="1677"/>
      <c r="E313" s="1677"/>
      <c r="F313" s="1677"/>
      <c r="G313" s="1677"/>
      <c r="H313" s="1677"/>
      <c r="I313" s="1677"/>
      <c r="J313" s="1677"/>
      <c r="K313" s="1696">
        <f>'Revenues 9-14'!H268-'Expenditures 15-22'!K312</f>
        <v>91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3" t="s">
        <v>148</v>
      </c>
      <c r="B315" s="229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5" t="s">
        <v>892</v>
      </c>
      <c r="B317" s="229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1785</v>
      </c>
      <c r="B320" s="568" t="s">
        <v>280</v>
      </c>
      <c r="C320" s="1574"/>
      <c r="D320" s="1574"/>
      <c r="E320" s="1574">
        <v>21810</v>
      </c>
      <c r="F320" s="1574"/>
      <c r="G320" s="1574"/>
      <c r="H320" s="1574"/>
      <c r="I320" s="1574"/>
      <c r="J320" s="1574"/>
      <c r="K320" s="1672">
        <f t="shared" ref="K320:K327" si="24">SUM(C320:J320)</f>
        <v>21810</v>
      </c>
      <c r="L320" s="1574">
        <v>32561</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12750</v>
      </c>
      <c r="F322" s="1574"/>
      <c r="G322" s="1574"/>
      <c r="H322" s="1574"/>
      <c r="I322" s="1574"/>
      <c r="J322" s="1574"/>
      <c r="K322" s="1672">
        <f t="shared" si="24"/>
        <v>12750</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v>0</v>
      </c>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34560</v>
      </c>
      <c r="F330" s="1674">
        <f t="shared" si="25"/>
        <v>0</v>
      </c>
      <c r="G330" s="1674">
        <f t="shared" si="25"/>
        <v>0</v>
      </c>
      <c r="H330" s="1674">
        <f t="shared" si="25"/>
        <v>0</v>
      </c>
      <c r="I330" s="1674">
        <f t="shared" si="25"/>
        <v>0</v>
      </c>
      <c r="J330" s="1674">
        <f t="shared" si="25"/>
        <v>0</v>
      </c>
      <c r="K330" s="1674">
        <f>SUM(K319:K329)</f>
        <v>34560</v>
      </c>
      <c r="L330" s="1674">
        <f>SUM(L319:L329)</f>
        <v>32561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1162</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34560</v>
      </c>
      <c r="F342" s="1674">
        <f>SUM(F330)</f>
        <v>0</v>
      </c>
      <c r="G342" s="1674">
        <f>SUM(G330)</f>
        <v>0</v>
      </c>
      <c r="H342" s="1674">
        <f>SUM(H330,H334,H340)</f>
        <v>0</v>
      </c>
      <c r="I342" s="1674">
        <f>SUM(I330)</f>
        <v>0</v>
      </c>
      <c r="J342" s="1674">
        <f>SUM(J330)</f>
        <v>0</v>
      </c>
      <c r="K342" s="1674">
        <f>SUM(K330,K334,K340)</f>
        <v>34560</v>
      </c>
      <c r="L342" s="1681">
        <f>SUM(L330,L334,L340,L341)</f>
        <v>32561</v>
      </c>
    </row>
    <row r="343" spans="1:14" ht="12.75" customHeight="1" thickTop="1" x14ac:dyDescent="0.2">
      <c r="A343" s="2282" t="s">
        <v>989</v>
      </c>
      <c r="B343" s="2283"/>
      <c r="C343" s="1673"/>
      <c r="D343" s="1673"/>
      <c r="E343" s="1673"/>
      <c r="F343" s="1673"/>
      <c r="G343" s="1673"/>
      <c r="H343" s="1673"/>
      <c r="I343" s="1673"/>
      <c r="J343" s="1673"/>
      <c r="K343" s="1689">
        <f>'Revenues 9-14'!J268-'Expenditures 15-22'!K342</f>
        <v>3077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2" t="s">
        <v>960</v>
      </c>
      <c r="B345" s="227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20300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20300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20300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20300</v>
      </c>
    </row>
    <row r="368" spans="1:14" ht="13.5" thickTop="1" x14ac:dyDescent="0.2">
      <c r="A368" s="2269" t="s">
        <v>989</v>
      </c>
      <c r="B368" s="2270"/>
      <c r="C368" s="1694"/>
      <c r="D368" s="1694"/>
      <c r="E368" s="1677"/>
      <c r="F368" s="1677"/>
      <c r="G368" s="1677"/>
      <c r="H368" s="1677"/>
      <c r="I368" s="1677"/>
      <c r="J368" s="1676"/>
      <c r="K368" s="1672">
        <f>'Revenues 9-14'!K268-'Expenditures 15-22'!K367</f>
        <v>32083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http://purl.org/dc/elements/1.1/"/>
    <ds:schemaRef ds:uri="http://schemas.openxmlformats.org/package/2006/metadata/core-properties"/>
    <ds:schemaRef ds:uri="d21dc803-237d-4c68-8692-8d731fd29118"/>
    <ds:schemaRef ds:uri="http://purl.org/dc/terms/"/>
    <ds:schemaRef ds:uri="http://schemas.microsoft.com/office/2006/documentManagement/types"/>
    <ds:schemaRef ds:uri="http://www.w3.org/XML/1998/namespace"/>
    <ds:schemaRef ds:uri="4d435f69-8686-490b-bd6d-b153bf22ab50"/>
    <ds:schemaRef ds:uri="http://schemas.microsoft.com/office/infopath/2007/PartnerControl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2020-10-08T18:54:02Z</cp:lastPrinted>
  <dcterms:created xsi:type="dcterms:W3CDTF">2003-10-29T19:06:34Z</dcterms:created>
  <dcterms:modified xsi:type="dcterms:W3CDTF">2020-10-16T21:12:21Z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