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C3DC38E-559D-458A-AD95-7F9F8D2803C4}"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E20" i="127" l="1"/>
  <c r="D20" i="127"/>
  <c r="D9" i="127"/>
  <c r="C65" i="5"/>
  <c r="K65" i="5" l="1"/>
  <c r="G65" i="5"/>
  <c r="L13" i="186" l="1"/>
  <c r="E23" i="186"/>
  <c r="F16" i="187"/>
  <c r="F18" i="187" s="1"/>
  <c r="G16" i="187"/>
  <c r="G18" i="187" s="1"/>
  <c r="H16" i="187"/>
  <c r="H18" i="187" s="1"/>
  <c r="I16" i="187"/>
  <c r="I18" i="187" s="1"/>
  <c r="J16" i="187"/>
  <c r="J18" i="187" s="1"/>
  <c r="K16" i="187"/>
  <c r="K18" i="187" s="1"/>
  <c r="E16" i="187"/>
  <c r="E18" i="187" s="1"/>
  <c r="F22" i="186"/>
  <c r="F23" i="186" s="1"/>
  <c r="G22" i="186"/>
  <c r="G23" i="186" s="1"/>
  <c r="H22" i="186"/>
  <c r="H23" i="186" s="1"/>
  <c r="J22" i="186"/>
  <c r="J23" i="186" s="1"/>
  <c r="K22" i="186"/>
  <c r="K23" i="186" s="1"/>
  <c r="E22" i="186"/>
  <c r="I20" i="186"/>
  <c r="I22" i="186" s="1"/>
  <c r="I23" i="186" s="1"/>
  <c r="K25" i="185"/>
  <c r="K15" i="186" s="1"/>
  <c r="J25" i="185"/>
  <c r="J15" i="186" s="1"/>
  <c r="I25" i="185"/>
  <c r="I15" i="186" s="1"/>
  <c r="H25" i="185"/>
  <c r="H15" i="186" s="1"/>
  <c r="H20" i="187" s="1"/>
  <c r="G25" i="185"/>
  <c r="G15" i="186" s="1"/>
  <c r="F25" i="185"/>
  <c r="F15" i="186" s="1"/>
  <c r="F20" i="187" s="1"/>
  <c r="E25" i="185"/>
  <c r="E15" i="186" s="1"/>
  <c r="H25" i="179"/>
  <c r="F25" i="179"/>
  <c r="J21" i="179"/>
  <c r="J25" i="179" s="1"/>
  <c r="K21" i="179"/>
  <c r="K25" i="179" s="1"/>
  <c r="I21" i="179"/>
  <c r="I25" i="179" s="1"/>
  <c r="H21" i="179"/>
  <c r="G21" i="179"/>
  <c r="G25" i="179" s="1"/>
  <c r="F21" i="179"/>
  <c r="E21" i="179"/>
  <c r="E25" i="179" s="1"/>
  <c r="E20" i="187" l="1"/>
  <c r="G20" i="187"/>
  <c r="I20" i="187"/>
  <c r="K20" i="187"/>
  <c r="J20" i="187"/>
  <c r="L27" i="187"/>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5" i="183" l="1"/>
  <c r="F24" i="183"/>
  <c r="F23" i="183"/>
  <c r="F22" i="183"/>
  <c r="F21" i="183"/>
  <c r="F20"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71" i="106" l="1"/>
  <c r="D7171" i="106" s="1"/>
  <c r="E62" i="184"/>
  <c r="N62" i="184" s="1"/>
  <c r="F42" i="34"/>
  <c r="B7705" i="106"/>
  <c r="D7705" i="106" s="1"/>
  <c r="E67" i="184"/>
  <c r="N67" i="184" s="1"/>
  <c r="B7198" i="106"/>
  <c r="D7198" i="106" s="1"/>
  <c r="E65" i="184"/>
  <c r="N65" i="184" s="1"/>
  <c r="B7126" i="106"/>
  <c r="D7126" i="106" s="1"/>
  <c r="E57" i="184"/>
  <c r="N57" i="184" s="1"/>
  <c r="H15" i="184"/>
  <c r="G33" i="108"/>
  <c r="E17" i="184"/>
  <c r="H17" i="184" s="1"/>
  <c r="B7696" i="106"/>
  <c r="D7696" i="106" s="1"/>
  <c r="E66" i="184"/>
  <c r="N66" i="184" s="1"/>
  <c r="B7189" i="106"/>
  <c r="D7189" i="106" s="1"/>
  <c r="E64" i="184"/>
  <c r="N64" i="184" s="1"/>
  <c r="D31" i="108"/>
  <c r="E16" i="184"/>
  <c r="H16" i="184" s="1"/>
  <c r="F34" i="34"/>
  <c r="B7826" i="106" s="1"/>
  <c r="D7826" i="106" s="1"/>
  <c r="G30" i="108"/>
  <c r="E19" i="184"/>
  <c r="H13" i="184"/>
  <c r="H19" i="184" s="1"/>
  <c r="L20" i="184" s="1"/>
  <c r="F77" i="4"/>
  <c r="B3255" i="106" s="1"/>
  <c r="D3255" i="106" s="1"/>
  <c r="B7180" i="106"/>
  <c r="D7180" i="106" s="1"/>
  <c r="E63" i="184"/>
  <c r="C342" i="29"/>
  <c r="B7216" i="106" s="1"/>
  <c r="D7216" i="106" s="1"/>
  <c r="B7162" i="106"/>
  <c r="D7162" i="106" s="1"/>
  <c r="E61" i="184"/>
  <c r="N61" i="184" s="1"/>
  <c r="B7153" i="106"/>
  <c r="D7153" i="106" s="1"/>
  <c r="E60" i="184"/>
  <c r="N60" i="184" s="1"/>
  <c r="B7135" i="106"/>
  <c r="D7135" i="106" s="1"/>
  <c r="E58" i="184"/>
  <c r="D69"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M63" i="184"/>
  <c r="M68" i="184" s="1"/>
  <c r="B5770" i="106"/>
  <c r="D5770" i="106" s="1"/>
  <c r="B5527" i="106"/>
  <c r="D5527" i="106" s="1"/>
  <c r="E367" i="29"/>
  <c r="B3635" i="106"/>
  <c r="F41" i="108"/>
  <c r="G43" i="108" s="1"/>
  <c r="K342" i="29"/>
  <c r="F13" i="34" s="1"/>
  <c r="N58" i="184"/>
  <c r="E68" i="184"/>
  <c r="L16" i="11"/>
  <c r="B2061" i="106" s="1"/>
  <c r="D2061" i="106" s="1"/>
  <c r="N23" i="3"/>
  <c r="B284" i="106" s="1"/>
  <c r="D284" i="106" s="1"/>
  <c r="D44" i="36"/>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N63" i="184" l="1"/>
  <c r="N68" i="184"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77" i="34"/>
  <c r="B7834" i="106" s="1"/>
  <c r="D7834" i="106" s="1"/>
  <c r="D8" i="146"/>
  <c r="K17" i="4"/>
  <c r="K19" i="4" s="1"/>
  <c r="B4144" i="106" s="1"/>
  <c r="D414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3576" i="106" l="1"/>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<sst xmlns="http://schemas.openxmlformats.org/spreadsheetml/2006/main" count="5493" uniqueCount="2193">
  <si>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</si>
  <si>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</si>
  <si>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</si>
  <si>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</si>
  <si>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</si>
  <si>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</si>
  <si>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</si>
  <si>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</si>
  <si>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</si>
  <si>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</si>
  <si>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</si>
  <si>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</si>
  <si>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</si>
  <si>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</si>
  <si>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</si>
  <si>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</si>
  <si>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</si>
  <si>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</si>
  <si>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</si>
  <si>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</si>
  <si>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</si>
  <si>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</si>
  <si>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</si>
  <si>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</si>
  <si>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</si>
  <si>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</si>
  <si>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</si>
  <si>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</si>
  <si>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</si>
  <si>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</si>
  <si>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</si>
  <si>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</si>
  <si>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</si>
  <si>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</si>
  <si>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</si>
  <si>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</si>
  <si>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</si>
  <si>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</si>
  <si>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</si>
  <si>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</si>
  <si>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</si>
  <si>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</si>
  <si>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</si>
  <si>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</si>
  <si>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</si>
  <si>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</si>
  <si>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</si>
  <si>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</si>
  <si>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</si>
  <si>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</si>
  <si>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</si>
  <si>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</si>
  <si>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</si>
  <si>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</si>
  <si>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</si>
  <si>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</si>
  <si>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</si>
  <si>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</si>
  <si>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</si>
  <si>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</si>
  <si>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</si>
  <si>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</si>
  <si>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</si>
  <si>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</si>
  <si>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</si>
  <si>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</si>
  <si>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</si>
  <si>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</si>
  <si>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</si>
  <si>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</si>
  <si>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</si>
  <si>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</si>
  <si>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</si>
  <si>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</si>
  <si>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</si>
  <si>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</si>
  <si>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</si>
  <si>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</si>
  <si>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</si>
  <si>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</si>
  <si>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</si>
  <si>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</si>
  <si>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</si>
  <si>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</si>
  <si>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</si>
  <si>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</si>
  <si>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</si>
  <si>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</si>
  <si>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</si>
  <si>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</si>
  <si>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</si>
  <si>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</si>
  <si>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</si>
  <si>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</si>
  <si>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</si>
  <si>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</si>
  <si>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</si>
  <si>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</si>
  <si>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</si>
  <si>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</si>
  <si>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</si>
  <si>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</si>
  <si>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</si>
  <si>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</si>
  <si>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</si>
  <si>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</si>
  <si>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</si>
  <si>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</si>
  <si>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</si>
  <si>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</si>
  <si>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</si>
  <si>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</si>
  <si>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</si>
  <si>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</si>
  <si>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</si>
  <si>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</si>
  <si>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</si>
  <si>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</si>
  <si>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</si>
  <si>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</si>
  <si>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</si>
  <si>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</si>
  <si>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</si>
  <si>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</si>
  <si>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</si>
  <si>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</si>
  <si>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</si>
  <si>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</si>
  <si>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</si>
  <si>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</si>
  <si>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</si>
  <si>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</si>
  <si>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</si>
  <si>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</si>
  <si>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</si>
  <si>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</si>
  <si>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</si>
  <si>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</si>
  <si>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</si>
  <si>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</si>
  <si>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</si>
  <si>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</si>
  <si>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</si>
  <si>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</si>
  <si>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</si>
  <si>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</si>
  <si>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</si>
  <si>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</si>
  <si>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</si>
  <si>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</si>
  <si>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</si>
  <si>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</si>
  <si>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</si>
  <si>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</si>
  <si>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</si>
  <si>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</si>
  <si>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</si>
  <si>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</si>
  <si>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</si>
  <si>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</si>
  <si>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</si>
  <si>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</si>
  <si>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</si>
  <si>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</si>
  <si>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</si>
  <si>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</si>
  <si>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</si>
  <si>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</si>
  <si>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</si>
  <si>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</si>
  <si>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</si>
  <si>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</si>
  <si>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</si>
  <si>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</si>
  <si>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</si>
  <si>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</si>
  <si>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</si>
  <si>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</si>
  <si>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</si>
  <si>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</si>
  <si>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</si>
  <si>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</si>
  <si>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</si>
  <si>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</si>
  <si>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</si>
  <si>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</si>
  <si>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</si>
  <si>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</si>
  <si>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</si>
  <si>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</si>
  <si>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</si>
  <si>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</si>
  <si>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</si>
  <si>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</si>
  <si>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</si>
  <si>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</si>
  <si>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</si>
  <si>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</si>
  <si>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</si>
  <si>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</si>
  <si>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</si>
  <si>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</si>
  <si>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</si>
  <si>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</si>
  <si>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</si>
  <si>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</si>
  <si>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</si>
  <si>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</si>
  <si>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</si>
  <si>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</si>
  <si>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</si>
  <si>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</si>
  <si>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</si>
  <si>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</si>
  <si>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</si>
  <si>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</si>
  <si>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</si>
  <si>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</si>
  <si>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</si>
  <si>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</si>
  <si>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</si>
  <si>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</si>
  <si>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</si>
  <si>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</si>
  <si>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</si>
  <si>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</si>
  <si>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</si>
  <si>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</si>
  <si>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</si>
  <si>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</si>
  <si>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</si>
  <si>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</si>
  <si>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</si>
  <si>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</si>
  <si>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</si>
  <si>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</si>
  <si>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</si>
  <si>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</si>
  <si>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</si>
  <si>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</si>
  <si>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</si>
  <si>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</si>
  <si>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</si>
  <si>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</si>
  <si>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</si>
  <si>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</si>
  <si>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</si>
  <si>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</si>
  <si>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</si>
  <si>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</si>
  <si>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</si>
  <si>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</si>
  <si>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</si>
  <si>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</si>
  <si>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</si>
  <si>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</si>
  <si>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</si>
  <si>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</si>
  <si>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</si>
  <si>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</si>
  <si>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</si>
  <si>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</si>
  <si>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</si>
  <si>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</si>
  <si>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</si>
  <si>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</si>
  <si>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</si>
  <si>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</si>
  <si>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</si>
  <si>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</si>
  <si>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</si>
  <si>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</si>
  <si>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</si>
  <si>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</si>
  <si>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</si>
  <si>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</si>
  <si>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</si>
  <si>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</si>
  <si>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</si>
  <si>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</si>
  <si>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</si>
  <si>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</si>
  <si>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</si>
  <si>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</si>
  <si>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</si>
  <si>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</si>
  <si>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</si>
  <si>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</si>
  <si>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</si>
  <si>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</si>
  <si>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</si>
  <si>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</si>
  <si>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</si>
  <si>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</si>
  <si>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</si>
  <si>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</si>
  <si>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</si>
  <si>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</si>
  <si>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</si>
  <si>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</si>
  <si>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</si>
  <si>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</si>
  <si>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</si>
  <si>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</si>
  <si>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</si>
  <si>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</si>
  <si>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</si>
  <si>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</si>
  <si>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</si>
  <si>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</si>
  <si>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</si>
  <si>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</si>
  <si>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</si>
  <si>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</si>
  <si>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</si>
  <si>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</si>
  <si>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</si>
  <si>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</si>
  <si>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</si>
  <si>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</si>
  <si>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</si>
  <si>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</si>
  <si>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</si>
  <si>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</si>
  <si>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</si>
  <si>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</si>
  <si>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</si>
  <si>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</si>
  <si>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</si>
  <si>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</si>
  <si>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</si>
  <si>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</si>
  <si>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</si>
  <si>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</si>
  <si>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</si>
  <si>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</si>
  <si>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</si>
  <si>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</si>
  <si>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</si>
  <si>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</si>
  <si>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</si>
  <si>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</si>
  <si>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</si>
  <si>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</si>
  <si>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</si>
  <si>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</si>
  <si>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</si>
  <si>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</si>
  <si>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</si>
  <si>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</si>
  <si>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</si>
  <si>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</si>
  <si>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</si>
  <si>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</si>
  <si>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</si>
  <si>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</si>
  <si>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</si>
  <si>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</si>
  <si>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</si>
  <si>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</si>
  <si>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</si>
  <si>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</si>
  <si>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</si>
  <si>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</si>
  <si>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</si>
  <si>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</si>
  <si>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</si>
  <si>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</si>
  <si>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</si>
  <si>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</si>
  <si>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</si>
  <si>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</si>
  <si>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</si>
  <si>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</si>
  <si>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</si>
  <si>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</si>
  <si>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</si>
  <si>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</si>
  <si>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</si>
  <si>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</si>
  <si>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</si>
  <si>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</si>
  <si>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</si>
  <si>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</si>
  <si>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</si>
  <si>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</si>
  <si>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</si>
  <si>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</si>
  <si>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</si>
  <si>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</si>
  <si>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</si>
  <si>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</si>
  <si>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</si>
  <si>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</si>
  <si>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</si>
  <si>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</si>
  <si>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</si>
  <si>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</si>
  <si>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</si>
  <si>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</si>
  <si>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</si>
  <si>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</si>
  <si>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</si>
  <si>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</si>
  <si>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</si>
  <si>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</si>
  <si>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</si>
  <si>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</si>
  <si>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</si>
  <si>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</si>
  <si>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</si>
  <si>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</si>
  <si>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</si>
  <si>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</si>
  <si>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</si>
  <si>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</si>
  <si>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</si>
  <si>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</si>
  <si>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</si>
  <si>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</si>
  <si>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</si>
  <si>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</si>
  <si>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</si>
  <si>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</si>
  <si>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</si>
  <si>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</si>
  <si>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</si>
  <si>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</si>
  <si>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</si>
  <si>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</si>
  <si>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</si>
  <si>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</si>
  <si>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</si>
  <si>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</si>
  <si>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</si>
  <si>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</si>
  <si>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</si>
  <si>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</si>
  <si>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</si>
  <si>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</si>
  <si>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</si>
  <si>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</si>
  <si>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</si>
  <si>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</si>
  <si>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</si>
  <si>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</si>
  <si>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</si>
  <si>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</si>
  <si>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</si>
  <si>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</si>
  <si>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</si>
  <si>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</si>
  <si>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</si>
  <si>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</si>
  <si>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</si>
  <si>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</si>
  <si>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</si>
  <si>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</si>
  <si>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</si>
  <si>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</si>
  <si>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</si>
  <si>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</si>
  <si>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</si>
  <si>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</si>
  <si>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</si>
  <si>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</si>
  <si>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</si>
  <si>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</si>
  <si>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</si>
  <si>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</si>
  <si>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</si>
  <si>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</si>
  <si>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</si>
  <si>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</si>
  <si>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</si>
  <si>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</si>
  <si>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</si>
  <si>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</si>
  <si>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</si>
  <si>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</si>
  <si>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</si>
  <si>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</si>
  <si>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</si>
  <si>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</si>
  <si>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</si>
  <si>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</si>
  <si>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</si>
  <si>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</si>
  <si>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</si>
  <si>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</si>
  <si>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</si>
  <si>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</si>
  <si>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</si>
  <si>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</si>
  <si>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</si>
  <si>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</si>
  <si>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</si>
  <si>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</si>
  <si>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</si>
  <si>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</si>
  <si>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</si>
  <si>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</si>
  <si>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</si>
  <si>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</si>
  <si>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</si>
  <si>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</si>
  <si>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</si>
  <si>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</si>
  <si>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</si>
  <si>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</si>
  <si>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</si>
  <si>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</si>
  <si>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</si>
  <si>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</si>
  <si>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</si>
  <si>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</si>
  <si>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</si>
  <si>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</si>
  <si>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</si>
  <si>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</si>
  <si>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</si>
  <si>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</si>
  <si>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</si>
  <si>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</si>
  <si>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</si>
  <si>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</si>
  <si>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</si>
  <si>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</si>
  <si>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</si>
  <si>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</si>
  <si>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</si>
  <si>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</si>
  <si>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</si>
  <si>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</si>
  <si>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</si>
  <si>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</si>
  <si>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</si>
  <si>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</si>
  <si>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</si>
  <si>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</si>
  <si>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</si>
  <si>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</si>
  <si>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</si>
  <si>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</si>
  <si>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</si>
  <si>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</si>
  <si>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</si>
  <si>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</si>
  <si>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</si>
  <si>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</si>
  <si>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</si>
  <si>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</si>
  <si>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</si>
  <si>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</si>
  <si>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</si>
  <si>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</si>
  <si>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</si>
  <si>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</si>
  <si>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</si>
  <si>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</si>
  <si>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</si>
  <si>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</si>
  <si>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</si>
  <si>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</si>
  <si>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</si>
  <si>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</si>
  <si>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</si>
  <si>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</si>
  <si>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</si>
  <si>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</si>
  <si>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</si>
  <si>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</si>
  <si>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</si>
  <si>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</si>
  <si>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</si>
  <si>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</si>
  <si>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</si>
  <si>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</si>
  <si>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</si>
  <si>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</si>
  <si>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</si>
  <si>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</si>
  <si>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</si>
  <si>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</si>
  <si>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</si>
  <si>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</si>
  <si>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</si>
  <si>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</si>
  <si>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</si>
  <si>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</si>
  <si>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</si>
  <si>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</si>
  <si>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</si>
  <si>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</si>
  <si>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</si>
  <si>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</si>
  <si>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</si>
  <si>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</si>
  <si>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</si>
  <si>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</si>
  <si>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</si>
  <si>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</si>
  <si>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</si>
  <si>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</si>
  <si>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</si>
  <si>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</si>
  <si>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</si>
  <si>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</si>
  <si>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</si>
  <si>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</si>
  <si>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</si>
  <si>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</si>
  <si>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</si>
  <si>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</si>
  <si>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</si>
  <si>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</si>
  <si>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</si>
  <si>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</si>
  <si>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</si>
  <si>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</si>
  <si>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</si>
  <si>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</si>
  <si>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</si>
  <si>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</si>
  <si>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</si>
  <si>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</si>
  <si>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</si>
  <si>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</si>
  <si>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</si>
  <si>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</si>
  <si>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</si>
  <si>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</si>
  <si>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</si>
  <si>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</si>
  <si>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</si>
  <si>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</si>
  <si>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</si>
  <si>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</si>
  <si>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</si>
  <si>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</si>
  <si>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</si>
  <si>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</si>
  <si>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</si>
  <si>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</si>
  <si>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</si>
  <si>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</si>
  <si>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</si>
  <si>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</si>
  <si>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</si>
  <si>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</si>
  <si>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</si>
  <si>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</si>
  <si>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</si>
  <si>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</si>
  <si>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</si>
  <si>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</si>
  <si>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</si>
  <si>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</si>
  <si>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</si>
  <si>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</si>
  <si>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</si>
  <si>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</si>
  <si>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</si>
  <si>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</si>
  <si>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</si>
  <si>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</si>
  <si>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</si>
  <si>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</si>
  <si>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</si>
  <si>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</si>
  <si>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</si>
  <si>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</si>
  <si>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</si>
  <si>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</si>
  <si>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</si>
  <si>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</si>
  <si>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</si>
  <si>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</si>
  <si>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</si>
  <si>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</si>
  <si>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</si>
  <si>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</si>
  <si>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</si>
  <si>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</si>
  <si>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</si>
  <si>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</si>
  <si>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</si>
  <si>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</si>
  <si>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</si>
  <si>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</si>
  <si>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</si>
  <si>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</si>
  <si>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</si>
  <si>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</si>
  <si>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</si>
  <si>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</si>
  <si>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</si>
  <si>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</si>
  <si>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</si>
  <si>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</si>
  <si>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</si>
  <si>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</si>
  <si>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</si>
  <si>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</si>
  <si>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</si>
  <si>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</si>
  <si>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</si>
  <si>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</si>
  <si>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</si>
  <si>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</si>
  <si>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</si>
  <si>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</si>
  <si>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</si>
  <si>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</si>
  <si>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</si>
  <si>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</si>
  <si>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</si>
  <si>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</si>
  <si>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</si>
  <si>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</si>
  <si>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</si>
  <si>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</si>
  <si>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</si>
  <si>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</si>
  <si>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</si>
  <si>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</si>
  <si>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</si>
  <si>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</si>
  <si>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</si>
  <si>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</si>
  <si>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</si>
  <si>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</si>
  <si>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</si>
  <si>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</si>
  <si>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</si>
  <si>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</si>
  <si>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</si>
  <si>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</si>
  <si>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</si>
  <si>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</si>
  <si>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</si>
  <si>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</si>
  <si>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</si>
  <si>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</si>
  <si>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</si>
  <si>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</si>
  <si>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</si>
  <si>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</si>
  <si>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</si>
  <si>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</si>
  <si>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</si>
  <si>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</si>
  <si>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</si>
  <si>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</si>
  <si>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</si>
  <si>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</si>
  <si>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</si>
  <si>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</si>
  <si>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</si>
  <si>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</si>
  <si>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</si>
  <si>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</si>
  <si>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</si>
  <si>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</si>
  <si>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</si>
  <si>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</si>
  <si>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</si>
  <si>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</si>
  <si>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</si>
  <si>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</si>
  <si>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</si>
  <si>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</si>
  <si>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</si>
  <si>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</si>
  <si>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</si>
  <si>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</si>
  <si>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</si>
  <si>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</si>
  <si>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</si>
  <si>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</si>
  <si>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</si>
  <si>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</si>
  <si>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</si>
  <si>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</si>
  <si>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</si>
  <si>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</si>
  <si>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</si>
  <si>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</si>
  <si>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</si>
  <si>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</si>
  <si>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</si>
  <si>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</si>
  <si>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</si>
  <si>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</si>
  <si>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</si>
  <si>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</si>
  <si>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</si>
  <si>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</si>
  <si>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</si>
  <si>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</si>
  <si>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</si>
  <si>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</si>
  <si>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</si>
  <si>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</si>
  <si>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</si>
  <si>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</si>
  <si>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</si>
  <si>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</si>
  <si>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</si>
  <si>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</si>
  <si>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</si>
  <si>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</si>
  <si>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</si>
  <si>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</si>
  <si>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</si>
  <si>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</si>
  <si>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</si>
  <si>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</si>
  <si>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</si>
  <si>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</si>
  <si>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</si>
  <si>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</si>
  <si>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</si>
  <si>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</si>
  <si>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</si>
  <si>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</si>
  <si>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</si>
  <si>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</si>
  <si>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</si>
  <si>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</si>
  <si>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</si>
  <si>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</si>
  <si>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</si>
  <si>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</si>
  <si>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</si>
  <si>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</si>
  <si>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</si>
  <si>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</si>
  <si>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</si>
  <si>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</si>
  <si>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</si>
  <si>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</si>
  <si>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</si>
  <si>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</si>
  <si>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</si>
  <si>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</si>
  <si>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</si>
  <si>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</si>
  <si>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</si>
  <si>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</si>
  <si>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</si>
  <si>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</si>
  <si>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</si>
  <si>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</si>
  <si>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</si>
  <si>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</si>
  <si>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</si>
  <si>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</si>
  <si>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</si>
  <si>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</si>
  <si>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</si>
  <si>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</si>
  <si>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</si>
  <si>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</si>
  <si>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</si>
  <si>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</si>
  <si>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</si>
  <si>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</si>
  <si>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</si>
  <si>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</si>
  <si>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</si>
  <si>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</si>
  <si>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</si>
  <si>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</si>
  <si>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</si>
  <si>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</si>
  <si>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</si>
  <si>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</si>
  <si>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</si>
  <si>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</si>
  <si>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</si>
  <si>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</si>
  <si>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</si>
  <si>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</si>
  <si>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</si>
  <si>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</si>
  <si>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</si>
  <si>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</si>
  <si>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</si>
  <si>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</si>
  <si>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</si>
  <si>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</si>
  <si>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</si>
  <si>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</si>
  <si>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</si>
  <si>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</si>
  <si>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</si>
  <si>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</si>
  <si>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</si>
  <si>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</si>
  <si>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</si>
  <si>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</si>
  <si>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</si>
  <si>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</si>
  <si>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</si>
  <si>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</si>
  <si>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</si>
  <si>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</si>
  <si>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</si>
  <si>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</si>
  <si>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</si>
  <si>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</si>
  <si>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</si>
  <si>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</si>
  <si>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</si>
  <si>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</si>
  <si>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</si>
  <si>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</si>
  <si>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</si>
  <si>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</si>
  <si>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</si>
  <si>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</si>
  <si>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</si>
  <si>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</si>
  <si>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</si>
  <si>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</si>
  <si>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</si>
  <si>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</si>
  <si>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</si>
  <si>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</si>
  <si>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</si>
  <si>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</si>
  <si>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</si>
  <si>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</si>
  <si>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</si>
  <si>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</si>
  <si>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</si>
  <si>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</si>
  <si>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</si>
  <si>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</si>
  <si>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</si>
  <si>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</si>
  <si>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</si>
  <si>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</si>
  <si>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</si>
  <si>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</si>
  <si>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</si>
  <si>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</si>
  <si>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</si>
  <si>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</si>
  <si>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</si>
  <si>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</si>
  <si>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</si>
  <si>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</si>
  <si>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</si>
  <si>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</si>
  <si>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</si>
  <si>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</si>
  <si>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</si>
  <si>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</si>
  <si>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</si>
  <si>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</si>
  <si>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</si>
  <si>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</si>
  <si>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</si>
  <si>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</si>
  <si>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</si>
  <si>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</si>
  <si>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</si>
  <si>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</si>
  <si>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</si>
  <si>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</si>
  <si>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</si>
  <si>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</si>
  <si>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</si>
  <si>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</si>
  <si>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</si>
  <si>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</si>
  <si>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</si>
  <si>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</si>
  <si>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</si>
  <si>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</si>
  <si>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</si>
  <si>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</si>
  <si>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</si>
  <si>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</si>
  <si>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</si>
  <si>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</si>
  <si>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</si>
  <si>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</si>
  <si>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</si>
  <si>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</si>
  <si>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</si>
  <si>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</si>
  <si>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</si>
  <si>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</si>
  <si>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</si>
  <si>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</si>
  <si>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</si>
  <si>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</si>
  <si>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</si>
  <si>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</si>
  <si>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</si>
  <si>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</si>
  <si>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</si>
  <si>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</si>
  <si>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</si>
  <si>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</si>
  <si>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</si>
  <si>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</si>
  <si>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</si>
  <si>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</si>
  <si>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</si>
  <si>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</si>
  <si>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</si>
  <si>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</si>
  <si>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</si>
  <si>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</si>
  <si>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</si>
  <si>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</si>
  <si>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</si>
  <si>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</si>
  <si>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</si>
  <si>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</si>
  <si>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</si>
  <si>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</si>
  <si>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</si>
  <si>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</si>
  <si>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</si>
  <si>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</si>
  <si>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</si>
  <si>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</si>
  <si>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</si>
  <si>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</si>
  <si>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</si>
  <si>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</si>
  <si>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</si>
  <si>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</si>
  <si>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</si>
  <si>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</si>
  <si>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</si>
  <si>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</si>
  <si>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</si>
  <si>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</si>
  <si>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</si>
  <si>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</si>
  <si>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</si>
  <si>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</si>
  <si>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</si>
  <si>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</si>
  <si>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</si>
  <si>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</si>
  <si>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</si>
  <si>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</si>
  <si>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</si>
  <si>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</si>
  <si>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</si>
  <si>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</si>
  <si>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</si>
  <si>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</si>
  <si>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</si>
  <si>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</si>
  <si>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</si>
  <si>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</si>
  <si>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</si>
  <si>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</si>
  <si>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</si>
  <si>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</si>
  <si>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</si>
  <si>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</si>
  <si>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</si>
  <si>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</si>
  <si>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</si>
  <si>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</si>
  <si>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</si>
  <si>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</si>
  <si>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</si>
  <si>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</si>
  <si>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</si>
  <si>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</si>
  <si>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</si>
  <si>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</si>
  <si>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</si>
  <si>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</si>
  <si>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</si>
  <si>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</si>
  <si>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</si>
  <si>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</si>
  <si>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</si>
  <si>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</si>
  <si>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</si>
  <si>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</si>
  <si>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</si>
  <si>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</si>
  <si>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</si>
  <si>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</si>
  <si>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</si>
  <si>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</si>
  <si>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</si>
  <si>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</si>
  <si>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</si>
  <si>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</si>
  <si>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</si>
  <si>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</si>
  <si>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</si>
  <si>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</si>
  <si>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</si>
  <si>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</si>
  <si>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</si>
  <si>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</si>
  <si>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</si>
  <si>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</si>
  <si>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</si>
  <si>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</si>
  <si>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</si>
  <si>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</si>
  <si>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</si>
  <si>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</si>
  <si>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</si>
  <si>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</si>
  <si>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</si>
  <si>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</si>
  <si>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</si>
  <si>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</si>
  <si>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</si>
  <si>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</si>
  <si>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</si>
  <si>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</si>
  <si>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</si>
  <si>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</si>
  <si>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</si>
  <si>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</si>
  <si>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</si>
  <si>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</si>
  <si>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</si>
  <si>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</si>
  <si>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</si>
  <si>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</si>
  <si>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</si>
  <si>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</si>
  <si>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</si>
  <si>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</si>
  <si>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</si>
  <si>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</si>
  <si>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</si>
  <si>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</si>
  <si>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</si>
  <si>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</si>
  <si>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</si>
  <si>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</si>
  <si>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</si>
  <si>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</si>
  <si>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</si>
  <si>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</si>
  <si>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</si>
  <si>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</si>
  <si>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</si>
  <si>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</si>
  <si>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</si>
  <si>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</si>
  <si>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</si>
  <si>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</si>
  <si>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</si>
  <si>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</si>
  <si>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</si>
  <si>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</si>
  <si>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</si>
  <si>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</si>
  <si>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</si>
  <si>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</si>
  <si>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</si>
  <si>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</si>
  <si>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</si>
  <si>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</si>
  <si>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</si>
  <si>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</si>
  <si>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</si>
  <si>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</si>
  <si>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</si>
  <si>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</si>
  <si>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</si>
  <si>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</si>
  <si>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</si>
  <si>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</si>
  <si>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</si>
  <si>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</si>
  <si>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</si>
  <si>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</si>
  <si>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</si>
  <si>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</si>
  <si>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</si>
  <si>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</si>
  <si>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</si>
  <si>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</si>
  <si>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</si>
  <si>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</si>
  <si>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</si>
  <si>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</si>
  <si>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</si>
  <si>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</si>
  <si>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</si>
  <si>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</si>
  <si>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</si>
  <si>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</si>
  <si>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</si>
  <si>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</si>
  <si>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</si>
  <si>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</si>
  <si>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</si>
  <si>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</si>
  <si>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</si>
  <si>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</si>
  <si>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</si>
  <si>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</si>
  <si>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</si>
  <si>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</si>
  <si>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</si>
  <si>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</si>
  <si>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</si>
  <si>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</si>
  <si>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</si>
  <si>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</si>
  <si>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</si>
  <si>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</si>
  <si>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</si>
  <si>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</si>
  <si>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</si>
  <si>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</si>
  <si>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</si>
  <si>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</si>
  <si>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</si>
  <si>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</si>
  <si>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</si>
  <si>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</si>
  <si>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</si>
  <si>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</si>
  <si>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</si>
  <si>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</si>
  <si>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</si>
  <si>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</si>
  <si>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</si>
  <si>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</si>
  <si>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</si>
  <si>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</si>
  <si>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</si>
  <si>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</si>
  <si>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</si>
  <si>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</si>
  <si>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</si>
  <si>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</si>
  <si>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</si>
  <si>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</si>
  <si>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</si>
  <si>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</si>
  <si>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</si>
  <si>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</si>
  <si>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</si>
  <si>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</si>
  <si>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</si>
  <si>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</si>
  <si>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</si>
  <si>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</si>
  <si>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</si>
  <si>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</si>
  <si>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</si>
  <si>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</si>
  <si>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</si>
  <si>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</si>
  <si>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</si>
  <si>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</si>
  <si>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</si>
  <si>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</si>
  <si>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</si>
  <si>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</si>
  <si>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</si>
  <si>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</si>
  <si>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</si>
  <si>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</si>
  <si>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</si>
  <si>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</si>
  <si>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</si>
  <si>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</si>
  <si>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</si>
  <si>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</si>
  <si>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</si>
  <si>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</si>
  <si>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</si>
  <si>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</si>
  <si>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</si>
  <si>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</si>
  <si>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</si>
  <si>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</si>
  <si>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</si>
  <si>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</si>
  <si>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</si>
  <si>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</si>
  <si>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</si>
  <si>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</si>
  <si>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</si>
  <si>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</si>
  <si>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</si>
  <si>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</si>
  <si>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</si>
  <si>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</si>
  <si>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</si>
  <si>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</si>
  <si>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</si>
  <si>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</si>
  <si>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</si>
  <si>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</si>
  <si>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</si>
  <si>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</si>
  <si>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</si>
  <si>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</si>
  <si>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</si>
  <si>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</si>
  <si>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</si>
  <si>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</si>
  <si>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</si>
  <si>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</si>
  <si>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</si>
  <si>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</si>
  <si>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</si>
  <si>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</si>
  <si>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</si>
  <si>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</si>
  <si>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</si>
  <si>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</si>
  <si>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</si>
  <si>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</si>
  <si>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</si>
  <si>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</si>
  <si>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</si>
  <si>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</si>
  <si>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</si>
  <si>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</si>
  <si>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</si>
  <si>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</si>
  <si>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</si>
  <si>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</si>
  <si>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</si>
  <si>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</si>
  <si>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</si>
  <si>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</si>
  <si>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</si>
  <si>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</si>
  <si>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</si>
  <si>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</si>
  <si>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</si>
  <si>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</si>
  <si>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</si>
  <si>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</si>
  <si>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</si>
  <si>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</si>
  <si>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</si>
  <si>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</si>
  <si>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</si>
  <si>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</si>
  <si>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</si>
  <si>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</si>
  <si>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</si>
  <si>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</si>
  <si>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</si>
  <si>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</si>
  <si>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</si>
  <si>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</si>
  <si>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</si>
  <si>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</si>
  <si>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</si>
  <si>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</si>
  <si>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</si>
  <si>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</si>
  <si>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</si>
  <si>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</si>
  <si>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</si>
  <si>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</si>
  <si>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</si>
  <si>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</si>
  <si>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</si>
  <si>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</si>
  <si>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</si>
  <si>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</si>
  <si>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</si>
  <si>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</si>
  <si>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</si>
  <si>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</si>
  <si>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</si>
  <si>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</si>
  <si>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</si>
  <si>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</si>
  <si>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</si>
  <si>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</si>
  <si>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</si>
  <si>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</si>
  <si>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</si>
  <si>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</si>
  <si>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</si>
  <si>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</si>
  <si>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</si>
  <si>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</si>
  <si>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</si>
  <si>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</si>
  <si>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</si>
  <si>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</si>
  <si>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</si>
  <si>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</si>
  <si>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</si>
  <si>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</si>
  <si>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</si>
  <si>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</si>
  <si>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</si>
  <si>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</si>
  <si>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</si>
  <si>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</si>
  <si>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</si>
  <si>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</si>
  <si>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</si>
  <si>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</si>
  <si>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</si>
  <si>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</si>
  <si>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</si>
  <si>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</si>
  <si>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</si>
  <si>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</si>
  <si>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</si>
  <si>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</si>
  <si>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</si>
  <si>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</si>
  <si>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</si>
  <si>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</si>
  <si>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</si>
  <si>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</si>
  <si>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</si>
  <si>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</si>
  <si>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</si>
  <si>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</si>
  <si>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</si>
  <si>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</si>
  <si>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</si>
  <si>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</si>
  <si>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</si>
  <si>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</si>
  <si>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</si>
  <si>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</si>
  <si>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</si>
  <si>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</si>
  <si>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</si>
  <si>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</si>
  <si>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</si>
  <si>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</si>
  <si>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</si>
  <si>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</si>
  <si>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</si>
  <si>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</si>
  <si>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</si>
  <si>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</si>
  <si>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</si>
  <si>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</si>
  <si>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</si>
  <si>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</si>
  <si>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</si>
  <si>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</si>
  <si>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</si>
  <si>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</si>
  <si>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</si>
  <si>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</si>
  <si>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</si>
  <si>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</si>
  <si>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</si>
  <si>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</si>
  <si>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</si>
  <si>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</si>
  <si>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</si>
  <si>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</si>
  <si>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</si>
  <si>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</si>
  <si>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</si>
  <si>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</si>
  <si>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</si>
  <si>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</si>
  <si>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</si>
  <si>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</si>
  <si>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</si>
  <si>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</si>
  <si>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</si>
  <si>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</si>
  <si>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</si>
  <si>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</si>
  <si>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</si>
  <si>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</si>
  <si>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</si>
  <si>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</si>
  <si>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</si>
  <si>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</si>
  <si>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</si>
  <si>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</si>
  <si>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</si>
  <si>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</si>
  <si>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</si>
  <si>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</si>
  <si>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</si>
  <si>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</si>
  <si>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</si>
  <si>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</si>
  <si>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</si>
  <si>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</si>
  <si>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</si>
  <si>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</si>
  <si>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</si>
  <si>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</si>
  <si>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</si>
  <si>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</si>
  <si>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</si>
  <si>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</si>
  <si>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</si>
  <si>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</si>
  <si>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</si>
  <si>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</si>
  <si>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</si>
  <si>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</si>
  <si>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</si>
  <si>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</si>
  <si>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</si>
  <si>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</si>
  <si>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</si>
  <si>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</si>
  <si>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</si>
  <si>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</si>
  <si>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</si>
  <si>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</si>
  <si>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</si>
  <si>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</si>
  <si>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</si>
  <si>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</si>
  <si>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</si>
  <si>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</si>
  <si>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</si>
  <si>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</si>
  <si>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</si>
  <si>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</si>
  <si>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</si>
  <si>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</si>
  <si>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</si>
  <si>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</si>
  <si>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</si>
  <si>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</si>
  <si>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</si>
  <si>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</si>
  <si>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</si>
  <si>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</si>
  <si>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</si>
  <si>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</si>
  <si>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</si>
  <si>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</si>
  <si>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</si>
  <si>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</si>
  <si>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</si>
  <si>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</si>
  <si>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</si>
  <si>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</si>
  <si>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</si>
  <si>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</si>
  <si>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</si>
  <si>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</si>
  <si>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</si>
  <si>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</si>
  <si>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</si>
  <si>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</si>
  <si>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</si>
  <si>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</si>
  <si>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</si>
  <si>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</si>
  <si>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</si>
  <si>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</si>
  <si>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</si>
  <si>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</si>
  <si>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</si>
  <si>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</si>
  <si>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</si>
  <si>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</si>
  <si>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</si>
  <si>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</si>
  <si>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</si>
  <si>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</si>
  <si>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</si>
  <si>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</si>
  <si>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</si>
  <si>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</si>
  <si>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</si>
  <si>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</si>
  <si>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</si>
  <si>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</si>
  <si>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</si>
  <si>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</si>
  <si>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</si>
  <si>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</si>
  <si>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</si>
  <si>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</si>
  <si>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</si>
  <si>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</si>
  <si>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</si>
  <si>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</si>
  <si>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</si>
  <si>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</si>
  <si>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</si>
  <si>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</si>
  <si>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</si>
  <si>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</si>
  <si>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</si>
  <si>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</si>
  <si>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</si>
  <si>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</si>
  <si>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</si>
  <si>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</si>
  <si>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</si>
  <si>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</si>
  <si>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</si>
  <si>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</si>
  <si>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</si>
  <si>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</si>
  <si>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</si>
  <si>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</si>
  <si>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</si>
  <si>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</si>
  <si>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</si>
  <si>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</si>
  <si>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</si>
  <si>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</si>
  <si>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</si>
  <si>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</si>
  <si>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</si>
  <si>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</si>
  <si>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</si>
  <si>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</si>
  <si>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</si>
  <si>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</si>
  <si>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</si>
  <si>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</si>
  <si>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</si>
  <si>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</si>
  <si>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</si>
  <si>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</si>
  <si>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</si>
  <si>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</si>
  <si>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</si>
  <si>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</si>
  <si>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</si>
  <si>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</si>
  <si>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</si>
  <si>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</si>
  <si>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</si>
  <si>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</si>
  <si>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</si>
  <si>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</si>
  <si>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</si>
  <si>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</si>
  <si>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</si>
  <si>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</si>
  <si>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</si>
  <si>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</si>
  <si>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</si>
  <si>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</si>
  <si>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</si>
  <si>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</si>
  <si>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</si>
  <si>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</si>
  <si>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</si>
  <si>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</si>
  <si>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</si>
  <si>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</si>
  <si>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</si>
  <si>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</si>
  <si>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</si>
  <si>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</si>
  <si>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</si>
  <si>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</si>
  <si>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</si>
  <si>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</si>
  <si>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</si>
  <si>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</si>
  <si>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</si>
  <si>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</si>
  <si>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</si>
  <si>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</si>
  <si>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</si>
  <si>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</si>
  <si>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</si>
  <si>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</si>
  <si>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</si>
  <si>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</si>
  <si>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</si>
  <si>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</si>
  <si>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</si>
  <si>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</si>
  <si>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</si>
  <si>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</si>
  <si>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</si>
  <si>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</si>
  <si>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</si>
  <si>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</si>
  <si>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</si>
  <si>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</si>
  <si>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</si>
  <si>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</si>
  <si>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</si>
  <si>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</si>
  <si>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</si>
  <si>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</si>
  <si>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</si>
  <si>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</si>
  <si>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</si>
  <si>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</si>
  <si>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</si>
  <si>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</si>
  <si>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</si>
  <si>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</si>
  <si>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</si>
  <si>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</si>
  <si>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</si>
  <si>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</si>
  <si>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</si>
  <si>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</si>
  <si>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</si>
  <si>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</si>
  <si>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</si>
  <si>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</si>
  <si>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</si>
  <si>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</si>
  <si>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</si>
  <si>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</si>
  <si>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</si>
  <si>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</si>
  <si>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</si>
  <si>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</si>
  <si>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</si>
  <si>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</si>
  <si>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</si>
  <si>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</si>
  <si>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</si>
  <si>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</si>
  <si>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</si>
  <si>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</si>
  <si>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</si>
  <si>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</si>
  <si>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</si>
  <si>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</si>
  <si>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</si>
  <si>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</si>
  <si>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</si>
  <si>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</si>
  <si>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</si>
  <si>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</si>
  <si>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</si>
  <si>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</si>
  <si>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</si>
  <si>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</si>
  <si>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</si>
  <si>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</si>
  <si>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</si>
  <si>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</si>
  <si>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</si>
  <si>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</si>
  <si>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</si>
  <si>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</si>
  <si>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</si>
  <si>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</si>
  <si>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</si>
  <si>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</si>
  <si>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</si>
  <si>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</si>
  <si>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</si>
  <si>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</si>
  <si>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</si>
  <si>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</si>
  <si>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</si>
  <si>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</si>
  <si>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</si>
  <si>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</si>
  <si>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</si>
  <si>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</si>
  <si>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</si>
  <si>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</si>
  <si>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</si>
  <si>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</si>
  <si>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</si>
  <si>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</si>
  <si>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</si>
  <si>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</si>
  <si>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</si>
  <si>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</si>
  <si>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</si>
  <si>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</si>
  <si>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</si>
  <si>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</si>
  <si>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</si>
  <si>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</si>
  <si>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</si>
  <si>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</si>
  <si>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</si>
  <si>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</si>
  <si>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</si>
  <si>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</si>
  <si>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</si>
  <si>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</si>
  <si>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</si>
  <si>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</si>
  <si>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</si>
  <si>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</si>
  <si>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</si>
  <si>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</si>
  <si>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</si>
  <si>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</si>
  <si>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</si>
  <si>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</si>
  <si>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</si>
  <si>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</si>
  <si>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</si>
  <si>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</si>
  <si>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</si>
  <si>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</si>
  <si>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</si>
  <si>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</si>
  <si>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</si>
  <si>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</si>
  <si>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</si>
  <si>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</si>
  <si>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</si>
  <si>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</si>
  <si>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</si>
  <si>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</si>
  <si>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</si>
  <si>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</si>
  <si>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</si>
  <si>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</si>
  <si>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</si>
  <si>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</si>
  <si>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</si>
  <si>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</si>
  <si>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</si>
  <si>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</si>
  <si>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</si>
  <si>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</si>
  <si>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</si>
  <si>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</si>
  <si>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</si>
  <si>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</si>
  <si>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</si>
  <si>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</si>
  <si>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</si>
  <si>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</si>
  <si>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</si>
  <si>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</si>
  <si>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</si>
  <si>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</si>
  <si>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</si>
  <si>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</si>
  <si>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</si>
  <si>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</si>
  <si>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</si>
  <si>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</si>
  <si>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</si>
  <si>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</si>
  <si>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</si>
  <si>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</si>
  <si>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</si>
  <si>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</si>
  <si>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</si>
  <si>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</si>
  <si>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</si>
  <si>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</si>
  <si>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</si>
  <si>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</si>
  <si>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</si>
  <si>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</si>
  <si>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</si>
  <si>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</si>
  <si>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</si>
  <si>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</si>
  <si>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</si>
  <si>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</si>
  <si>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</si>
  <si>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</si>
  <si>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</si>
  <si>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</si>
  <si>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</si>
  <si>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</si>
  <si>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</si>
  <si>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</si>
  <si>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</si>
  <si>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</si>
  <si>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</si>
  <si>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</si>
  <si>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</si>
  <si>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</si>
  <si>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</si>
  <si>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</si>
  <si>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</si>
  <si>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</si>
  <si>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</si>
  <si>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</si>
  <si>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</si>
  <si>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</si>
  <si>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</si>
  <si>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</si>
  <si>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</si>
  <si>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</si>
  <si>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</si>
  <si>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</si>
  <si>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</si>
  <si>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</si>
  <si>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</si>
  <si>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</si>
  <si>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</si>
  <si>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</si>
  <si>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</si>
  <si>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</si>
  <si>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</si>
  <si>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</si>
  <si>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</si>
  <si>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</si>
  <si>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</si>
  <si>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</si>
  <si>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</si>
  <si>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</si>
  <si>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</si>
  <si>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</si>
  <si>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</si>
  <si>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</si>
  <si>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</si>
  <si>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</si>
  <si>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</si>
  <si>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</si>
  <si>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</si>
  <si>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</si>
  <si>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</si>
  <si>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</si>
  <si>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</si>
  <si>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</si>
  <si>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</si>
  <si>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</si>
  <si>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</si>
  <si>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</si>
  <si>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</si>
  <si>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</si>
  <si>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</si>
  <si>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</si>
  <si>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</si>
  <si>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</si>
  <si>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</si>
  <si>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</si>
  <si>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</si>
  <si>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</si>
  <si>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</si>
  <si>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</si>
  <si>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</si>
  <si>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</si>
  <si>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</si>
  <si>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</si>
  <si>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</si>
  <si>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</si>
  <si>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</si>
  <si>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</si>
  <si>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</si>
  <si>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</si>
  <si>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</si>
  <si>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</si>
  <si>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</si>
  <si>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</si>
  <si>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</si>
  <si>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</si>
  <si>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</si>
  <si>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</si>
  <si>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</si>
  <si>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</si>
  <si>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</si>
  <si>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</si>
  <si>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</si>
  <si>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</si>
  <si>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</si>
  <si>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</si>
  <si>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</si>
  <si>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</si>
  <si>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</si>
  <si>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</si>
  <si>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</si>
  <si>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</si>
  <si>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</si>
  <si>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</si>
  <si>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</si>
  <si>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</si>
  <si>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</si>
  <si>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</si>
  <si>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</si>
  <si>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</si>
  <si>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</si>
  <si>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</si>
  <si>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</si>
  <si>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</si>
  <si>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</si>
  <si>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</si>
  <si>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</si>
  <si>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</si>
  <si>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</si>
  <si>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</si>
  <si>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</si>
  <si>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</si>
  <si>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</si>
  <si>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</si>
  <si>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</si>
  <si>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</si>
  <si>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</si>
  <si>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</si>
  <si>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</si>
  <si>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</si>
  <si>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</si>
  <si>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</si>
  <si>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</si>
  <si>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</si>
  <si>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</si>
  <si>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</si>
  <si>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</si>
  <si>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</si>
  <si>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</si>
  <si>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</si>
  <si>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</si>
  <si>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</si>
  <si>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</si>
  <si>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</si>
  <si>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</si>
  <si>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</si>
  <si>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</si>
  <si>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</si>
  <si>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</si>
  <si>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</si>
  <si>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</si>
  <si>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</si>
  <si>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</si>
  <si>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</si>
  <si>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</si>
  <si>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</si>
  <si>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</si>
  <si>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</si>
  <si>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</si>
  <si>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</si>
  <si>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</si>
  <si>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</si>
  <si>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</si>
  <si>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</si>
  <si>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</si>
  <si>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</si>
  <si>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MASON</t>
  </si>
  <si>
    <t>501 SOUTH MCKINLEY</t>
  </si>
  <si>
    <t>HAVANA</t>
  </si>
  <si>
    <t>mplater@havana126.net</t>
  </si>
  <si>
    <t>R. MATTHEW PLATER</t>
  </si>
  <si>
    <t>309-543-3384</t>
  </si>
  <si>
    <t>309-543-3385</t>
  </si>
  <si>
    <t>J.M. ABBOTT &amp; ASSOCIATES, LTD.</t>
  </si>
  <si>
    <t>DEBRA CURRY</t>
  </si>
  <si>
    <t>207 S. MCLEAN ST</t>
  </si>
  <si>
    <t>LINCOLN</t>
  </si>
  <si>
    <t>IL</t>
  </si>
  <si>
    <t>217-735-1576</t>
  </si>
  <si>
    <t>217-735-5866</t>
  </si>
  <si>
    <t>066-005243</t>
  </si>
  <si>
    <t>deb@jmabbott.com</t>
  </si>
  <si>
    <t>JEFF EKENA</t>
  </si>
  <si>
    <t>jekena@roe53.net</t>
  </si>
  <si>
    <t>309-477-2290</t>
  </si>
  <si>
    <t>309-347-3735</t>
  </si>
  <si>
    <t xml:space="preserve">4% of ILHFS admin assessment withheld from </t>
  </si>
  <si>
    <t xml:space="preserve">  Medical assistance program grants</t>
  </si>
  <si>
    <t>QZAB interest paid by IRS</t>
  </si>
  <si>
    <t>x</t>
  </si>
  <si>
    <t>2011 QZAB</t>
  </si>
  <si>
    <t>2013 GO Life Safety Bond</t>
  </si>
  <si>
    <t>2016 GO Working Cash Bond</t>
  </si>
  <si>
    <t>2017 Chromebook Lease</t>
  </si>
  <si>
    <t>2019 GO Life Safety Bond</t>
  </si>
  <si>
    <t>2005 QZAB</t>
  </si>
  <si>
    <t>2015 GO Alternate Revenue Bond</t>
  </si>
  <si>
    <t>Ed-Data Processing Services-Purchased Services</t>
  </si>
  <si>
    <t>QNS</t>
  </si>
  <si>
    <t>Ed-Instruction-Property Services</t>
  </si>
  <si>
    <t>Century Link</t>
  </si>
  <si>
    <t>Western Area Health Benefit Plan</t>
  </si>
  <si>
    <t>Outsourced to Aramark</t>
  </si>
  <si>
    <t>Outsourced to Prairie State Insurance Group</t>
  </si>
  <si>
    <t>ISDLAF</t>
  </si>
  <si>
    <t>Outsourced to Pearson</t>
  </si>
  <si>
    <t>Tazewell Mason County Special Ed Association</t>
  </si>
  <si>
    <t>Western Area Purchasing Co-op</t>
  </si>
  <si>
    <t>Outsourced to Quality Network Solutions</t>
  </si>
  <si>
    <t>US DEPARTMENT OF AGRICULTURE</t>
  </si>
  <si>
    <t>PASSED THROUGH IL STATE BOARD OF ED</t>
  </si>
  <si>
    <t>Child Nutrition Cluster</t>
  </si>
  <si>
    <t>National School Breakfast Program</t>
  </si>
  <si>
    <t>Commodities - Noncash Assistance</t>
  </si>
  <si>
    <t>Commodities - Noncash Assistance - Fresh Fruits &amp; Vegetables</t>
  </si>
  <si>
    <t>2019-4210</t>
  </si>
  <si>
    <t>2020-4210</t>
  </si>
  <si>
    <t>2019-4220</t>
  </si>
  <si>
    <t>2020-4220</t>
  </si>
  <si>
    <t>N/A</t>
  </si>
  <si>
    <t>Total Child Nutrition Cluster</t>
  </si>
  <si>
    <t>Child and Adult Care Food Program</t>
  </si>
  <si>
    <t>2020-4226</t>
  </si>
  <si>
    <t>TOTAL US DEPARTMENT OF AGRICULTURE</t>
  </si>
  <si>
    <t>US DEPARTMENT OF EDUCATION</t>
  </si>
  <si>
    <t>Title I, Low Income</t>
  </si>
  <si>
    <t>Title II, Teacher Quality</t>
  </si>
  <si>
    <t>Title V, Rural Education Initiative</t>
  </si>
  <si>
    <t>2019-4300</t>
  </si>
  <si>
    <t>2020-4300</t>
  </si>
  <si>
    <t>2019-4932</t>
  </si>
  <si>
    <t>2020-4932</t>
  </si>
  <si>
    <t>2019-4107</t>
  </si>
  <si>
    <t>2020-4107</t>
  </si>
  <si>
    <t>PASSED THROUGH TAZEWELL MASON COUNTY SPECIAL ED ASSOCIATION</t>
  </si>
  <si>
    <t>Rehabilitation Services - Vocational Rehab Grants to States (STEP)</t>
  </si>
  <si>
    <t>2020-4951</t>
  </si>
  <si>
    <t>Special Education Cluster (IDEA)(M)</t>
  </si>
  <si>
    <t>IDEA Part B Flow Through (M)</t>
  </si>
  <si>
    <t>2019-4620</t>
  </si>
  <si>
    <t>2020-4620</t>
  </si>
  <si>
    <t>Total Special Education Cluster</t>
  </si>
  <si>
    <t>PASSED THROUGH WESTERN AREA CAREER SYSTEM</t>
  </si>
  <si>
    <t>Career &amp; Technical Ed - Basic Grants to States - Perkins</t>
  </si>
  <si>
    <t>2020-4745</t>
  </si>
  <si>
    <t>TOTAL US DEPARTMENT OF EDUCATION</t>
  </si>
  <si>
    <t>US DEPARTMENT OF LABOR</t>
  </si>
  <si>
    <t>PASSED THROUGH CAREER LINK #16</t>
  </si>
  <si>
    <t>WIA Cluster</t>
  </si>
  <si>
    <t>WIA/WIOA Youth Activities</t>
  </si>
  <si>
    <t>2019-4999</t>
  </si>
  <si>
    <t>2020-4999</t>
  </si>
  <si>
    <t>Total WIA Cluster</t>
  </si>
  <si>
    <t>TOTAL US DEPARTMENT OF LABOR</t>
  </si>
  <si>
    <t>US DEPARTMENT OF HEALTH AND HUMAN SERVICES</t>
  </si>
  <si>
    <t>PASSED THROUGH IL DEPT OF HEALTHCARE AND FAMILY SERVICES</t>
  </si>
  <si>
    <t>Medicaid Cluster</t>
  </si>
  <si>
    <t>Medical Assistance Program</t>
  </si>
  <si>
    <t>2019-4991</t>
  </si>
  <si>
    <t>2020-4991</t>
  </si>
  <si>
    <t>Total Medicaid Cluster</t>
  </si>
  <si>
    <t>TOTAL US DEPARTMENT OF HEALTH AND HUMAN SERVICES</t>
  </si>
  <si>
    <t>TOTAL FEDERAL AID</t>
  </si>
  <si>
    <t>Title I, Low Income (M)</t>
  </si>
  <si>
    <t>Title II, Teacher Quality (M)</t>
  </si>
  <si>
    <t>WIA/WIOA Youth Activities (M)</t>
  </si>
  <si>
    <t>The accompanying Schedule of Expenditures of Federal Awards includes the federal grant activity of Havana CUSD #126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</si>
  <si>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</si>
  <si>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Havana CUSD #126 provided federal awards to subrecipients as follows:</t>
  </si>
  <si>
    <t>Adverse (GAAP); Unmodified (Regulatory)</t>
  </si>
  <si>
    <t>Unmodified</t>
  </si>
  <si>
    <t>The District is allowed to only spend as much as they have budgeted  within each fund.</t>
  </si>
  <si>
    <t>The Debt Services fund budget was overspent by .32%.</t>
  </si>
  <si>
    <t>The District spent $449 more than was allowable.</t>
  </si>
  <si>
    <t>An insufficient amount was budgeted for bond fees on a bond issued in FY 2019.</t>
  </si>
  <si>
    <t>We recommend double checking new bond issues in the future to determine if bond fees will be required, and budgeting for them.</t>
  </si>
  <si>
    <t>2019-001</t>
  </si>
  <si>
    <t>The District did not move $48,878 of replacement taxes into the IMRF fund as was required.</t>
  </si>
  <si>
    <t>All required replacement funds were deposited into the IMRF fund during FY 20.</t>
  </si>
  <si>
    <t>2019-002</t>
  </si>
  <si>
    <t>The District overspent their budget in the Debt Services fund by $45,896 and in the Fire Prevention and Safety fund by $31,386.</t>
  </si>
  <si>
    <t>The District overspent in the Debt Services fund in FY 20 by $449.</t>
  </si>
  <si>
    <t xml:space="preserve">Chromebook Lease </t>
  </si>
  <si>
    <t>The Distrcit has many different sets of bonds currently.  The majority of their issues have the fees included and in this bond they didn't catch it.  They will pay closer attention in the future.</t>
  </si>
  <si>
    <t>They spent $449 more in the debt services fund than was budgeted.</t>
  </si>
  <si>
    <t>P. 11, Line 107, #1999 - Education Fund</t>
  </si>
  <si>
    <t>Ameren Rebate</t>
  </si>
  <si>
    <t>Video Board Advertising</t>
  </si>
  <si>
    <t>P. 12, Line 168, #3999 - Education Fund</t>
  </si>
  <si>
    <t>Illinois Library Grant</t>
  </si>
  <si>
    <t>Page 13, Line 220, #4799 - Education Fund</t>
  </si>
  <si>
    <t>Perkins Grant</t>
  </si>
  <si>
    <t>P. 14, Line 265, #4998</t>
  </si>
  <si>
    <t>Ed Fund</t>
  </si>
  <si>
    <t>IMRF/Soc Sec Fund</t>
  </si>
  <si>
    <t>DORS STEP Grant</t>
  </si>
  <si>
    <t>United Workforce Grant</t>
  </si>
  <si>
    <t>P. 18, Line 171, #5400 - Debt Services Fund</t>
  </si>
  <si>
    <t>Bond Agent Fees</t>
  </si>
  <si>
    <t>Audit Checklist, Error #8:  The District recognizes capital leases for computers in the Education Fund</t>
  </si>
  <si>
    <t>under Option #1 for capital leases as described in the Illinois Program Accounting Manual,</t>
  </si>
  <si>
    <t>pages 96-97, where the asset is capitalized as the lease/purchase payments are made.  No principal</t>
  </si>
  <si>
    <t>payments on debt are recognized throughout the life of the lease, but interest expense is recognized.</t>
  </si>
  <si>
    <t>As a result, debt activity on page 24 will not agree to the activity in the Education Fund on page 8.</t>
  </si>
  <si>
    <t>During the year, the District paid $69,939 on such leases.</t>
  </si>
  <si>
    <t>Page 3, Line 37: Alternate revenue bonds with an outstanding balance of $2,890,000 do not count against the</t>
  </si>
  <si>
    <t>legal debt margin.</t>
  </si>
  <si>
    <t>The District overspent their budget in the Debt Services fund by $449.  While this amount is trivial to the Debt Services Fund, any overexpenditure is required to be reported by the Illinois State Board of Educaiton.</t>
  </si>
  <si>
    <t xml:space="preserve">  Havana CUSD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</si>
</sst>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3" fontId="64" fillId="0" borderId="22" xfId="3" applyNumberFormat="1" applyFont="1" applyBorder="1" applyAlignment="1" applyProtection="1">
      <alignment horizontal="left" vertical="center" wrapText="1" indent="2"/>
      <protection locked="0"/>
    </xf>
    <xf numFmtId="179" fontId="57" fillId="0" borderId="0" xfId="3" applyNumberFormat="1" applyFont="1" applyBorder="1" applyAlignment="1" applyProtection="1">
      <alignment wrapText="1"/>
      <protection locked="0"/>
    </xf>
    <xf numFmtId="0" fontId="57" fillId="0" borderId="0" xfId="3" applyFont="1" applyBorder="1" applyAlignment="1" applyProtection="1">
      <alignment wrapText="1"/>
      <protection locked="0"/>
    </xf>
    <xf numFmtId="0" fontId="57" fillId="0" borderId="0" xfId="3" applyFont="1" applyAlignment="1" applyProtection="1">
      <alignment wrapText="1"/>
    </xf>
    <xf numFmtId="179" fontId="57" fillId="0" borderId="0" xfId="3" applyNumberFormat="1" applyFont="1" applyBorder="1" applyAlignment="1" applyProtection="1">
      <alignment horizontal="left" wrapText="1"/>
      <protection locked="0"/>
    </xf>
    <xf numFmtId="0" fontId="57" fillId="0" borderId="0" xfId="3" applyFont="1" applyAlignment="1" applyProtection="1">
      <alignment wrapText="1"/>
      <protection locked="0"/>
    </xf>
    <xf numFmtId="185" fontId="57" fillId="0" borderId="0" xfId="1" applyNumberFormat="1" applyFont="1"/>
    <xf numFmtId="185" fontId="57" fillId="0" borderId="0" xfId="1" applyNumberFormat="1" applyFont="1" applyBorder="1"/>
    <xf numFmtId="185" fontId="57" fillId="0" borderId="197" xfId="1" applyNumberFormat="1" applyFont="1" applyBorder="1"/>
    <xf numFmtId="185" fontId="57" fillId="0" borderId="196" xfId="1"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9" fontId="57" fillId="0" borderId="69" xfId="3" applyNumberFormat="1" applyFont="1" applyBorder="1" applyAlignment="1" applyProtection="1">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2247900</xdr:colOff>
          <xdr:row>0</xdr:row>
          <xdr:rowOff>142875</xdr:rowOff>
        </xdr:from>
        <xdr:to>
          <xdr:col>1</xdr:col>
          <xdr:colOff>3162300</xdr:colOff>
          <xdr:row>5</xdr:row>
          <xdr:rowOff>19050</xdr:rowOff>
        </xdr:to>
        <xdr:sp macro="" textlink="">
          <xdr:nvSpPr>
            <xdr:cNvPr id="56334" name="Object 14" hidden="1">
              <a:extLst>
                <a:ext uri="{63B3BB69-23CF-44E3-9099-C40C66FF867C}">
                  <a14:compatExt spid="_x0000_s56334"/>
                </a:ext>
                <a:ext uri="{FF2B5EF4-FFF2-40B4-BE49-F238E27FC236}">
                  <a16:creationId xmlns:a16="http://schemas.microsoft.com/office/drawing/2014/main" id="{00000000-0008-0000-1400-00000E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47625</xdr:rowOff>
        </xdr:from>
        <xdr:to>
          <xdr:col>1</xdr:col>
          <xdr:colOff>933450</xdr:colOff>
          <xdr:row>10</xdr:row>
          <xdr:rowOff>85725</xdr:rowOff>
        </xdr:to>
        <xdr:sp macro="" textlink="">
          <xdr:nvSpPr>
            <xdr:cNvPr id="56335" name="Object 15" hidden="1">
              <a:extLst>
                <a:ext uri="{63B3BB69-23CF-44E3-9099-C40C66FF867C}">
                  <a14:compatExt spid="_x0000_s56335"/>
                </a:ext>
                <a:ext uri="{FF2B5EF4-FFF2-40B4-BE49-F238E27FC236}">
                  <a16:creationId xmlns:a16="http://schemas.microsoft.com/office/drawing/2014/main" id="{00000000-0008-0000-1400-00000F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6</xdr:row>
          <xdr:rowOff>66675</xdr:rowOff>
        </xdr:from>
        <xdr:to>
          <xdr:col>1</xdr:col>
          <xdr:colOff>2105025</xdr:colOff>
          <xdr:row>10</xdr:row>
          <xdr:rowOff>104775</xdr:rowOff>
        </xdr:to>
        <xdr:sp macro="" textlink="">
          <xdr:nvSpPr>
            <xdr:cNvPr id="56336" name="Object 16" hidden="1">
              <a:extLst>
                <a:ext uri="{63B3BB69-23CF-44E3-9099-C40C66FF867C}">
                  <a14:compatExt spid="_x0000_s56336"/>
                </a:ext>
                <a:ext uri="{FF2B5EF4-FFF2-40B4-BE49-F238E27FC236}">
                  <a16:creationId xmlns:a16="http://schemas.microsoft.com/office/drawing/2014/main" id="{00000000-0008-0000-1400-000010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0</xdr:row>
          <xdr:rowOff>133350</xdr:rowOff>
        </xdr:from>
        <xdr:to>
          <xdr:col>1</xdr:col>
          <xdr:colOff>2114550</xdr:colOff>
          <xdr:row>5</xdr:row>
          <xdr:rowOff>9525</xdr:rowOff>
        </xdr:to>
        <xdr:sp macro="" textlink="">
          <xdr:nvSpPr>
            <xdr:cNvPr id="56337" name="Object 17" hidden="1">
              <a:extLst>
                <a:ext uri="{63B3BB69-23CF-44E3-9099-C40C66FF867C}">
                  <a14:compatExt spid="_x0000_s56337"/>
                </a:ext>
                <a:ext uri="{FF2B5EF4-FFF2-40B4-BE49-F238E27FC236}">
                  <a16:creationId xmlns:a16="http://schemas.microsoft.com/office/drawing/2014/main" id="{00000000-0008-0000-1400-00001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0</xdr:row>
          <xdr:rowOff>142875</xdr:rowOff>
        </xdr:from>
        <xdr:to>
          <xdr:col>1</xdr:col>
          <xdr:colOff>962025</xdr:colOff>
          <xdr:row>5</xdr:row>
          <xdr:rowOff>19050</xdr:rowOff>
        </xdr:to>
        <xdr:sp macro="" textlink="">
          <xdr:nvSpPr>
            <xdr:cNvPr id="56338" name="Object 18" hidden="1">
              <a:extLst>
                <a:ext uri="{63B3BB69-23CF-44E3-9099-C40C66FF867C}">
                  <a14:compatExt spid="_x0000_s56338"/>
                </a:ext>
                <a:ext uri="{FF2B5EF4-FFF2-40B4-BE49-F238E27FC236}">
                  <a16:creationId xmlns:a16="http://schemas.microsoft.com/office/drawing/2014/main" id="{00000000-0008-0000-1400-00001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90" t="s">
        <v>402</v>
      </c>
      <c r="J1" s="2091"/>
      <c r="K1" s="2091"/>
      <c r="L1" s="2091"/>
      <c r="M1" s="2091"/>
      <c r="N1" s="2091"/>
      <c r="O1" s="2091"/>
      <c r="P1" s="2091"/>
      <c r="Q1" s="2091"/>
      <c r="R1" s="2091"/>
      <c r="S1" s="2091"/>
    </row>
    <row r="2" spans="1:32" ht="12" customHeight="1" x14ac:dyDescent="0.2">
      <c r="A2" s="1830" t="str">
        <f>"Due to ISBE on "</f>
        <v xml:space="preserve">Due to ISBE on </v>
      </c>
      <c r="B2" s="2130">
        <f>+'AFR20'!F4</f>
        <v>44151</v>
      </c>
      <c r="C2" s="2130"/>
      <c r="D2" s="2131"/>
      <c r="I2" s="2092" t="s">
        <v>2001</v>
      </c>
      <c r="J2" s="2091"/>
      <c r="K2" s="2091"/>
      <c r="L2" s="2091"/>
      <c r="M2" s="2091"/>
      <c r="N2" s="2091"/>
      <c r="O2" s="2091"/>
      <c r="P2" s="2091"/>
      <c r="Q2" s="2091"/>
      <c r="R2" s="2091"/>
      <c r="S2" s="2091"/>
    </row>
    <row r="3" spans="1:32" ht="12" customHeight="1" x14ac:dyDescent="0.2">
      <c r="A3" s="1833" t="str">
        <f>"SD/JA"&amp;MID('AFR20'!E2,3,2)</f>
        <v>SD/JA20</v>
      </c>
      <c r="B3" s="151"/>
      <c r="C3" s="151"/>
      <c r="D3" s="152"/>
      <c r="I3" s="2092" t="s">
        <v>52</v>
      </c>
      <c r="J3" s="2091"/>
      <c r="K3" s="2091"/>
      <c r="L3" s="2091"/>
      <c r="M3" s="2091"/>
      <c r="N3" s="2091"/>
      <c r="O3" s="2091"/>
      <c r="P3" s="2091"/>
      <c r="Q3" s="2091"/>
      <c r="R3" s="2091"/>
      <c r="S3" s="2091"/>
    </row>
    <row r="4" spans="1:32" ht="12" customHeight="1" x14ac:dyDescent="0.2">
      <c r="A4" s="37"/>
      <c r="I4" s="2092" t="s">
        <v>521</v>
      </c>
      <c r="J4" s="2091"/>
      <c r="K4" s="2091"/>
      <c r="L4" s="2091"/>
      <c r="M4" s="2091"/>
      <c r="N4" s="2091"/>
      <c r="O4" s="2091"/>
      <c r="P4" s="2091"/>
      <c r="Q4" s="2091"/>
      <c r="R4" s="2091"/>
      <c r="S4" s="2091"/>
    </row>
    <row r="5" spans="1:32" ht="14.1" customHeight="1" x14ac:dyDescent="0.2">
      <c r="B5" s="101" t="s">
        <v>2049</v>
      </c>
      <c r="C5" s="26" t="s">
        <v>904</v>
      </c>
      <c r="D5" s="81"/>
      <c r="E5" s="81"/>
      <c r="H5" s="38"/>
      <c r="I5" s="2100" t="s">
        <v>675</v>
      </c>
      <c r="J5" s="2099"/>
      <c r="K5" s="2099"/>
      <c r="L5" s="2099"/>
      <c r="M5" s="2099"/>
      <c r="N5" s="2099"/>
      <c r="O5" s="2099"/>
      <c r="P5" s="2099"/>
      <c r="Q5" s="2099"/>
      <c r="R5" s="2099"/>
      <c r="S5" s="2099"/>
      <c r="AF5" s="1826"/>
    </row>
    <row r="6" spans="1:32" ht="14.1" customHeight="1" x14ac:dyDescent="0.2">
      <c r="B6" s="101"/>
      <c r="C6" s="26" t="s">
        <v>905</v>
      </c>
      <c r="D6" s="81"/>
      <c r="E6" s="81"/>
      <c r="I6" s="2098" t="s">
        <v>877</v>
      </c>
      <c r="J6" s="2099"/>
      <c r="K6" s="2099"/>
      <c r="L6" s="2099"/>
      <c r="M6" s="2099"/>
      <c r="N6" s="2099"/>
      <c r="O6" s="2099"/>
      <c r="P6" s="2099"/>
      <c r="Q6" s="2099"/>
      <c r="R6" s="2099"/>
      <c r="S6" s="2099"/>
    </row>
    <row r="7" spans="1:32" ht="12.2" customHeight="1" x14ac:dyDescent="0.2">
      <c r="I7" s="2093" t="str">
        <f>"June 30, "&amp;'AFR20'!E2</f>
        <v>June 30, 2020</v>
      </c>
      <c r="J7" s="2094"/>
      <c r="K7" s="2094"/>
      <c r="L7" s="2094"/>
      <c r="M7" s="2094"/>
      <c r="N7" s="2094"/>
      <c r="O7" s="2094"/>
      <c r="P7" s="2094"/>
      <c r="Q7" s="2094"/>
      <c r="R7" s="2094"/>
      <c r="S7" s="20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5" t="s">
        <v>669</v>
      </c>
      <c r="J9" s="2096"/>
      <c r="K9" s="2096"/>
      <c r="L9" s="2096"/>
      <c r="M9" s="2096"/>
      <c r="N9" s="2096"/>
      <c r="O9" s="2096"/>
      <c r="P9" s="2096"/>
      <c r="Q9" s="2096"/>
      <c r="R9" s="2096"/>
      <c r="S9" s="2097"/>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9"/>
      <c r="V10" s="2099"/>
      <c r="W10" s="2099"/>
      <c r="X10" s="2099"/>
      <c r="Y10" s="2099"/>
      <c r="Z10" s="2099"/>
      <c r="AA10" s="2102"/>
    </row>
    <row r="11" spans="1:32" ht="14.25" customHeight="1" x14ac:dyDescent="0.2">
      <c r="A11" s="2155" t="s">
        <v>949</v>
      </c>
      <c r="B11" s="2156"/>
      <c r="C11" s="2156"/>
      <c r="D11" s="2156"/>
      <c r="E11" s="2156"/>
      <c r="F11" s="2156"/>
      <c r="G11" s="2156"/>
      <c r="H11" s="2157"/>
      <c r="I11" s="27"/>
      <c r="J11" s="71"/>
      <c r="K11" s="27"/>
      <c r="O11" s="144" t="s">
        <v>2049</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53060126026</v>
      </c>
      <c r="B13" s="2109"/>
      <c r="C13" s="2109"/>
      <c r="D13" s="2109"/>
      <c r="E13" s="2109"/>
      <c r="F13" s="2109"/>
      <c r="G13" s="2109"/>
      <c r="H13" s="2110"/>
      <c r="I13" s="31"/>
      <c r="J13" s="30"/>
      <c r="K13" s="28"/>
      <c r="L13" s="30"/>
      <c r="M13" s="30"/>
      <c r="N13" s="30"/>
      <c r="O13" s="30"/>
      <c r="P13" s="30"/>
      <c r="Q13" s="30"/>
      <c r="R13" s="30"/>
      <c r="S13" s="30"/>
      <c r="T13" s="2114" t="s">
        <v>2057</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2050</v>
      </c>
      <c r="B15" s="2112"/>
      <c r="C15" s="2112"/>
      <c r="D15" s="2112"/>
      <c r="E15" s="2112"/>
      <c r="F15" s="2112"/>
      <c r="G15" s="2112"/>
      <c r="H15" s="2113"/>
      <c r="T15" s="2118" t="s">
        <v>2058</v>
      </c>
      <c r="U15" s="2078"/>
      <c r="V15" s="2078"/>
      <c r="W15" s="2078"/>
      <c r="X15" s="2078"/>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4" t="s">
        <v>2192</v>
      </c>
      <c r="B17" s="2085"/>
      <c r="C17" s="2085"/>
      <c r="D17" s="2085"/>
      <c r="E17" s="2085"/>
      <c r="F17" s="2085"/>
      <c r="G17" s="2085"/>
      <c r="H17" s="2107"/>
      <c r="T17" s="2125" t="s">
        <v>2059</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62"/>
      <c r="K18" s="2062"/>
      <c r="L18" s="2062"/>
      <c r="M18" s="2062"/>
      <c r="N18" s="2062"/>
      <c r="O18" s="2062"/>
      <c r="P18" s="2062"/>
      <c r="Q18" s="2062"/>
      <c r="R18" s="2062"/>
      <c r="S18" s="2063"/>
      <c r="T18" s="82" t="s">
        <v>706</v>
      </c>
      <c r="U18" s="48"/>
      <c r="V18" s="69"/>
      <c r="W18" s="47"/>
      <c r="X18" s="82" t="s">
        <v>264</v>
      </c>
      <c r="Y18" s="78"/>
      <c r="Z18" s="154" t="s">
        <v>672</v>
      </c>
      <c r="AA18" s="44"/>
    </row>
    <row r="19" spans="1:27" ht="13.5" customHeight="1" x14ac:dyDescent="0.2">
      <c r="A19" s="2111" t="s">
        <v>2051</v>
      </c>
      <c r="B19" s="2070"/>
      <c r="C19" s="2070"/>
      <c r="D19" s="2070"/>
      <c r="E19" s="2070"/>
      <c r="F19" s="2070"/>
      <c r="G19" s="2070"/>
      <c r="H19" s="2052"/>
      <c r="I19" s="30"/>
      <c r="J19" s="96"/>
      <c r="K19" s="40"/>
      <c r="L19" s="38"/>
      <c r="M19" s="109" t="s">
        <v>312</v>
      </c>
      <c r="P19" s="27"/>
      <c r="Q19" s="27"/>
      <c r="R19" s="27"/>
      <c r="S19" s="31"/>
      <c r="T19" s="2111" t="s">
        <v>2060</v>
      </c>
      <c r="U19" s="2051"/>
      <c r="V19" s="2051"/>
      <c r="W19" s="2052"/>
      <c r="X19" s="2123" t="s">
        <v>2061</v>
      </c>
      <c r="Y19" s="2124"/>
      <c r="Z19" s="2121">
        <v>62656</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0" t="s">
        <v>2052</v>
      </c>
      <c r="B21" s="2051"/>
      <c r="C21" s="2051"/>
      <c r="D21" s="2051"/>
      <c r="E21" s="2051"/>
      <c r="F21" s="2051"/>
      <c r="G21" s="2051"/>
      <c r="H21" s="2052"/>
      <c r="I21" s="2101" t="s">
        <v>673</v>
      </c>
      <c r="J21" s="2099"/>
      <c r="K21" s="2099"/>
      <c r="L21" s="2099"/>
      <c r="M21" s="2099"/>
      <c r="N21" s="2099"/>
      <c r="O21" s="2099"/>
      <c r="P21" s="2099"/>
      <c r="Q21" s="2099"/>
      <c r="R21" s="2099"/>
      <c r="S21" s="2102"/>
      <c r="T21" s="2136" t="s">
        <v>2062</v>
      </c>
      <c r="U21" s="2137"/>
      <c r="V21" s="2137"/>
      <c r="W21" s="2137"/>
      <c r="X21" s="2142" t="s">
        <v>2063</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64" t="s">
        <v>2053</v>
      </c>
      <c r="B23" s="2065"/>
      <c r="C23" s="2065"/>
      <c r="D23" s="2065"/>
      <c r="E23" s="2065"/>
      <c r="F23" s="2065"/>
      <c r="G23" s="2065"/>
      <c r="H23" s="2066"/>
      <c r="T23" s="2084" t="s">
        <v>2064</v>
      </c>
      <c r="U23" s="2135"/>
      <c r="V23" s="2135"/>
      <c r="W23" s="2135"/>
      <c r="X23" s="2139">
        <v>44530</v>
      </c>
      <c r="Y23" s="2140"/>
      <c r="Z23" s="2140"/>
      <c r="AA23" s="2141"/>
    </row>
    <row r="24" spans="1:27" ht="14.1" customHeight="1" x14ac:dyDescent="0.2">
      <c r="A24" s="85" t="s">
        <v>672</v>
      </c>
      <c r="B24" s="46"/>
      <c r="C24" s="46"/>
      <c r="D24" s="46"/>
      <c r="E24" s="46"/>
      <c r="F24" s="46"/>
      <c r="G24" s="46"/>
      <c r="H24" s="58"/>
      <c r="J24" s="2071">
        <f>IF(B5="x",IF(AUDITCHECK!D29="AFR form Incomplete.","",IF(AUDITCHECK!D29="Deficit reduction plan is required.","School District must complete a deficit reduction plan in the 2019-2020 Budget",)),"")</f>
        <v>0</v>
      </c>
      <c r="K24" s="2071"/>
      <c r="L24" s="2071"/>
      <c r="M24" s="2071"/>
      <c r="N24" s="2071"/>
      <c r="O24" s="2071"/>
      <c r="P24" s="2071"/>
      <c r="Q24" s="2071"/>
      <c r="R24" s="2071"/>
      <c r="S24" s="2072"/>
      <c r="T24" s="102" t="s">
        <v>528</v>
      </c>
      <c r="U24" s="103"/>
      <c r="V24" s="103"/>
      <c r="W24" s="103"/>
      <c r="X24" s="104"/>
      <c r="Y24" s="104"/>
      <c r="Z24" s="104"/>
      <c r="AA24" s="105"/>
    </row>
    <row r="25" spans="1:27" ht="14.1" customHeight="1" x14ac:dyDescent="0.2">
      <c r="A25" s="2050">
        <v>62644</v>
      </c>
      <c r="B25" s="2051"/>
      <c r="C25" s="2051"/>
      <c r="D25" s="2051"/>
      <c r="E25" s="2051"/>
      <c r="F25" s="2051"/>
      <c r="G25" s="2051"/>
      <c r="H25" s="2052"/>
      <c r="I25" s="110"/>
      <c r="J25" s="2073"/>
      <c r="K25" s="2073"/>
      <c r="L25" s="2073"/>
      <c r="M25" s="2073"/>
      <c r="N25" s="2073"/>
      <c r="O25" s="2073"/>
      <c r="P25" s="2073"/>
      <c r="Q25" s="2073"/>
      <c r="R25" s="2073"/>
      <c r="S25" s="2074"/>
      <c r="T25" s="2132" t="s">
        <v>2065</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1" t="s">
        <v>1494</v>
      </c>
      <c r="J27" s="2062"/>
      <c r="K27" s="2062"/>
      <c r="L27" s="2062"/>
      <c r="M27" s="2062"/>
      <c r="N27" s="2062"/>
      <c r="O27" s="2062"/>
      <c r="P27" s="2062"/>
      <c r="Q27" s="2062"/>
      <c r="R27" s="2062"/>
      <c r="S27" s="206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2049</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0"/>
      <c r="Q35" s="2051"/>
      <c r="R35" s="20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4" t="s">
        <v>2054</v>
      </c>
      <c r="B38" s="2085"/>
      <c r="C38" s="2085"/>
      <c r="D38" s="2085"/>
      <c r="E38" s="2085"/>
      <c r="F38" s="2051"/>
      <c r="G38" s="2051"/>
      <c r="H38" s="2052"/>
      <c r="I38" s="2077"/>
      <c r="J38" s="2078"/>
      <c r="K38" s="2078"/>
      <c r="L38" s="2078"/>
      <c r="M38" s="2078"/>
      <c r="N38" s="2078"/>
      <c r="O38" s="2078"/>
      <c r="P38" s="2079"/>
      <c r="Q38" s="2079"/>
      <c r="R38" s="2079"/>
      <c r="S38" s="2080"/>
      <c r="T38" s="2118" t="s">
        <v>2066</v>
      </c>
      <c r="U38" s="2078"/>
      <c r="V38" s="2078"/>
      <c r="W38" s="2078"/>
      <c r="X38" s="2079"/>
      <c r="Y38" s="2079"/>
      <c r="Z38" s="2079"/>
      <c r="AA38" s="2080"/>
    </row>
    <row r="39" spans="1:27" ht="12" customHeight="1" x14ac:dyDescent="0.2">
      <c r="A39" s="2056" t="s">
        <v>528</v>
      </c>
      <c r="B39" s="2057"/>
      <c r="C39" s="69"/>
      <c r="D39" s="66"/>
      <c r="E39" s="66"/>
      <c r="F39" s="76"/>
      <c r="G39" s="66"/>
      <c r="H39" s="53"/>
      <c r="I39" s="2056" t="s">
        <v>528</v>
      </c>
      <c r="J39" s="2057"/>
      <c r="K39" s="2057"/>
      <c r="L39" s="2057"/>
      <c r="M39" s="2057"/>
      <c r="N39" s="64"/>
      <c r="O39" s="69"/>
      <c r="P39" s="69"/>
      <c r="Q39" s="75"/>
      <c r="R39" s="69"/>
      <c r="S39" s="53"/>
      <c r="T39" s="69" t="s">
        <v>528</v>
      </c>
      <c r="U39" s="48"/>
      <c r="V39" s="69"/>
      <c r="W39" s="47"/>
      <c r="X39" s="75"/>
      <c r="Y39" s="43"/>
      <c r="Z39" s="43"/>
      <c r="AA39" s="44"/>
    </row>
    <row r="40" spans="1:27" ht="13.5" customHeight="1" x14ac:dyDescent="0.2">
      <c r="A40" s="2064" t="s">
        <v>2053</v>
      </c>
      <c r="B40" s="2065"/>
      <c r="C40" s="2065"/>
      <c r="D40" s="2065"/>
      <c r="E40" s="2065"/>
      <c r="F40" s="2065"/>
      <c r="G40" s="2065"/>
      <c r="H40" s="2066"/>
      <c r="I40" s="2087"/>
      <c r="J40" s="2088"/>
      <c r="K40" s="2088"/>
      <c r="L40" s="2088"/>
      <c r="M40" s="2088"/>
      <c r="N40" s="2088"/>
      <c r="O40" s="2088"/>
      <c r="P40" s="2088"/>
      <c r="Q40" s="2088"/>
      <c r="R40" s="2088"/>
      <c r="S40" s="2089"/>
      <c r="T40" s="2087" t="s">
        <v>2067</v>
      </c>
      <c r="U40" s="2138"/>
      <c r="V40" s="2088"/>
      <c r="W40" s="2088"/>
      <c r="X40" s="2088"/>
      <c r="Y40" s="2088"/>
      <c r="Z40" s="2088"/>
      <c r="AA40" s="20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6" t="s">
        <v>2055</v>
      </c>
      <c r="B42" s="2068"/>
      <c r="C42" s="2069"/>
      <c r="D42" s="2067" t="s">
        <v>2056</v>
      </c>
      <c r="E42" s="2068"/>
      <c r="F42" s="2068"/>
      <c r="G42" s="2068"/>
      <c r="H42" s="2069"/>
      <c r="I42" s="2053"/>
      <c r="J42" s="2054"/>
      <c r="K42" s="2054"/>
      <c r="L42" s="2054"/>
      <c r="M42" s="2054"/>
      <c r="N42" s="2054"/>
      <c r="O42" s="2055"/>
      <c r="P42" s="2086"/>
      <c r="Q42" s="2054"/>
      <c r="R42" s="2054"/>
      <c r="S42" s="2055"/>
      <c r="T42" s="2053" t="s">
        <v>2068</v>
      </c>
      <c r="U42" s="2054"/>
      <c r="V42" s="2054"/>
      <c r="W42" s="2055"/>
      <c r="X42" s="2086" t="s">
        <v>2069</v>
      </c>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1"/>
      <c r="B44" s="2082"/>
      <c r="C44" s="2082"/>
      <c r="D44" s="2082"/>
      <c r="E44" s="2082"/>
      <c r="F44" s="2082"/>
      <c r="G44" s="2082"/>
      <c r="H44" s="2083"/>
      <c r="I44" s="2058"/>
      <c r="J44" s="2059"/>
      <c r="K44" s="2059"/>
      <c r="L44" s="2059"/>
      <c r="M44" s="2059"/>
      <c r="N44" s="2059"/>
      <c r="O44" s="2059"/>
      <c r="P44" s="2059"/>
      <c r="Q44" s="2059"/>
      <c r="R44" s="2059"/>
      <c r="S44" s="2060"/>
      <c r="T44" s="2058"/>
      <c r="U44" s="2075"/>
      <c r="V44" s="2075"/>
      <c r="W44" s="2075"/>
      <c r="X44" s="2075"/>
      <c r="Y44" s="2075"/>
      <c r="Z44" s="2059"/>
      <c r="AA44" s="206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2"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3" sqref="A13:H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6"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7"/>
      <c r="B3" s="1293"/>
      <c r="C3" s="1294"/>
      <c r="D3" s="1295" t="s">
        <v>254</v>
      </c>
      <c r="E3" s="1294"/>
      <c r="F3" s="1295" t="s">
        <v>255</v>
      </c>
    </row>
    <row r="4" spans="1:8" ht="13.7" customHeight="1" x14ac:dyDescent="0.2">
      <c r="A4" s="579" t="s">
        <v>1145</v>
      </c>
      <c r="B4" s="1720">
        <f>'Revenues 9-14'!C5</f>
        <v>1584880</v>
      </c>
      <c r="C4" s="1721"/>
      <c r="D4" s="1722">
        <f>B4-C4</f>
        <v>1584880</v>
      </c>
      <c r="E4" s="1721">
        <v>1618725</v>
      </c>
      <c r="F4" s="1722">
        <f>E4-C4</f>
        <v>1618725</v>
      </c>
    </row>
    <row r="5" spans="1:8" ht="13.7" customHeight="1" x14ac:dyDescent="0.2">
      <c r="A5" s="579" t="s">
        <v>865</v>
      </c>
      <c r="B5" s="1723">
        <f>'Revenues 9-14'!D5</f>
        <v>430673</v>
      </c>
      <c r="C5" s="1663"/>
      <c r="D5" s="1724">
        <f t="shared" ref="D5:D18" si="0">B5-C5</f>
        <v>430673</v>
      </c>
      <c r="E5" s="1663">
        <v>439871</v>
      </c>
      <c r="F5" s="1724">
        <f>E5-C5</f>
        <v>439871</v>
      </c>
    </row>
    <row r="6" spans="1:8" ht="13.7" customHeight="1" x14ac:dyDescent="0.2">
      <c r="A6" s="579" t="s">
        <v>408</v>
      </c>
      <c r="B6" s="1723">
        <f>'Revenues 9-14'!E5</f>
        <v>444886</v>
      </c>
      <c r="C6" s="1663"/>
      <c r="D6" s="1724">
        <f t="shared" si="0"/>
        <v>444886</v>
      </c>
      <c r="E6" s="1663">
        <v>445853</v>
      </c>
      <c r="F6" s="1724">
        <f t="shared" ref="F6:F18" si="1">E6-C6</f>
        <v>445853</v>
      </c>
    </row>
    <row r="7" spans="1:8" ht="13.7" customHeight="1" x14ac:dyDescent="0.2">
      <c r="A7" s="579" t="s">
        <v>154</v>
      </c>
      <c r="B7" s="1723">
        <f>'Revenues 9-14'!F5</f>
        <v>164774</v>
      </c>
      <c r="C7" s="1663"/>
      <c r="D7" s="1724">
        <f t="shared" si="0"/>
        <v>164774</v>
      </c>
      <c r="E7" s="1663">
        <v>175948</v>
      </c>
      <c r="F7" s="1724">
        <f t="shared" si="1"/>
        <v>175948</v>
      </c>
    </row>
    <row r="8" spans="1:8" ht="13.7" customHeight="1" x14ac:dyDescent="0.2">
      <c r="A8" s="579" t="s">
        <v>1169</v>
      </c>
      <c r="B8" s="1723">
        <f>'Revenues 9-14'!G5</f>
        <v>138761</v>
      </c>
      <c r="C8" s="1663"/>
      <c r="D8" s="1724">
        <f t="shared" si="0"/>
        <v>138761</v>
      </c>
      <c r="E8" s="1663">
        <v>160201</v>
      </c>
      <c r="F8" s="1724">
        <f t="shared" si="1"/>
        <v>160201</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43068</v>
      </c>
      <c r="C10" s="1663"/>
      <c r="D10" s="1724">
        <f t="shared" si="0"/>
        <v>43068</v>
      </c>
      <c r="E10" s="1663">
        <v>43987</v>
      </c>
      <c r="F10" s="1724">
        <f t="shared" si="1"/>
        <v>43987</v>
      </c>
    </row>
    <row r="11" spans="1:8" x14ac:dyDescent="0.2">
      <c r="A11" s="579" t="s">
        <v>406</v>
      </c>
      <c r="B11" s="1723">
        <f>'Revenues 9-14'!J5</f>
        <v>1073583</v>
      </c>
      <c r="C11" s="1663"/>
      <c r="D11" s="1724">
        <f t="shared" si="0"/>
        <v>1073583</v>
      </c>
      <c r="E11" s="1663">
        <v>1112522</v>
      </c>
      <c r="F11" s="1724">
        <f t="shared" si="1"/>
        <v>1112522</v>
      </c>
    </row>
    <row r="12" spans="1:8" ht="13.7" customHeight="1" x14ac:dyDescent="0.2">
      <c r="A12" s="579" t="s">
        <v>156</v>
      </c>
      <c r="B12" s="1723">
        <f>'Revenues 9-14'!K5</f>
        <v>43068</v>
      </c>
      <c r="C12" s="1663"/>
      <c r="D12" s="1724">
        <f t="shared" si="0"/>
        <v>43068</v>
      </c>
      <c r="E12" s="1663">
        <v>43987</v>
      </c>
      <c r="F12" s="1724">
        <f t="shared" si="1"/>
        <v>43987</v>
      </c>
    </row>
    <row r="13" spans="1:8" ht="13.7" customHeight="1" x14ac:dyDescent="0.2">
      <c r="A13" s="579" t="s">
        <v>930</v>
      </c>
      <c r="B13" s="1723">
        <f>SUM('Revenues 9-14'!C6:D6)</f>
        <v>43068</v>
      </c>
      <c r="C13" s="1663"/>
      <c r="D13" s="1724">
        <f t="shared" si="0"/>
        <v>43068</v>
      </c>
      <c r="E13" s="1663">
        <v>43987</v>
      </c>
      <c r="F13" s="1724">
        <f t="shared" si="1"/>
        <v>43987</v>
      </c>
    </row>
    <row r="14" spans="1:8" ht="13.7" customHeight="1" x14ac:dyDescent="0.2">
      <c r="A14" s="579" t="s">
        <v>407</v>
      </c>
      <c r="B14" s="1723">
        <f>SUM('Revenues 9-14'!C7:D7,'Revenues 9-14'!F7:H7)</f>
        <v>34452</v>
      </c>
      <c r="C14" s="1663"/>
      <c r="D14" s="1724">
        <f t="shared" si="0"/>
        <v>34452</v>
      </c>
      <c r="E14" s="1663">
        <v>35190</v>
      </c>
      <c r="F14" s="1724">
        <f t="shared" si="1"/>
        <v>35190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189065</v>
      </c>
      <c r="C16" s="1663"/>
      <c r="D16" s="1724">
        <f t="shared" si="0"/>
        <v>189065</v>
      </c>
      <c r="E16" s="1663">
        <v>195831</v>
      </c>
      <c r="F16" s="1724">
        <f t="shared" si="1"/>
        <v>195831</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4190278</v>
      </c>
      <c r="C19" s="1725">
        <f>SUM(C4:C18)</f>
        <v>0</v>
      </c>
      <c r="D19" s="1725">
        <f>SUM(D4:D18)</f>
        <v>4190278</v>
      </c>
      <c r="E19" s="1725">
        <f>SUM(E4:E18)</f>
        <v>4316102</v>
      </c>
      <c r="F19" s="1725">
        <f>SUM(F4:F18)</f>
        <v>4316102</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3" sqref="A13:H1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1777</v>
      </c>
      <c r="B2" s="232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55"/>
      <c r="D4" s="1655"/>
      <c r="E4" s="1655"/>
      <c r="F4" s="1731">
        <f>SUM(C4+D4)-E4</f>
        <v>0</v>
      </c>
    </row>
    <row r="5" spans="1:7" ht="15.75" customHeight="1" thickTop="1" x14ac:dyDescent="0.2">
      <c r="A5" s="2317" t="s">
        <v>1101</v>
      </c>
      <c r="B5" s="2312"/>
      <c r="C5" s="2306"/>
      <c r="D5" s="2307"/>
      <c r="E5" s="2307"/>
      <c r="F5" s="230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9" t="s">
        <v>627</v>
      </c>
      <c r="B15" s="2310"/>
      <c r="C15" s="1731">
        <f>SUM(C6:C14)</f>
        <v>0</v>
      </c>
      <c r="D15" s="1731">
        <f>SUM(D6:D14)</f>
        <v>0</v>
      </c>
      <c r="E15" s="1731">
        <f>SUM(E6:E14)</f>
        <v>0</v>
      </c>
      <c r="F15" s="1731">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32"/>
      <c r="D17" s="1663"/>
      <c r="E17" s="1732"/>
      <c r="F17" s="1731">
        <f>SUM(C17+D17)-E17</f>
        <v>0</v>
      </c>
    </row>
    <row r="18" spans="1:11" ht="12.75" customHeight="1" thickTop="1" thickBot="1" x14ac:dyDescent="0.25">
      <c r="A18" s="2304" t="s">
        <v>6</v>
      </c>
      <c r="B18" s="2305"/>
      <c r="C18" s="1732"/>
      <c r="D18" s="1663"/>
      <c r="E18" s="1732"/>
      <c r="F18" s="1731">
        <f>SUM(C18+D18)-E18</f>
        <v>0</v>
      </c>
    </row>
    <row r="19" spans="1:11" ht="12.75" customHeight="1" thickTop="1" thickBot="1" x14ac:dyDescent="0.25">
      <c r="A19" s="2304" t="s">
        <v>385</v>
      </c>
      <c r="B19" s="2305"/>
      <c r="C19" s="1732"/>
      <c r="D19" s="1663"/>
      <c r="E19" s="1732"/>
      <c r="F19" s="1731">
        <f>SUM(C19+D19)-E19</f>
        <v>0</v>
      </c>
    </row>
    <row r="20" spans="1:11" ht="12.75" customHeight="1" thickTop="1" thickBot="1" x14ac:dyDescent="0.25">
      <c r="A20" s="2304" t="s">
        <v>445</v>
      </c>
      <c r="B20" s="2305"/>
      <c r="C20" s="1732"/>
      <c r="D20" s="1663"/>
      <c r="E20" s="1732"/>
      <c r="F20" s="1731">
        <f>SUM(C20+D20)-E20</f>
        <v>0</v>
      </c>
    </row>
    <row r="21" spans="1:11" ht="14.25" thickTop="1" thickBot="1" x14ac:dyDescent="0.25">
      <c r="A21" s="2309" t="s">
        <v>628</v>
      </c>
      <c r="B21" s="2310"/>
      <c r="C21" s="1731">
        <f>SUM(C17:C20)</f>
        <v>0</v>
      </c>
      <c r="D21" s="1731">
        <f>SUM(D17:D20)</f>
        <v>0</v>
      </c>
      <c r="E21" s="1731">
        <f>SUM(E17:E20)</f>
        <v>0</v>
      </c>
      <c r="F21" s="1731">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55"/>
      <c r="D23" s="1655"/>
      <c r="E23" s="1655"/>
      <c r="F23" s="1731">
        <f>SUM(C23+D23)-E23</f>
        <v>0</v>
      </c>
      <c r="G23" s="473"/>
    </row>
    <row r="24" spans="1:11" ht="15.75" customHeight="1" thickTop="1" x14ac:dyDescent="0.2">
      <c r="A24" s="2311" t="s">
        <v>2004</v>
      </c>
      <c r="B24" s="2312"/>
      <c r="C24" s="2306"/>
      <c r="D24" s="2307"/>
      <c r="E24" s="2307"/>
      <c r="F24" s="2308"/>
    </row>
    <row r="25" spans="1:11" ht="13.5" thickBot="1" x14ac:dyDescent="0.25">
      <c r="A25" s="2313" t="s">
        <v>2005</v>
      </c>
      <c r="B25" s="2314"/>
      <c r="C25" s="1655"/>
      <c r="D25" s="1655"/>
      <c r="E25" s="1655"/>
      <c r="F25" s="1731">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63"/>
      <c r="D27" s="1663"/>
      <c r="E27" s="1663"/>
      <c r="F27" s="1731">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2079</v>
      </c>
      <c r="B31" s="595">
        <v>38692</v>
      </c>
      <c r="C31" s="1733">
        <v>590481</v>
      </c>
      <c r="D31" s="1734">
        <v>4</v>
      </c>
      <c r="E31" s="1733">
        <v>590481</v>
      </c>
      <c r="F31" s="1733"/>
      <c r="G31" s="1733"/>
      <c r="H31" s="1733"/>
      <c r="I31" s="1735">
        <f>((E31+F31)-H31)+G31</f>
        <v>590481</v>
      </c>
      <c r="J31" s="1733">
        <v>78881</v>
      </c>
      <c r="K31" s="596"/>
    </row>
    <row r="32" spans="1:11" ht="12" customHeight="1" x14ac:dyDescent="0.2">
      <c r="A32" s="594" t="s">
        <v>2074</v>
      </c>
      <c r="B32" s="595">
        <v>40641</v>
      </c>
      <c r="C32" s="1733">
        <v>1965000</v>
      </c>
      <c r="D32" s="1734">
        <v>6</v>
      </c>
      <c r="E32" s="1733">
        <v>945000</v>
      </c>
      <c r="F32" s="1733"/>
      <c r="G32" s="1733"/>
      <c r="H32" s="1733">
        <v>135000</v>
      </c>
      <c r="I32" s="1735">
        <f>((E32+F32)-H32)+G32</f>
        <v>810000</v>
      </c>
      <c r="J32" s="1733">
        <v>712078</v>
      </c>
      <c r="K32" s="596"/>
    </row>
    <row r="33" spans="1:11" ht="12" customHeight="1" x14ac:dyDescent="0.2">
      <c r="A33" s="594" t="s">
        <v>2075</v>
      </c>
      <c r="B33" s="595">
        <v>41487</v>
      </c>
      <c r="C33" s="1733">
        <v>1180000</v>
      </c>
      <c r="D33" s="1734">
        <v>4</v>
      </c>
      <c r="E33" s="1733">
        <v>435000</v>
      </c>
      <c r="F33" s="1733"/>
      <c r="G33" s="1733"/>
      <c r="H33" s="1733">
        <v>175000</v>
      </c>
      <c r="I33" s="1735">
        <f t="shared" ref="I33:I48" si="1">((E33+F33)-H33)+G33</f>
        <v>260000</v>
      </c>
      <c r="J33" s="1733">
        <v>129437</v>
      </c>
      <c r="K33" s="596"/>
    </row>
    <row r="34" spans="1:11" ht="12" customHeight="1" x14ac:dyDescent="0.2">
      <c r="A34" s="594" t="s">
        <v>2080</v>
      </c>
      <c r="B34" s="595">
        <v>42186</v>
      </c>
      <c r="C34" s="1733">
        <v>3850000</v>
      </c>
      <c r="D34" s="1734">
        <v>6</v>
      </c>
      <c r="E34" s="1733">
        <v>3095000</v>
      </c>
      <c r="F34" s="1733"/>
      <c r="G34" s="1733"/>
      <c r="H34" s="1733">
        <v>205000</v>
      </c>
      <c r="I34" s="1735">
        <f t="shared" si="1"/>
        <v>2890000</v>
      </c>
      <c r="J34" s="1733">
        <v>2218000</v>
      </c>
      <c r="K34" s="597"/>
    </row>
    <row r="35" spans="1:11" ht="12" customHeight="1" x14ac:dyDescent="0.2">
      <c r="A35" s="594" t="s">
        <v>2076</v>
      </c>
      <c r="B35" s="595">
        <v>42429</v>
      </c>
      <c r="C35" s="1736">
        <v>1000000</v>
      </c>
      <c r="D35" s="1734">
        <v>1</v>
      </c>
      <c r="E35" s="1736">
        <v>430000</v>
      </c>
      <c r="F35" s="1736"/>
      <c r="G35" s="1736"/>
      <c r="H35" s="1736">
        <v>210000</v>
      </c>
      <c r="I35" s="1735">
        <f t="shared" si="1"/>
        <v>220000</v>
      </c>
      <c r="J35" s="1736">
        <v>60423</v>
      </c>
      <c r="K35" s="597"/>
    </row>
    <row r="36" spans="1:11" ht="12" customHeight="1" x14ac:dyDescent="0.2">
      <c r="A36" s="594" t="s">
        <v>2077</v>
      </c>
      <c r="B36" s="595">
        <v>42916</v>
      </c>
      <c r="C36" s="1733">
        <v>209899</v>
      </c>
      <c r="D36" s="1734">
        <v>8</v>
      </c>
      <c r="E36" s="1733">
        <v>69939</v>
      </c>
      <c r="F36" s="1733"/>
      <c r="G36" s="1733"/>
      <c r="H36" s="1733">
        <v>69939</v>
      </c>
      <c r="I36" s="1735">
        <f t="shared" si="1"/>
        <v>0</v>
      </c>
      <c r="J36" s="1733">
        <v>0</v>
      </c>
      <c r="K36" s="598"/>
    </row>
    <row r="37" spans="1:11" ht="12" customHeight="1" x14ac:dyDescent="0.2">
      <c r="A37" s="594" t="s">
        <v>2078</v>
      </c>
      <c r="B37" s="595">
        <v>43531</v>
      </c>
      <c r="C37" s="1573">
        <v>2800000</v>
      </c>
      <c r="D37" s="1737">
        <v>4</v>
      </c>
      <c r="E37" s="1573">
        <v>2800000</v>
      </c>
      <c r="F37" s="1573"/>
      <c r="G37" s="1573"/>
      <c r="H37" s="1573"/>
      <c r="I37" s="1735">
        <f t="shared" si="1"/>
        <v>2800000</v>
      </c>
      <c r="J37" s="1573">
        <v>2800000</v>
      </c>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11595380</v>
      </c>
      <c r="D49" s="1741"/>
      <c r="E49" s="1735">
        <f t="shared" ref="E49:J49" si="2">SUM(E31:E48)</f>
        <v>8365420</v>
      </c>
      <c r="F49" s="1735">
        <f t="shared" si="2"/>
        <v>0</v>
      </c>
      <c r="G49" s="1735">
        <f t="shared" si="2"/>
        <v>0</v>
      </c>
      <c r="H49" s="1735">
        <f t="shared" si="2"/>
        <v>794939</v>
      </c>
      <c r="I49" s="1735">
        <f t="shared" si="2"/>
        <v>7570481</v>
      </c>
      <c r="J49" s="1735">
        <f t="shared" si="2"/>
        <v>5998819</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c r="G52" s="2301"/>
      <c r="H52" s="596"/>
      <c r="I52" s="596"/>
      <c r="J52" s="600"/>
    </row>
    <row r="53" spans="1:11" ht="11.25" customHeight="1" x14ac:dyDescent="0.2">
      <c r="A53" s="604" t="s">
        <v>907</v>
      </c>
      <c r="B53" s="605" t="s">
        <v>945</v>
      </c>
      <c r="C53" s="600"/>
      <c r="D53" s="597"/>
      <c r="E53" s="603" t="s">
        <v>494</v>
      </c>
      <c r="F53" s="2302" t="s">
        <v>2166</v>
      </c>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A13" sqref="A13:H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7"/>
      <c r="I1" s="614"/>
      <c r="J1" s="400"/>
    </row>
    <row r="2" spans="1:11" ht="26.25" x14ac:dyDescent="0.2">
      <c r="A2" s="2346" t="s">
        <v>1658</v>
      </c>
      <c r="B2" s="2347"/>
      <c r="C2" s="2347"/>
      <c r="D2" s="2347"/>
      <c r="E2" s="2348"/>
      <c r="F2" s="615" t="s">
        <v>898</v>
      </c>
      <c r="G2" s="616" t="s">
        <v>1655</v>
      </c>
      <c r="H2" s="616" t="s">
        <v>407</v>
      </c>
      <c r="I2" s="616" t="s">
        <v>1148</v>
      </c>
      <c r="J2" s="616" t="s">
        <v>1787</v>
      </c>
      <c r="K2" s="616" t="s">
        <v>137</v>
      </c>
    </row>
    <row r="3" spans="1:11" x14ac:dyDescent="0.2">
      <c r="A3" s="2349" t="str">
        <f>"Cash Basis Fund Balance as of July 1, "&amp;'AFR20'!E2-1</f>
        <v>Cash Basis Fund Balance as of July 1, 2019</v>
      </c>
      <c r="B3" s="2350"/>
      <c r="C3" s="2350"/>
      <c r="D3" s="2350"/>
      <c r="E3" s="2351"/>
      <c r="F3" s="617"/>
      <c r="G3" s="1743"/>
      <c r="H3" s="1743"/>
      <c r="I3" s="1743"/>
      <c r="J3" s="1744">
        <v>630806</v>
      </c>
      <c r="K3" s="1744"/>
    </row>
    <row r="4" spans="1:11" x14ac:dyDescent="0.2">
      <c r="A4" s="2352" t="s">
        <v>366</v>
      </c>
      <c r="B4" s="2353"/>
      <c r="C4" s="2353"/>
      <c r="D4" s="2353"/>
      <c r="E4" s="2299"/>
      <c r="F4" s="620"/>
      <c r="G4" s="1745"/>
      <c r="H4" s="1746"/>
      <c r="I4" s="1745"/>
      <c r="J4" s="1747"/>
      <c r="K4" s="1747"/>
    </row>
    <row r="5" spans="1:11" x14ac:dyDescent="0.2">
      <c r="A5" s="2330" t="s">
        <v>1060</v>
      </c>
      <c r="B5" s="2331"/>
      <c r="C5" s="2331"/>
      <c r="D5" s="2331"/>
      <c r="E5" s="2332"/>
      <c r="F5" s="622" t="s">
        <v>843</v>
      </c>
      <c r="G5" s="1748"/>
      <c r="H5" s="1743">
        <v>34452</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3605</v>
      </c>
    </row>
    <row r="8" spans="1:11" x14ac:dyDescent="0.2">
      <c r="A8" s="629" t="s">
        <v>342</v>
      </c>
      <c r="B8" s="630"/>
      <c r="C8" s="630"/>
      <c r="D8" s="630"/>
      <c r="E8" s="631"/>
      <c r="F8" s="622" t="s">
        <v>846</v>
      </c>
      <c r="G8" s="1752"/>
      <c r="H8" s="1752"/>
      <c r="I8" s="1752"/>
      <c r="J8" s="1744">
        <v>375925</v>
      </c>
      <c r="K8" s="1747"/>
    </row>
    <row r="9" spans="1:11" x14ac:dyDescent="0.2">
      <c r="A9" s="629" t="s">
        <v>137</v>
      </c>
      <c r="B9" s="630"/>
      <c r="C9" s="630"/>
      <c r="D9" s="630"/>
      <c r="E9" s="631"/>
      <c r="F9" s="628" t="s">
        <v>848</v>
      </c>
      <c r="G9" s="1752"/>
      <c r="H9" s="1748"/>
      <c r="I9" s="1748"/>
      <c r="J9" s="1751"/>
      <c r="K9" s="1744"/>
    </row>
    <row r="10" spans="1:11" x14ac:dyDescent="0.2">
      <c r="A10" s="2330" t="s">
        <v>1788</v>
      </c>
      <c r="B10" s="2331"/>
      <c r="C10" s="2331"/>
      <c r="D10" s="2331"/>
      <c r="E10" s="2333"/>
      <c r="F10" s="633" t="s">
        <v>857</v>
      </c>
      <c r="G10" s="1752"/>
      <c r="H10" s="1753"/>
      <c r="I10" s="1743"/>
      <c r="J10" s="1744"/>
      <c r="K10" s="1744"/>
    </row>
    <row r="11" spans="1:11" x14ac:dyDescent="0.2">
      <c r="A11" s="2330" t="s">
        <v>159</v>
      </c>
      <c r="B11" s="2331"/>
      <c r="C11" s="2331"/>
      <c r="D11" s="2331"/>
      <c r="E11" s="2332"/>
      <c r="F11" s="622" t="s">
        <v>847</v>
      </c>
      <c r="G11" s="1748"/>
      <c r="H11" s="1743"/>
      <c r="I11" s="1743"/>
      <c r="J11" s="1744"/>
      <c r="K11" s="1750"/>
    </row>
    <row r="12" spans="1:11" ht="13.5" thickBot="1" x14ac:dyDescent="0.25">
      <c r="A12" s="2357" t="s">
        <v>899</v>
      </c>
      <c r="B12" s="2358"/>
      <c r="C12" s="2358"/>
      <c r="D12" s="2358"/>
      <c r="E12" s="2359"/>
      <c r="F12" s="1432"/>
      <c r="G12" s="1754">
        <f>SUM(G5:G11)</f>
        <v>0</v>
      </c>
      <c r="H12" s="1754">
        <f>SUM(H5:H11)</f>
        <v>34452</v>
      </c>
      <c r="I12" s="1754">
        <f>SUM(I5:I11)</f>
        <v>0</v>
      </c>
      <c r="J12" s="1754">
        <f>SUM(J5:J11)</f>
        <v>375925</v>
      </c>
      <c r="K12" s="1754">
        <f>SUM(K5:K11)</f>
        <v>3605</v>
      </c>
    </row>
    <row r="13" spans="1:11" ht="13.5" thickTop="1" x14ac:dyDescent="0.2">
      <c r="A13" s="2354" t="s">
        <v>367</v>
      </c>
      <c r="B13" s="2355"/>
      <c r="C13" s="2355"/>
      <c r="D13" s="2355"/>
      <c r="E13" s="2356"/>
      <c r="F13" s="634"/>
      <c r="G13" s="1755"/>
      <c r="H13" s="1756"/>
      <c r="I13" s="1757"/>
      <c r="J13" s="1757"/>
      <c r="K13" s="1757"/>
    </row>
    <row r="14" spans="1:11" x14ac:dyDescent="0.2">
      <c r="A14" s="2337" t="s">
        <v>453</v>
      </c>
      <c r="B14" s="2337"/>
      <c r="C14" s="2337"/>
      <c r="D14" s="2337"/>
      <c r="E14" s="2338"/>
      <c r="F14" s="635" t="s">
        <v>849</v>
      </c>
      <c r="G14" s="1752"/>
      <c r="H14" s="1743">
        <v>34452</v>
      </c>
      <c r="I14" s="1748"/>
      <c r="J14" s="1750"/>
      <c r="K14" s="1744">
        <v>3605</v>
      </c>
    </row>
    <row r="15" spans="1:11" x14ac:dyDescent="0.2">
      <c r="A15" s="2331" t="s">
        <v>4</v>
      </c>
      <c r="B15" s="2331"/>
      <c r="C15" s="2331"/>
      <c r="D15" s="2331"/>
      <c r="E15" s="2332"/>
      <c r="F15" s="635" t="s">
        <v>850</v>
      </c>
      <c r="G15" s="1748"/>
      <c r="H15" s="1743"/>
      <c r="I15" s="1743"/>
      <c r="J15" s="1744"/>
      <c r="K15" s="1744"/>
    </row>
    <row r="16" spans="1:11" x14ac:dyDescent="0.2">
      <c r="A16" s="2331" t="s">
        <v>295</v>
      </c>
      <c r="B16" s="2331"/>
      <c r="C16" s="2331"/>
      <c r="D16" s="2331"/>
      <c r="E16" s="2332"/>
      <c r="F16" s="635" t="s">
        <v>917</v>
      </c>
      <c r="G16" s="1749"/>
      <c r="H16" s="1745"/>
      <c r="I16" s="1745"/>
      <c r="J16" s="1747"/>
      <c r="K16" s="1747"/>
    </row>
    <row r="17" spans="1:15" x14ac:dyDescent="0.2">
      <c r="A17" s="2364" t="s">
        <v>929</v>
      </c>
      <c r="B17" s="2364"/>
      <c r="C17" s="2364"/>
      <c r="D17" s="2364"/>
      <c r="E17" s="2365"/>
      <c r="F17" s="636"/>
      <c r="G17" s="1758"/>
      <c r="H17" s="1759"/>
      <c r="I17" s="1759"/>
      <c r="J17" s="1760"/>
      <c r="K17" s="1761"/>
    </row>
    <row r="18" spans="1:15" x14ac:dyDescent="0.2">
      <c r="A18" s="2341" t="s">
        <v>365</v>
      </c>
      <c r="B18" s="2342"/>
      <c r="C18" s="2342"/>
      <c r="D18" s="2342"/>
      <c r="E18" s="2343"/>
      <c r="F18" s="635" t="s">
        <v>926</v>
      </c>
      <c r="G18" s="1752"/>
      <c r="H18" s="1752"/>
      <c r="I18" s="1752"/>
      <c r="J18" s="1744">
        <v>129357</v>
      </c>
      <c r="K18" s="1762"/>
    </row>
    <row r="19" spans="1:15" ht="21.75" customHeight="1" x14ac:dyDescent="0.2">
      <c r="A19" s="2339" t="s">
        <v>1784</v>
      </c>
      <c r="B19" s="2339"/>
      <c r="C19" s="2339"/>
      <c r="D19" s="2339"/>
      <c r="E19" s="2340"/>
      <c r="F19" s="635" t="s">
        <v>927</v>
      </c>
      <c r="G19" s="1752"/>
      <c r="H19" s="1752"/>
      <c r="I19" s="1752"/>
      <c r="J19" s="1744">
        <v>205000</v>
      </c>
      <c r="K19" s="1762"/>
    </row>
    <row r="20" spans="1:15" x14ac:dyDescent="0.2">
      <c r="A20" s="2341" t="s">
        <v>1789</v>
      </c>
      <c r="B20" s="2342"/>
      <c r="C20" s="2342"/>
      <c r="D20" s="2342"/>
      <c r="E20" s="2343"/>
      <c r="F20" s="635" t="s">
        <v>928</v>
      </c>
      <c r="G20" s="1752"/>
      <c r="H20" s="1752"/>
      <c r="I20" s="1752"/>
      <c r="J20" s="1744">
        <v>375</v>
      </c>
      <c r="K20" s="1762"/>
    </row>
    <row r="21" spans="1:15" ht="13.5" thickBot="1" x14ac:dyDescent="0.25">
      <c r="A21" s="2360" t="s">
        <v>633</v>
      </c>
      <c r="B21" s="2360"/>
      <c r="C21" s="2360"/>
      <c r="D21" s="2360"/>
      <c r="E21" s="2360"/>
      <c r="F21" s="1433"/>
      <c r="G21" s="1759"/>
      <c r="H21" s="1763"/>
      <c r="I21" s="1763"/>
      <c r="J21" s="1764">
        <f>SUM(J18:J20)</f>
        <v>334732</v>
      </c>
      <c r="K21" s="1760"/>
    </row>
    <row r="22" spans="1:15" ht="13.5" thickTop="1" x14ac:dyDescent="0.2">
      <c r="A22" s="2331" t="s">
        <v>1790</v>
      </c>
      <c r="B22" s="2331"/>
      <c r="C22" s="2331"/>
      <c r="D22" s="2331"/>
      <c r="E22" s="2332"/>
      <c r="F22" s="635" t="s">
        <v>857</v>
      </c>
      <c r="G22" s="1752"/>
      <c r="H22" s="1743"/>
      <c r="I22" s="1743"/>
      <c r="J22" s="1765"/>
      <c r="K22" s="1744"/>
    </row>
    <row r="23" spans="1:15" ht="13.5" thickBot="1" x14ac:dyDescent="0.25">
      <c r="A23" s="2361" t="s">
        <v>900</v>
      </c>
      <c r="B23" s="2360"/>
      <c r="C23" s="2360"/>
      <c r="D23" s="2360"/>
      <c r="E23" s="2360"/>
      <c r="F23" s="1435"/>
      <c r="G23" s="1754">
        <f>SUM(G14:G16,G21,G22)</f>
        <v>0</v>
      </c>
      <c r="H23" s="1754">
        <f>SUM(H14:H16,H21,H22)</f>
        <v>34452</v>
      </c>
      <c r="I23" s="1754">
        <f>SUM(I14:I16,I21,I22)</f>
        <v>0</v>
      </c>
      <c r="J23" s="1754">
        <f>SUM(J14:J16,J21,J22)</f>
        <v>334732</v>
      </c>
      <c r="K23" s="1754">
        <f>SUM(K14:K16,K21,K22)</f>
        <v>3605</v>
      </c>
      <c r="M23" s="1845"/>
      <c r="N23" s="1845"/>
      <c r="O23" s="1845"/>
    </row>
    <row r="24" spans="1:15" ht="14.25" thickTop="1" thickBot="1" x14ac:dyDescent="0.25">
      <c r="A24" s="2362" t="str">
        <f>"Ending Cash Basis Fund Balance as of June 30, "&amp;'AFR20'!E2</f>
        <v>Ending Cash Basis Fund Balance as of June 30, 2020</v>
      </c>
      <c r="B24" s="2363"/>
      <c r="C24" s="2363"/>
      <c r="D24" s="2363"/>
      <c r="E24" s="2363"/>
      <c r="F24" s="1436"/>
      <c r="G24" s="1766">
        <f>SUM(G3,G12)-G23</f>
        <v>0</v>
      </c>
      <c r="H24" s="1766">
        <f>SUM(H3,H12)-H23</f>
        <v>0</v>
      </c>
      <c r="I24" s="1766">
        <f>SUM(I3,I12)-I23</f>
        <v>0</v>
      </c>
      <c r="J24" s="1766">
        <f>SUM(J3,J12)-J23</f>
        <v>671999</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v>671999</v>
      </c>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1785</v>
      </c>
      <c r="B46" s="382" t="s">
        <v>1656</v>
      </c>
    </row>
    <row r="47" spans="1:11" s="663" customFormat="1" ht="12.75" customHeight="1" x14ac:dyDescent="0.2">
      <c r="A47" s="661"/>
      <c r="B47" s="662" t="s">
        <v>1657</v>
      </c>
      <c r="E47" s="662"/>
      <c r="K47" s="664"/>
    </row>
    <row r="48" spans="1:11" ht="12.75" customHeight="1" x14ac:dyDescent="0.2">
      <c r="A48" s="1299"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3" sqref="A13: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1873</v>
      </c>
      <c r="B1" s="2369"/>
      <c r="C1" s="2370"/>
      <c r="D1" s="666"/>
      <c r="E1" s="667"/>
      <c r="F1" s="667"/>
      <c r="G1" s="668"/>
      <c r="H1" s="669"/>
      <c r="I1" s="670"/>
      <c r="J1" s="2366"/>
      <c r="K1" s="2367"/>
      <c r="L1" s="2367"/>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289973</v>
      </c>
      <c r="D5" s="1769">
        <v>1103</v>
      </c>
      <c r="E5" s="1769"/>
      <c r="F5" s="1764">
        <f>(C5+D5)-E5</f>
        <v>291076</v>
      </c>
      <c r="G5" s="676"/>
      <c r="H5" s="680"/>
      <c r="I5" s="680"/>
      <c r="J5" s="680"/>
      <c r="K5" s="637"/>
      <c r="L5" s="1441">
        <f>F5-K5</f>
        <v>291076</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18066743</v>
      </c>
      <c r="D8" s="1770">
        <f>2844018+579218</f>
        <v>3423236</v>
      </c>
      <c r="E8" s="1770"/>
      <c r="F8" s="1764">
        <f>(C8+D8)-E8</f>
        <v>21489979</v>
      </c>
      <c r="G8" s="681">
        <v>50</v>
      </c>
      <c r="H8" s="619">
        <v>8278021</v>
      </c>
      <c r="I8" s="619">
        <v>429800</v>
      </c>
      <c r="J8" s="619"/>
      <c r="K8" s="1441">
        <f>(H8+I8)-J8</f>
        <v>8707821</v>
      </c>
      <c r="L8" s="1441">
        <f>F8-K8</f>
        <v>12782158</v>
      </c>
    </row>
    <row r="9" spans="1:14" ht="14.25" thickTop="1" thickBot="1" x14ac:dyDescent="0.25">
      <c r="A9" s="629" t="s">
        <v>1109</v>
      </c>
      <c r="B9" s="679">
        <v>232</v>
      </c>
      <c r="C9" s="1744">
        <v>2630</v>
      </c>
      <c r="D9" s="1744"/>
      <c r="E9" s="1744"/>
      <c r="F9" s="1764">
        <f>(C9+D9)-E9</f>
        <v>2630</v>
      </c>
      <c r="G9" s="681">
        <v>20</v>
      </c>
      <c r="H9" s="619">
        <v>396</v>
      </c>
      <c r="I9" s="619">
        <v>130</v>
      </c>
      <c r="J9" s="619"/>
      <c r="K9" s="1441">
        <f>(H9+I9)-J9</f>
        <v>526</v>
      </c>
      <c r="L9" s="1441">
        <f>F9-K9</f>
        <v>2104</v>
      </c>
    </row>
    <row r="10" spans="1:14" ht="24" thickTop="1" thickBot="1" x14ac:dyDescent="0.25">
      <c r="A10" s="682" t="s">
        <v>1110</v>
      </c>
      <c r="B10" s="679">
        <v>240</v>
      </c>
      <c r="C10" s="1771">
        <v>857506</v>
      </c>
      <c r="D10" s="1771">
        <v>11221</v>
      </c>
      <c r="E10" s="1771"/>
      <c r="F10" s="1772">
        <f>(C10+D10)-E10</f>
        <v>868727</v>
      </c>
      <c r="G10" s="681">
        <v>20</v>
      </c>
      <c r="H10" s="683">
        <v>565986</v>
      </c>
      <c r="I10" s="683">
        <v>23152</v>
      </c>
      <c r="J10" s="683"/>
      <c r="K10" s="1441">
        <f>(H10+I10)-J10</f>
        <v>589138</v>
      </c>
      <c r="L10" s="1441">
        <f>F10-K10</f>
        <v>279589</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5344407</v>
      </c>
      <c r="D12" s="1770">
        <v>112211</v>
      </c>
      <c r="E12" s="1770"/>
      <c r="F12" s="1764">
        <f>(C12+D12)-E12</f>
        <v>5456618</v>
      </c>
      <c r="G12" s="681">
        <v>10</v>
      </c>
      <c r="H12" s="619">
        <v>4401401</v>
      </c>
      <c r="I12" s="619">
        <v>188750</v>
      </c>
      <c r="J12" s="619"/>
      <c r="K12" s="1441">
        <f>(H12+I12)-J12</f>
        <v>4590151</v>
      </c>
      <c r="L12" s="1441">
        <f>F12-K12</f>
        <v>866467</v>
      </c>
    </row>
    <row r="13" spans="1:14" ht="14.25" thickTop="1" thickBot="1" x14ac:dyDescent="0.25">
      <c r="A13" s="684" t="s">
        <v>1112</v>
      </c>
      <c r="B13" s="679">
        <v>252</v>
      </c>
      <c r="C13" s="1770">
        <v>203718</v>
      </c>
      <c r="D13" s="1770">
        <v>5000</v>
      </c>
      <c r="E13" s="1770"/>
      <c r="F13" s="1764">
        <f>(C13+D13)-E13</f>
        <v>208718</v>
      </c>
      <c r="G13" s="681">
        <v>5</v>
      </c>
      <c r="H13" s="619">
        <v>192642</v>
      </c>
      <c r="I13" s="619">
        <v>6251</v>
      </c>
      <c r="J13" s="619"/>
      <c r="K13" s="1441">
        <f>(H13+I13)-J13</f>
        <v>198893</v>
      </c>
      <c r="L13" s="1441">
        <f>F13-K13</f>
        <v>9825</v>
      </c>
    </row>
    <row r="14" spans="1:14" ht="14.25" thickTop="1" thickBot="1" x14ac:dyDescent="0.25">
      <c r="A14" s="684" t="s">
        <v>1113</v>
      </c>
      <c r="B14" s="679">
        <v>253</v>
      </c>
      <c r="C14" s="1744">
        <v>1193</v>
      </c>
      <c r="D14" s="1744">
        <v>1848</v>
      </c>
      <c r="E14" s="1744"/>
      <c r="F14" s="1764">
        <f>(C14+D14)-E14</f>
        <v>3041</v>
      </c>
      <c r="G14" s="681">
        <v>3</v>
      </c>
      <c r="H14" s="619">
        <v>1193</v>
      </c>
      <c r="I14" s="619">
        <v>616</v>
      </c>
      <c r="J14" s="619"/>
      <c r="K14" s="1441">
        <f>(H14+I14)-J14</f>
        <v>1809</v>
      </c>
      <c r="L14" s="1441">
        <f>F14-K14</f>
        <v>1232</v>
      </c>
    </row>
    <row r="15" spans="1:14" ht="15" customHeight="1" thickTop="1" thickBot="1" x14ac:dyDescent="0.25">
      <c r="A15" s="1365" t="s">
        <v>525</v>
      </c>
      <c r="B15" s="1364">
        <v>260</v>
      </c>
      <c r="C15" s="1770">
        <v>579218</v>
      </c>
      <c r="D15" s="1770"/>
      <c r="E15" s="1770">
        <v>579218</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25345388</v>
      </c>
      <c r="D16" s="1764">
        <f>SUM(D3,D5:D6,D8:D10,D12:D15)</f>
        <v>3554619</v>
      </c>
      <c r="E16" s="1764">
        <f>SUM(E3,E5:E6,E8:E10,E12:E15)</f>
        <v>579218</v>
      </c>
      <c r="F16" s="1764">
        <f>SUM(F3,F5:F6,F8:F10,F12:F15)</f>
        <v>28320789</v>
      </c>
      <c r="G16" s="681"/>
      <c r="H16" s="1434">
        <f>SUM(H3,H6,H8:H10,H12:H14,)</f>
        <v>13439639</v>
      </c>
      <c r="I16" s="1434">
        <f>SUM(I3,I6,I8:I10,I12:I14,)</f>
        <v>648699</v>
      </c>
      <c r="J16" s="1434">
        <f>SUM(J3,J6,J8:J10,J12:J14,)</f>
        <v>0</v>
      </c>
      <c r="K16" s="1434">
        <f>(H16+I16)-J16</f>
        <v>14088338</v>
      </c>
      <c r="L16" s="1434">
        <f>F16-K16</f>
        <v>14232451</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648699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13" sqref="A13:H1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7224598</v>
      </c>
      <c r="G8" s="701"/>
    </row>
    <row r="9" spans="1:9" x14ac:dyDescent="0.2">
      <c r="A9" s="705" t="s">
        <v>457</v>
      </c>
      <c r="B9" s="706" t="s">
        <v>1846</v>
      </c>
      <c r="C9" s="707"/>
      <c r="D9" s="705" t="s">
        <v>498</v>
      </c>
      <c r="E9" s="704"/>
      <c r="F9" s="1774">
        <f>'Expenditures 15-22'!K151</f>
        <v>1023112</v>
      </c>
      <c r="G9" s="708"/>
    </row>
    <row r="10" spans="1:9" x14ac:dyDescent="0.2">
      <c r="A10" s="705" t="s">
        <v>496</v>
      </c>
      <c r="B10" s="706" t="s">
        <v>1847</v>
      </c>
      <c r="C10" s="707"/>
      <c r="D10" s="705" t="s">
        <v>498</v>
      </c>
      <c r="E10" s="704"/>
      <c r="F10" s="1774">
        <f>'Expenditures 15-22'!K174</f>
        <v>1037055</v>
      </c>
      <c r="G10" s="708"/>
    </row>
    <row r="11" spans="1:9" x14ac:dyDescent="0.2">
      <c r="A11" s="705" t="s">
        <v>458</v>
      </c>
      <c r="B11" s="706" t="s">
        <v>1848</v>
      </c>
      <c r="C11" s="707"/>
      <c r="D11" s="705" t="s">
        <v>498</v>
      </c>
      <c r="E11" s="704"/>
      <c r="F11" s="1774">
        <f>'Expenditures 15-22'!K210</f>
        <v>522909</v>
      </c>
      <c r="G11" s="708"/>
    </row>
    <row r="12" spans="1:9" x14ac:dyDescent="0.2">
      <c r="A12" s="705" t="s">
        <v>459</v>
      </c>
      <c r="B12" s="706" t="s">
        <v>1849</v>
      </c>
      <c r="C12" s="707"/>
      <c r="D12" s="705" t="s">
        <v>498</v>
      </c>
      <c r="E12" s="704"/>
      <c r="F12" s="1774">
        <f>'Expenditures 15-22'!K295</f>
        <v>298153</v>
      </c>
      <c r="G12" s="708"/>
    </row>
    <row r="13" spans="1:9" x14ac:dyDescent="0.2">
      <c r="A13" s="705" t="s">
        <v>106</v>
      </c>
      <c r="B13" s="706" t="s">
        <v>1850</v>
      </c>
      <c r="C13" s="707"/>
      <c r="D13" s="705" t="s">
        <v>498</v>
      </c>
      <c r="E13" s="704"/>
      <c r="F13" s="1774">
        <f>'Expenditures 15-22'!K342</f>
        <v>854349</v>
      </c>
      <c r="G13" s="709"/>
    </row>
    <row r="14" spans="1:9" ht="12" customHeight="1" thickBot="1" x14ac:dyDescent="0.25">
      <c r="A14" s="1442"/>
      <c r="B14" s="1443"/>
      <c r="C14" s="1444"/>
      <c r="D14" s="1445" t="s">
        <v>498</v>
      </c>
      <c r="E14" s="1446" t="s">
        <v>952</v>
      </c>
      <c r="F14" s="1775">
        <f>SUM(F8:F13)</f>
        <v>10960176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2">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1907</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183305</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149</v>
      </c>
      <c r="G52" s="701"/>
    </row>
    <row r="53" spans="1:7" x14ac:dyDescent="0.2">
      <c r="A53" s="705" t="s">
        <v>456</v>
      </c>
      <c r="B53" s="705" t="s">
        <v>1458</v>
      </c>
      <c r="C53" s="724">
        <f>'Expenditures 15-22'!B102</f>
        <v>4000</v>
      </c>
      <c r="D53" s="723" t="str">
        <f>'Expenditures 15-22'!A102</f>
        <v>Total Payments to Other Govt Units</v>
      </c>
      <c r="E53" s="704"/>
      <c r="F53" s="1781">
        <f>'Expenditures 15-22'!K102</f>
        <v>142391</v>
      </c>
      <c r="G53" s="701"/>
    </row>
    <row r="54" spans="1:7" x14ac:dyDescent="0.2">
      <c r="A54" s="705" t="s">
        <v>456</v>
      </c>
      <c r="B54" s="705" t="s">
        <v>1459</v>
      </c>
      <c r="C54" s="724" t="s">
        <v>975</v>
      </c>
      <c r="D54" s="720" t="s">
        <v>1086</v>
      </c>
      <c r="E54" s="704"/>
      <c r="F54" s="1781">
        <f>'Expenditures 15-22'!G114</f>
        <v>75883</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1">
        <f>'Expenditures 15-22'!K139</f>
        <v>0</v>
      </c>
      <c r="G57" s="701"/>
    </row>
    <row r="58" spans="1:7" x14ac:dyDescent="0.2">
      <c r="A58" s="705" t="s">
        <v>457</v>
      </c>
      <c r="B58" s="705" t="s">
        <v>1852</v>
      </c>
      <c r="C58" s="721" t="s">
        <v>975</v>
      </c>
      <c r="D58" s="720" t="s">
        <v>1086</v>
      </c>
      <c r="E58" s="704"/>
      <c r="F58" s="1783">
        <f>'Expenditures 15-22'!G151</f>
        <v>672803</v>
      </c>
      <c r="G58" s="701"/>
    </row>
    <row r="59" spans="1:7" x14ac:dyDescent="0.2">
      <c r="A59" s="728" t="s">
        <v>457</v>
      </c>
      <c r="B59" s="692" t="s">
        <v>1853</v>
      </c>
      <c r="C59" s="729" t="s">
        <v>975</v>
      </c>
      <c r="D59" s="692" t="s">
        <v>288</v>
      </c>
      <c r="F59" s="1784">
        <f>'Expenditures 15-22'!I151</f>
        <v>0</v>
      </c>
      <c r="G59" s="701"/>
    </row>
    <row r="60" spans="1:7" x14ac:dyDescent="0.2">
      <c r="A60" s="728" t="s">
        <v>496</v>
      </c>
      <c r="B60" s="692" t="s">
        <v>1854</v>
      </c>
      <c r="C60" s="729">
        <v>4000</v>
      </c>
      <c r="D60" s="692" t="s">
        <v>309</v>
      </c>
      <c r="F60" s="1782">
        <f>'Expenditures 15-22'!K160</f>
        <v>0</v>
      </c>
      <c r="G60" s="701"/>
    </row>
    <row r="61" spans="1:7" x14ac:dyDescent="0.2">
      <c r="A61" s="730" t="s">
        <v>496</v>
      </c>
      <c r="B61" s="730" t="s">
        <v>1855</v>
      </c>
      <c r="C61" s="731" t="str">
        <f>'Expenditures 15-22'!B170</f>
        <v>5300</v>
      </c>
      <c r="D61" s="732" t="s">
        <v>308</v>
      </c>
      <c r="E61" s="715"/>
      <c r="F61" s="1781">
        <f>'Expenditures 15-22'!K170</f>
        <v>725000</v>
      </c>
      <c r="G61" s="701"/>
    </row>
    <row r="62" spans="1:7" x14ac:dyDescent="0.2">
      <c r="A62" s="705" t="s">
        <v>458</v>
      </c>
      <c r="B62" s="705" t="s">
        <v>1856</v>
      </c>
      <c r="C62" s="721">
        <f>'Expenditures 15-22'!B185</f>
        <v>3000</v>
      </c>
      <c r="D62" s="712" t="s">
        <v>446</v>
      </c>
      <c r="E62" s="704"/>
      <c r="F62" s="1781">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1858</v>
      </c>
      <c r="C64" s="731" t="str">
        <f>'Expenditures 15-22'!B206</f>
        <v>5300</v>
      </c>
      <c r="D64" s="727" t="s">
        <v>308</v>
      </c>
      <c r="E64" s="704"/>
      <c r="F64" s="1781">
        <f>'Expenditures 15-22'!K206</f>
        <v>0</v>
      </c>
      <c r="G64" s="701"/>
    </row>
    <row r="65" spans="1:9" x14ac:dyDescent="0.2">
      <c r="A65" s="705" t="s">
        <v>458</v>
      </c>
      <c r="B65" s="705" t="s">
        <v>1859</v>
      </c>
      <c r="C65" s="721" t="s">
        <v>975</v>
      </c>
      <c r="D65" s="720" t="s">
        <v>1086</v>
      </c>
      <c r="E65" s="704"/>
      <c r="F65" s="1781">
        <f>'Expenditures 15-22'!G210</f>
        <v>27988</v>
      </c>
      <c r="G65" s="701"/>
    </row>
    <row r="66" spans="1:9" x14ac:dyDescent="0.2">
      <c r="A66" s="705" t="s">
        <v>458</v>
      </c>
      <c r="B66" s="705" t="s">
        <v>1860</v>
      </c>
      <c r="C66" s="721" t="s">
        <v>975</v>
      </c>
      <c r="D66" s="720" t="s">
        <v>288</v>
      </c>
      <c r="E66" s="704"/>
      <c r="F66" s="1781">
        <f>'Expenditures 15-22'!I210</f>
        <v>0</v>
      </c>
      <c r="G66" s="701"/>
    </row>
    <row r="67" spans="1:9" x14ac:dyDescent="0.2">
      <c r="A67" s="705" t="s">
        <v>459</v>
      </c>
      <c r="B67" s="705" t="s">
        <v>1861</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1863</v>
      </c>
      <c r="C70" s="721">
        <f>'Expenditures 15-22'!B221</f>
        <v>1300</v>
      </c>
      <c r="D70" s="722" t="str">
        <f>'Expenditures 15-22'!A221</f>
        <v>Adult/Continuing Education Programs</v>
      </c>
      <c r="E70" s="704"/>
      <c r="F70" s="1781">
        <f>'Expenditures 15-22'!K221</f>
        <v>0</v>
      </c>
      <c r="G70" s="701"/>
    </row>
    <row r="71" spans="1:9" x14ac:dyDescent="0.2">
      <c r="A71" s="705" t="s">
        <v>459</v>
      </c>
      <c r="B71" s="705" t="s">
        <v>1864</v>
      </c>
      <c r="C71" s="721">
        <f>'Expenditures 15-22'!B224</f>
        <v>1600</v>
      </c>
      <c r="D71" s="722" t="str">
        <f>'Expenditures 15-22'!A224</f>
        <v>Summer School Programs</v>
      </c>
      <c r="E71" s="704"/>
      <c r="F71" s="1781">
        <f>'Expenditures 15-22'!K224</f>
        <v>0</v>
      </c>
      <c r="G71" s="701"/>
    </row>
    <row r="72" spans="1:9" x14ac:dyDescent="0.2">
      <c r="A72" s="705" t="s">
        <v>459</v>
      </c>
      <c r="B72" s="705" t="s">
        <v>1865</v>
      </c>
      <c r="C72" s="721">
        <f>'Expenditures 15-22'!B280</f>
        <v>3000</v>
      </c>
      <c r="D72" s="712" t="s">
        <v>446</v>
      </c>
      <c r="E72" s="704"/>
      <c r="F72" s="1781">
        <f>'Expenditures 15-22'!K280</f>
        <v>18226</v>
      </c>
      <c r="G72" s="701"/>
    </row>
    <row r="73" spans="1:9" x14ac:dyDescent="0.2">
      <c r="A73" s="705" t="s">
        <v>459</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1867</v>
      </c>
      <c r="C74" s="721" t="s">
        <v>855</v>
      </c>
      <c r="D74" s="722" t="s">
        <v>1470</v>
      </c>
      <c r="E74" s="704"/>
      <c r="F74" s="1785">
        <f>'Expenditures 15-22'!K334</f>
        <v>0</v>
      </c>
      <c r="G74" s="701"/>
    </row>
    <row r="75" spans="1:9" x14ac:dyDescent="0.2">
      <c r="A75" s="705" t="s">
        <v>2006</v>
      </c>
      <c r="B75" s="705" t="s">
        <v>2007</v>
      </c>
      <c r="C75" s="721" t="s">
        <v>975</v>
      </c>
      <c r="D75" s="722" t="s">
        <v>1086</v>
      </c>
      <c r="E75" s="704"/>
      <c r="F75" s="1785">
        <f>'Expenditures 15-22'!G342</f>
        <v>0</v>
      </c>
      <c r="G75" s="701"/>
    </row>
    <row r="76" spans="1:9" ht="10.5" customHeight="1" x14ac:dyDescent="0.2">
      <c r="A76" s="701" t="s">
        <v>433</v>
      </c>
      <c r="B76" s="705" t="s">
        <v>2008</v>
      </c>
      <c r="C76" s="711" t="s">
        <v>975</v>
      </c>
      <c r="D76" s="701" t="s">
        <v>288</v>
      </c>
      <c r="E76" s="704"/>
      <c r="F76" s="1785">
        <f>'Expenditures 15-22'!I342</f>
        <v>0</v>
      </c>
      <c r="G76" s="703"/>
    </row>
    <row r="77" spans="1:9" ht="12" thickBot="1" x14ac:dyDescent="0.25">
      <c r="A77" s="1442"/>
      <c r="B77" s="1447"/>
      <c r="C77" s="1444"/>
      <c r="D77" s="1448" t="s">
        <v>2009</v>
      </c>
      <c r="E77" s="1446" t="s">
        <v>952</v>
      </c>
      <c r="F77" s="1786">
        <f>SUM(F18:F76)</f>
        <v>1845745</v>
      </c>
      <c r="G77" s="701"/>
    </row>
    <row r="78" spans="1:9" s="728" customFormat="1" ht="12" customHeight="1" thickTop="1" thickBot="1" x14ac:dyDescent="0.25">
      <c r="A78" s="1449"/>
      <c r="B78" s="1447"/>
      <c r="C78" s="1444"/>
      <c r="D78" s="1448" t="s">
        <v>2010</v>
      </c>
      <c r="E78" s="1446"/>
      <c r="F78" s="1787">
        <f>(F14-F77)</f>
        <v>9114431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866.9</v>
      </c>
      <c r="G79" s="733"/>
      <c r="H79" s="705"/>
      <c r="I79" s="705"/>
    </row>
    <row r="80" spans="1:9" s="728" customFormat="1" ht="12" customHeight="1" thickBot="1" x14ac:dyDescent="0.25">
      <c r="A80" s="1451"/>
      <c r="B80" s="1447"/>
      <c r="C80" s="1444"/>
      <c r="D80" s="1448" t="s">
        <v>2011</v>
      </c>
      <c r="E80" s="1446" t="s">
        <v>952</v>
      </c>
      <c r="F80" s="1789">
        <f>IF(F79&gt;0,F78/F79," Complete Line 79")</f>
        <v>10513.82050986273</v>
      </c>
      <c r="G80" s="705"/>
    </row>
    <row r="81" spans="1:7" s="728" customFormat="1" ht="8.25" customHeight="1" thickTop="1" x14ac:dyDescent="0.2">
      <c r="A81" s="734"/>
      <c r="B81" s="705"/>
      <c r="C81" s="707"/>
      <c r="D81" s="735"/>
      <c r="E81" s="704"/>
      <c r="F81" s="1790"/>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788</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64207</v>
      </c>
      <c r="G95" s="745"/>
    </row>
    <row r="96" spans="1:7" x14ac:dyDescent="0.2">
      <c r="A96" s="741" t="s">
        <v>139</v>
      </c>
      <c r="B96" s="741" t="s">
        <v>174</v>
      </c>
      <c r="C96" s="743">
        <v>1700</v>
      </c>
      <c r="D96" s="751" t="str">
        <f>'Revenues 9-14'!A82</f>
        <v>Total District/School Activity Income</v>
      </c>
      <c r="E96" s="739"/>
      <c r="F96" s="1792">
        <f>SUM('Revenues 9-14'!C82,'Revenues 9-14'!D82)</f>
        <v>36474</v>
      </c>
      <c r="G96" s="745"/>
    </row>
    <row r="97" spans="1:7" x14ac:dyDescent="0.2">
      <c r="A97" s="741" t="s">
        <v>456</v>
      </c>
      <c r="B97" s="741" t="s">
        <v>175</v>
      </c>
      <c r="C97" s="743">
        <f>'Revenues 9-14'!B84</f>
        <v>1811</v>
      </c>
      <c r="D97" s="744" t="str">
        <f>'Revenues 9-14'!A84</f>
        <v>Rentals - Regular Textbooks</v>
      </c>
      <c r="E97" s="739"/>
      <c r="F97" s="1792">
        <f>'Revenues 9-14'!C84</f>
        <v>39390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1908</v>
      </c>
      <c r="C106" s="746">
        <v>3100</v>
      </c>
      <c r="D106" s="752" t="str">
        <f>'Revenues 9-14'!A132</f>
        <v>Total Special Education</v>
      </c>
      <c r="E106" s="739"/>
      <c r="F106" s="1792">
        <f>SUM('Revenues 9-14'!C132:D132,'Revenues 9-14'!F132)</f>
        <v>51588</v>
      </c>
      <c r="G106" s="745"/>
    </row>
    <row r="107" spans="1:7" x14ac:dyDescent="0.2">
      <c r="A107" s="741" t="s">
        <v>668</v>
      </c>
      <c r="B107" s="741" t="s">
        <v>1909</v>
      </c>
      <c r="C107" s="753">
        <v>3200</v>
      </c>
      <c r="D107" s="744" t="str">
        <f>'Revenues 9-14'!A141</f>
        <v>Total Career and Technical Education</v>
      </c>
      <c r="E107" s="739"/>
      <c r="F107" s="1792">
        <f>SUM('Revenues 9-14'!C141,'Revenues 9-14'!D141,'Revenues 9-14'!G141)</f>
        <v>11172</v>
      </c>
      <c r="G107" s="745"/>
    </row>
    <row r="108" spans="1:7" x14ac:dyDescent="0.2">
      <c r="A108" s="754" t="s">
        <v>659</v>
      </c>
      <c r="B108" s="741" t="s">
        <v>1910</v>
      </c>
      <c r="C108" s="753">
        <v>3300</v>
      </c>
      <c r="D108" s="744" t="str">
        <f>'Revenues 9-14'!A145</f>
        <v>Total Bilingual Ed</v>
      </c>
      <c r="E108" s="739"/>
      <c r="F108" s="1792">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2">
        <f>'Revenues 9-14'!C146</f>
        <v>4228</v>
      </c>
      <c r="G109" s="745"/>
    </row>
    <row r="110" spans="1:7" x14ac:dyDescent="0.2">
      <c r="A110" s="741" t="s">
        <v>668</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8426</v>
      </c>
      <c r="G111" s="745"/>
    </row>
    <row r="112" spans="1:7" x14ac:dyDescent="0.2">
      <c r="A112" s="741" t="s">
        <v>663</v>
      </c>
      <c r="B112" s="741" t="s">
        <v>1914</v>
      </c>
      <c r="C112" s="755">
        <v>3500</v>
      </c>
      <c r="D112" s="744" t="str">
        <f>'Revenues 9-14'!A155</f>
        <v>Total Transportation</v>
      </c>
      <c r="E112" s="739"/>
      <c r="F112" s="1792">
        <f>SUM('Revenues 9-14'!C155,'Revenues 9-14'!D155,'Revenues 9-14'!F155,'Revenues 9-14'!G155)</f>
        <v>227835</v>
      </c>
      <c r="G112" s="745"/>
    </row>
    <row r="113" spans="1:7" x14ac:dyDescent="0.2">
      <c r="A113" s="741" t="s">
        <v>456</v>
      </c>
      <c r="B113" s="741" t="s">
        <v>1915</v>
      </c>
      <c r="C113" s="753">
        <f>'Revenues 9-14'!B156</f>
        <v>3610</v>
      </c>
      <c r="D113" s="744" t="str">
        <f>'Revenues 9-14'!A156</f>
        <v>Learning Improvement - Change Grants</v>
      </c>
      <c r="E113" s="739"/>
      <c r="F113" s="1792">
        <f>'Revenues 9-14'!C156</f>
        <v>0</v>
      </c>
      <c r="G113" s="745"/>
    </row>
    <row r="114" spans="1:7" x14ac:dyDescent="0.2">
      <c r="A114" s="741" t="s">
        <v>663</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1">
        <f>SUM('Revenues 9-14'!C163:G163)</f>
        <v>0</v>
      </c>
      <c r="G119" s="745"/>
    </row>
    <row r="120" spans="1:7" x14ac:dyDescent="0.2">
      <c r="A120" s="756" t="s">
        <v>501</v>
      </c>
      <c r="B120" s="756" t="s">
        <v>1922</v>
      </c>
      <c r="C120" s="757">
        <f>'Revenues 9-14'!B164</f>
        <v>3815</v>
      </c>
      <c r="D120" s="758" t="str">
        <f>'Revenues 9-14'!A164</f>
        <v>State Charter Schools</v>
      </c>
      <c r="E120" s="739"/>
      <c r="F120" s="1791">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1924</v>
      </c>
      <c r="C122" s="761">
        <f>'Revenues 9-14'!B168</f>
        <v>3999</v>
      </c>
      <c r="D122" s="762" t="s">
        <v>540</v>
      </c>
      <c r="E122" s="764"/>
      <c r="F122" s="1792">
        <f>SUM('Revenues 9-14'!C168:G168,'Revenues 9-14'!J168)</f>
        <v>750</v>
      </c>
      <c r="G122" s="763"/>
    </row>
    <row r="123" spans="1:7" x14ac:dyDescent="0.2">
      <c r="A123" s="760" t="s">
        <v>456</v>
      </c>
      <c r="B123" s="760" t="s">
        <v>1925</v>
      </c>
      <c r="C123" s="765">
        <f>'Revenues 9-14'!B177</f>
        <v>4045</v>
      </c>
      <c r="D123" s="762" t="str">
        <f>'Revenues 9-14'!A177 &amp; " (Subtract)"</f>
        <v>Head Start (Subtract)</v>
      </c>
      <c r="E123" s="739"/>
      <c r="F123" s="1792">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1927</v>
      </c>
      <c r="C125" s="765">
        <v>4100</v>
      </c>
      <c r="D125" s="766" t="str">
        <f>'Revenues 9-14'!A188</f>
        <v>Total Title V</v>
      </c>
      <c r="E125" s="739"/>
      <c r="F125" s="1792">
        <f>SUM('Revenues 9-14'!C188,'Revenues 9-14'!D188,'Revenues 9-14'!F188,'Revenues 9-14'!G188)</f>
        <v>17533</v>
      </c>
      <c r="G125" s="763"/>
    </row>
    <row r="126" spans="1:7" x14ac:dyDescent="0.2">
      <c r="A126" s="760" t="s">
        <v>659</v>
      </c>
      <c r="B126" s="760" t="s">
        <v>1928</v>
      </c>
      <c r="C126" s="765">
        <v>4200</v>
      </c>
      <c r="D126" s="762" t="str">
        <f>'Revenues 9-14'!A198</f>
        <v>Total Food Service</v>
      </c>
      <c r="E126" s="739"/>
      <c r="F126" s="1792">
        <f>SUM('Revenues 9-14'!C198,'Revenues 9-14'!G198)</f>
        <v>325066</v>
      </c>
      <c r="G126" s="763"/>
    </row>
    <row r="127" spans="1:7" x14ac:dyDescent="0.2">
      <c r="A127" s="760" t="s">
        <v>663</v>
      </c>
      <c r="B127" s="760" t="s">
        <v>1929</v>
      </c>
      <c r="C127" s="765">
        <v>4300</v>
      </c>
      <c r="D127" s="766" t="str">
        <f>'Revenues 9-14'!A204</f>
        <v>Total Title I</v>
      </c>
      <c r="E127" s="739"/>
      <c r="F127" s="1792">
        <f>SUM('Revenues 9-14'!C204,'Revenues 9-14'!D204,'Revenues 9-14'!F204,'Revenues 9-14'!G204)</f>
        <v>368753</v>
      </c>
      <c r="G127" s="763"/>
    </row>
    <row r="128" spans="1:7" x14ac:dyDescent="0.2">
      <c r="A128" s="760" t="s">
        <v>663</v>
      </c>
      <c r="B128" s="760" t="s">
        <v>1930</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92">
        <f>SUM('Revenues 9-14'!C213:D213,'Revenues 9-14'!F213:G213)</f>
        <v>167072</v>
      </c>
      <c r="G129" s="763"/>
    </row>
    <row r="130" spans="1:7" x14ac:dyDescent="0.2">
      <c r="A130" s="760" t="s">
        <v>663</v>
      </c>
      <c r="B130" s="760" t="s">
        <v>1932</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1934</v>
      </c>
      <c r="C133" s="765">
        <v>4700</v>
      </c>
      <c r="D133" s="762" t="str">
        <f>'Revenues 9-14'!A221</f>
        <v>Total CTE - Perkins</v>
      </c>
      <c r="E133" s="739"/>
      <c r="F133" s="1792">
        <f>SUM('Revenues 9-14'!C221,'Revenues 9-14'!D221,'Revenues 9-14'!G221)</f>
        <v>6266</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47144</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1949</v>
      </c>
      <c r="C158" s="773" t="s">
        <v>836</v>
      </c>
      <c r="D158" s="774" t="s">
        <v>772</v>
      </c>
      <c r="E158" s="775"/>
      <c r="F158" s="1792">
        <f>SUM(F134:F157)</f>
        <v>47144</v>
      </c>
      <c r="G158" s="738"/>
    </row>
    <row r="159" spans="1:7" s="703" customFormat="1" x14ac:dyDescent="0.2">
      <c r="A159" s="771" t="s">
        <v>456</v>
      </c>
      <c r="B159" s="772" t="s">
        <v>1950</v>
      </c>
      <c r="C159" s="773" t="s">
        <v>1410</v>
      </c>
      <c r="D159" s="774" t="s">
        <v>1411</v>
      </c>
      <c r="E159" s="775"/>
      <c r="F159" s="1792">
        <f>SUM('Revenues 9-14'!C253)</f>
        <v>0</v>
      </c>
      <c r="G159" s="738"/>
    </row>
    <row r="160" spans="1:7" s="703" customFormat="1" x14ac:dyDescent="0.2">
      <c r="A160" s="771" t="s">
        <v>497</v>
      </c>
      <c r="B160" s="772" t="s">
        <v>1951</v>
      </c>
      <c r="C160" s="773" t="s">
        <v>1449</v>
      </c>
      <c r="D160" s="774" t="s">
        <v>1450</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1">
        <f>SUM('Revenues 9-14'!C259,'Revenues 9-14'!D259,'Revenues 9-14'!F259,'Revenues 9-14'!G259)</f>
        <v>60901</v>
      </c>
      <c r="G165" s="763"/>
    </row>
    <row r="166" spans="1:7" x14ac:dyDescent="0.2">
      <c r="A166" s="760" t="s">
        <v>663</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2">
        <f>SUM('Revenues 9-14'!C263:D263,'Revenues 9-14'!F263:G263)</f>
        <v>23235</v>
      </c>
      <c r="G169" s="780">
        <v>6320</v>
      </c>
    </row>
    <row r="170" spans="1:7" x14ac:dyDescent="0.2">
      <c r="A170" s="760" t="s">
        <v>663</v>
      </c>
      <c r="B170" s="760" t="s">
        <v>1959</v>
      </c>
      <c r="C170" s="765">
        <f>'Revenues 9-14'!B264</f>
        <v>4992</v>
      </c>
      <c r="D170" s="766" t="str">
        <f>'Revenues 9-14'!A264</f>
        <v>Medicaid Matching Funds - Fee-for-Service Program</v>
      </c>
      <c r="E170" s="739"/>
      <c r="F170" s="1792">
        <f>SUM('Revenues 9-14'!C264:D264,'Revenues 9-14'!F264:G264)</f>
        <v>68870</v>
      </c>
      <c r="G170" s="780"/>
    </row>
    <row r="171" spans="1:7" x14ac:dyDescent="0.2">
      <c r="A171" s="781" t="s">
        <v>663</v>
      </c>
      <c r="B171" s="777" t="s">
        <v>1960</v>
      </c>
      <c r="C171" s="778">
        <f>'Revenues 9-14'!B265</f>
        <v>4998</v>
      </c>
      <c r="D171" s="779" t="str">
        <f>'Revenues 9-14'!A265</f>
        <v>Other Restricted Revenue from Federal Sources (Describe &amp; Itemize)</v>
      </c>
      <c r="E171" s="739"/>
      <c r="F171" s="1792">
        <f>SUM('Revenues 9-14'!C265:D265,'Revenues 9-14'!F265:G265)</f>
        <v>44566</v>
      </c>
      <c r="G171" s="760"/>
    </row>
    <row r="172" spans="1:7" x14ac:dyDescent="0.2">
      <c r="A172" s="1528" t="s">
        <v>5</v>
      </c>
      <c r="B172" s="1529" t="s">
        <v>1883</v>
      </c>
      <c r="C172" s="1530">
        <v>3100</v>
      </c>
      <c r="D172" s="1531" t="s">
        <v>1885</v>
      </c>
      <c r="E172" s="739"/>
      <c r="F172" s="1793">
        <v>391877</v>
      </c>
      <c r="G172" s="760"/>
    </row>
    <row r="173" spans="1:7" x14ac:dyDescent="0.2">
      <c r="A173" s="1528" t="s">
        <v>659</v>
      </c>
      <c r="B173" s="1529" t="s">
        <v>1883</v>
      </c>
      <c r="C173" s="1530">
        <v>3300</v>
      </c>
      <c r="D173" s="1531" t="s">
        <v>1886</v>
      </c>
      <c r="E173" s="739"/>
      <c r="F173" s="1793">
        <v>383265</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952</v>
      </c>
      <c r="F175" s="1795">
        <f>SUM(F85:F133,F158:F173)</f>
        <v>2399406</v>
      </c>
    </row>
    <row r="176" spans="1:7" ht="12" customHeight="1" x14ac:dyDescent="0.2">
      <c r="A176" s="1442"/>
      <c r="B176" s="1452"/>
      <c r="C176" s="1453"/>
      <c r="D176" s="1454" t="s">
        <v>2012</v>
      </c>
      <c r="E176" s="1455"/>
      <c r="F176" s="1792">
        <f>'PCTC-OEPP 27-28'!F78-F175</f>
        <v>6715025</v>
      </c>
    </row>
    <row r="177" spans="1:9" ht="12" customHeight="1" x14ac:dyDescent="0.2">
      <c r="A177" s="1442"/>
      <c r="B177" s="1452"/>
      <c r="C177" s="1453"/>
      <c r="D177" s="1454" t="s">
        <v>1792</v>
      </c>
      <c r="E177" s="1455"/>
      <c r="F177" s="1792">
        <f>'Cap Outlay Deprec 26'!I18</f>
        <v>648699</v>
      </c>
    </row>
    <row r="178" spans="1:9" ht="12" customHeight="1" x14ac:dyDescent="0.2">
      <c r="A178" s="1442"/>
      <c r="B178" s="1452"/>
      <c r="C178" s="1453"/>
      <c r="D178" s="1454" t="s">
        <v>2013</v>
      </c>
      <c r="E178" s="1455"/>
      <c r="F178" s="1792">
        <f>F176+F177</f>
        <v>7363724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866.9</v>
      </c>
      <c r="G179" s="763"/>
      <c r="I179" s="701"/>
    </row>
    <row r="180" spans="1:9" ht="12" customHeight="1" thickBot="1" x14ac:dyDescent="0.25">
      <c r="A180" s="1442"/>
      <c r="B180" s="1456"/>
      <c r="C180" s="1453"/>
      <c r="D180" s="1454" t="s">
        <v>2015</v>
      </c>
      <c r="E180" s="1455" t="s">
        <v>1528</v>
      </c>
      <c r="F180" s="1797">
        <f>F178/F179</f>
        <v>8494.3176837005431</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6"/>
  <sheetViews>
    <sheetView showGridLines="0" topLeftCell="A4"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1805</v>
      </c>
      <c r="B1" s="1859"/>
      <c r="C1" s="1860"/>
      <c r="D1" s="1860"/>
      <c r="E1" s="1860"/>
      <c r="F1" s="1860"/>
    </row>
    <row r="2" spans="1:6" x14ac:dyDescent="0.25">
      <c r="A2" s="1862"/>
      <c r="B2" s="1863"/>
      <c r="C2" s="1911" t="s">
        <v>2001</v>
      </c>
      <c r="D2" s="1862"/>
      <c r="E2" s="1862"/>
      <c r="F2" s="1862"/>
    </row>
    <row r="3" spans="1:6" ht="5.25" customHeight="1" x14ac:dyDescent="0.25">
      <c r="A3" s="1864"/>
      <c r="B3" s="1865"/>
      <c r="C3" s="1864"/>
      <c r="D3" s="1864"/>
      <c r="E3" s="1864"/>
      <c r="F3" s="1864"/>
    </row>
    <row r="4" spans="1:6" ht="18.75" customHeight="1" x14ac:dyDescent="0.25">
      <c r="A4" s="2385" t="s">
        <v>1793</v>
      </c>
      <c r="B4" s="2386"/>
      <c r="C4" s="2386"/>
      <c r="D4" s="2386"/>
      <c r="E4" s="2386"/>
      <c r="F4" s="2387"/>
    </row>
    <row r="5" spans="1:6" x14ac:dyDescent="0.25">
      <c r="A5" s="2388"/>
      <c r="B5" s="2389"/>
      <c r="C5" s="2389"/>
      <c r="D5" s="2389"/>
      <c r="E5" s="2389"/>
      <c r="F5" s="2390"/>
    </row>
    <row r="6" spans="1:6" ht="18.75" x14ac:dyDescent="0.25">
      <c r="A6" s="1866" t="s">
        <v>1794</v>
      </c>
      <c r="B6" s="1867"/>
      <c r="C6" s="1868"/>
      <c r="D6" s="1868"/>
      <c r="E6" s="1868"/>
      <c r="F6" s="1869"/>
    </row>
    <row r="7" spans="1:6" ht="47.25" customHeight="1" x14ac:dyDescent="0.25">
      <c r="A7" s="2391" t="s">
        <v>1983</v>
      </c>
      <c r="B7" s="2392"/>
      <c r="C7" s="2392"/>
      <c r="D7" s="2392"/>
      <c r="E7" s="2392"/>
      <c r="F7" s="2393"/>
    </row>
    <row r="8" spans="1:6" ht="20.25" customHeight="1" x14ac:dyDescent="0.25">
      <c r="A8" s="1900" t="s">
        <v>1985</v>
      </c>
      <c r="B8" s="1901"/>
      <c r="C8" s="1901"/>
      <c r="D8" s="1901"/>
      <c r="E8" s="1870"/>
      <c r="F8" s="1871"/>
    </row>
    <row r="9" spans="1:6" ht="18" customHeight="1" x14ac:dyDescent="0.25">
      <c r="A9" s="1872" t="s">
        <v>1982</v>
      </c>
      <c r="B9" s="1874"/>
      <c r="C9" s="1874"/>
      <c r="D9" s="1874"/>
      <c r="E9" s="1870"/>
      <c r="F9" s="1871"/>
    </row>
    <row r="10" spans="1:6" ht="15.75" customHeight="1" x14ac:dyDescent="0.25">
      <c r="A10" s="2394" t="s">
        <v>1979</v>
      </c>
      <c r="B10" s="2395"/>
      <c r="C10" s="2395"/>
      <c r="D10" s="2395"/>
      <c r="E10" s="2395"/>
      <c r="F10" s="2396"/>
    </row>
    <row r="11" spans="1:6" ht="33" customHeight="1" x14ac:dyDescent="0.25">
      <c r="A11" s="2391" t="s">
        <v>1984</v>
      </c>
      <c r="B11" s="2392"/>
      <c r="C11" s="2392"/>
      <c r="D11" s="2392"/>
      <c r="E11" s="2392"/>
      <c r="F11" s="2393"/>
    </row>
    <row r="12" spans="1:6" ht="15" customHeight="1" x14ac:dyDescent="0.25">
      <c r="A12" s="1872" t="s">
        <v>1980</v>
      </c>
      <c r="B12" s="1873"/>
      <c r="C12" s="1874"/>
      <c r="D12" s="1874"/>
      <c r="E12" s="1874"/>
      <c r="F12" s="1875"/>
    </row>
    <row r="13" spans="1:6" ht="17.25" customHeight="1" x14ac:dyDescent="0.25">
      <c r="A13" s="2391" t="s">
        <v>1981</v>
      </c>
      <c r="B13" s="2392"/>
      <c r="C13" s="2392"/>
      <c r="D13" s="2392"/>
      <c r="E13" s="2392"/>
      <c r="F13" s="2393"/>
    </row>
    <row r="14" spans="1:6" ht="15" customHeight="1" x14ac:dyDescent="0.25">
      <c r="A14" s="1872" t="s">
        <v>1798</v>
      </c>
      <c r="B14" s="1873"/>
      <c r="C14" s="1874"/>
      <c r="D14" s="1874"/>
      <c r="E14" s="1874"/>
      <c r="F14" s="1875"/>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5" t="s">
        <v>1797</v>
      </c>
      <c r="C17" s="1880" t="s">
        <v>1795</v>
      </c>
      <c r="D17" s="1881">
        <v>500000</v>
      </c>
      <c r="E17" s="1881" t="str">
        <f t="shared" ref="E17:E25" si="0">IF(D17&lt;25000,D17,"25,000")</f>
        <v>25,000</v>
      </c>
      <c r="F17" s="1882">
        <f t="shared" ref="F17:F25" si="1">IF(D17&gt;=25000,(D17-E17),"0")</f>
        <v>475000</v>
      </c>
    </row>
    <row r="18" spans="1:7" x14ac:dyDescent="0.25">
      <c r="A18" s="2033" t="s">
        <v>2081</v>
      </c>
      <c r="B18" s="1906">
        <v>102660300</v>
      </c>
      <c r="C18" s="2034" t="s">
        <v>2082</v>
      </c>
      <c r="D18" s="1884">
        <v>74325</v>
      </c>
      <c r="E18" s="1904" t="str">
        <f t="shared" si="0"/>
        <v>25,000</v>
      </c>
      <c r="F18" s="1904">
        <f t="shared" si="1"/>
        <v>49325</v>
      </c>
      <c r="G18" s="1885"/>
    </row>
    <row r="19" spans="1:7" x14ac:dyDescent="0.25">
      <c r="A19" s="2033" t="s">
        <v>2083</v>
      </c>
      <c r="B19" s="1906">
        <v>101000300</v>
      </c>
      <c r="C19" s="2034" t="s">
        <v>2084</v>
      </c>
      <c r="D19" s="1884">
        <v>106208</v>
      </c>
      <c r="E19" s="1904" t="str">
        <f t="shared" si="0"/>
        <v>25,000</v>
      </c>
      <c r="F19" s="1904">
        <f t="shared" si="1"/>
        <v>81208</v>
      </c>
    </row>
    <row r="20" spans="1:7" x14ac:dyDescent="0.25">
      <c r="A20" s="1886"/>
      <c r="B20" s="1906"/>
      <c r="C20" s="1883"/>
      <c r="D20" s="1884"/>
      <c r="E20" s="1904">
        <f t="shared" si="0"/>
        <v>0</v>
      </c>
      <c r="F20" s="1904" t="str">
        <f t="shared" si="1"/>
        <v>0</v>
      </c>
    </row>
    <row r="21" spans="1:7" x14ac:dyDescent="0.25">
      <c r="A21" s="1886"/>
      <c r="B21" s="1906"/>
      <c r="C21" s="1887"/>
      <c r="D21" s="1884"/>
      <c r="E21" s="1904">
        <f t="shared" si="0"/>
        <v>0</v>
      </c>
      <c r="F21" s="1904" t="str">
        <f t="shared" si="1"/>
        <v>0</v>
      </c>
    </row>
    <row r="22" spans="1:7" x14ac:dyDescent="0.25">
      <c r="A22" s="1886"/>
      <c r="B22" s="1906"/>
      <c r="C22" s="1887"/>
      <c r="D22" s="1884"/>
      <c r="E22" s="1904">
        <f t="shared" si="0"/>
        <v>0</v>
      </c>
      <c r="F22" s="1904" t="str">
        <f t="shared" si="1"/>
        <v>0</v>
      </c>
    </row>
    <row r="23" spans="1:7" x14ac:dyDescent="0.25">
      <c r="A23" s="1886"/>
      <c r="B23" s="1907"/>
      <c r="C23" s="1887"/>
      <c r="D23" s="1884"/>
      <c r="E23" s="1904">
        <f t="shared" si="0"/>
        <v>0</v>
      </c>
      <c r="F23" s="1904" t="str">
        <f t="shared" si="1"/>
        <v>0</v>
      </c>
    </row>
    <row r="24" spans="1:7" x14ac:dyDescent="0.25">
      <c r="A24" s="1886"/>
      <c r="B24" s="1907"/>
      <c r="C24" s="1887"/>
      <c r="D24" s="1884"/>
      <c r="E24" s="1904">
        <f t="shared" si="0"/>
        <v>0</v>
      </c>
      <c r="F24" s="1904" t="str">
        <f t="shared" si="1"/>
        <v>0</v>
      </c>
    </row>
    <row r="25" spans="1:7" x14ac:dyDescent="0.25">
      <c r="A25" s="1886"/>
      <c r="B25" s="1908"/>
      <c r="C25" s="1887"/>
      <c r="D25" s="1884"/>
      <c r="E25" s="1904">
        <f t="shared" si="0"/>
        <v>0</v>
      </c>
      <c r="F25" s="1904" t="str">
        <f t="shared" si="1"/>
        <v>0</v>
      </c>
    </row>
    <row r="26" spans="1:7" x14ac:dyDescent="0.25">
      <c r="A26" s="1888" t="s">
        <v>155</v>
      </c>
      <c r="B26" s="1909"/>
      <c r="C26" s="1889"/>
      <c r="D26" s="1890">
        <f>SUM(D18:D25)</f>
        <v>180533</v>
      </c>
      <c r="E26" s="1891">
        <f>SUM(E18:E25)</f>
        <v>0</v>
      </c>
      <c r="F26" s="1892">
        <f>SUM(F18:F25)</f>
        <v>130533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13" sqref="A13:H1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285725</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0">
        <v>25172</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4868280</v>
      </c>
      <c r="F19" s="1801"/>
      <c r="G19" s="1803">
        <f>'Expenditures 15-22'!K33-SUM('Expenditures 15-22'!G33,'Expenditures 15-22'!I33)+'Expenditures 15-22'!D229</f>
        <v>4868280</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295326</v>
      </c>
      <c r="F21" s="1804"/>
      <c r="G21" s="1807">
        <f>'Expenditures 15-22'!K42-SUM('Expenditures 15-22'!G42,'Expenditures 15-22'!I42)+'Expenditures 15-22'!K120-SUM('Expenditures 15-22'!G120,'Expenditures 15-22'!I120)+'Expenditures 15-22'!K180-SUM('Expenditures 15-22'!G180,'Expenditures 15-22'!I180)+'Expenditures 15-22'!D238</f>
        <v>295326</v>
      </c>
      <c r="H21" s="817"/>
      <c r="I21" s="157"/>
    </row>
    <row r="22" spans="1:9" s="542" customFormat="1" ht="12" customHeight="1" x14ac:dyDescent="0.2">
      <c r="A22" s="824" t="s">
        <v>560</v>
      </c>
      <c r="B22" s="825"/>
      <c r="C22" s="823">
        <v>2200</v>
      </c>
      <c r="D22" s="1804"/>
      <c r="E22" s="1806">
        <f>'Expenditures 15-22'!K47-SUM('Expenditures 15-22'!G47,'Expenditures 15-22'!I47)+'Expenditures 15-22'!D243</f>
        <v>166004</v>
      </c>
      <c r="F22" s="1804"/>
      <c r="G22" s="1807">
        <f>'Expenditures 15-22'!K47-SUM('Expenditures 15-22'!G47,'Expenditures 15-22'!I47)+'Expenditures 15-22'!D243</f>
        <v>166004</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1241681</v>
      </c>
      <c r="F23" s="1804"/>
      <c r="G23" s="1806">
        <f>'Expenditures 15-22'!K53-SUM('Expenditures 15-22'!G53,'Expenditures 15-22'!I53)+'Expenditures 15-22'!D257+'Expenditures 15-22'!K330-SUM('Expenditures 15-22'!G330,'Expenditures 15-22'!I330)</f>
        <v>1241681</v>
      </c>
      <c r="H23" s="817"/>
      <c r="I23" s="157"/>
    </row>
    <row r="24" spans="1:9" s="542" customFormat="1" ht="12" customHeight="1" x14ac:dyDescent="0.2">
      <c r="A24" s="824" t="s">
        <v>562</v>
      </c>
      <c r="B24" s="825"/>
      <c r="C24" s="823">
        <v>2400</v>
      </c>
      <c r="D24" s="1804"/>
      <c r="E24" s="1806">
        <f>'Expenditures 15-22'!K57-SUM('Expenditures 15-22'!G57,'Expenditures 15-22'!I57)+'Expenditures 15-22'!D261</f>
        <v>460654</v>
      </c>
      <c r="F24" s="1804"/>
      <c r="G24" s="1807">
        <f>'Expenditures 15-22'!K57-SUM('Expenditures 15-22'!G57,'Expenditures 15-22'!I57)+'Expenditures 15-22'!D261</f>
        <v>460654</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106408</v>
      </c>
      <c r="E27" s="1806">
        <f>E8</f>
        <v>0</v>
      </c>
      <c r="F27" s="1806">
        <f>'Expenditures 15-22'!K60-SUM('Expenditures 15-22'!G60,'Expenditures 15-22'!I60)+'Expenditures 15-22'!D264-E8</f>
        <v>106408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730744</v>
      </c>
      <c r="F28" s="1808">
        <f>'Expenditures 15-22'!K61-SUM('Expenditures 15-22'!G61,'Expenditures 15-22'!I61)+'Expenditures 15-22'!K124-SUM('Expenditures 15-22'!G124,'Expenditures 15-22'!I124)+'Expenditures 15-22'!D266-E9</f>
        <v>730744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528916</v>
      </c>
      <c r="F29" s="1804"/>
      <c r="G29" s="1807">
        <f>'Expenditures 15-22'!K62-SUM('Expenditures 15-22'!G62,'Expenditures 15-22'!I62)+'Expenditures 15-22'!K125-SUM('Expenditures 15-22'!G125,'Expenditures 15-22'!I125)+'Expenditures 15-22'!K182-SUM('Expenditures 15-22'!G182,'Expenditures 15-22'!I182)+'Expenditures 15-22'!D267</f>
        <v>528916</v>
      </c>
      <c r="H29" s="815"/>
    </row>
    <row r="30" spans="1:9" ht="12" customHeight="1" x14ac:dyDescent="0.2">
      <c r="A30" s="824" t="s">
        <v>100</v>
      </c>
      <c r="B30" s="827"/>
      <c r="C30" s="823">
        <v>2560</v>
      </c>
      <c r="D30" s="1804"/>
      <c r="E30" s="1806">
        <f>'Expenditures 15-22'!K63-SUM('Expenditures 15-22'!G63,'Expenditures 15-22'!I63)+'Expenditures 15-22'!D268-E10</f>
        <v>8165</v>
      </c>
      <c r="F30" s="1804"/>
      <c r="G30" s="1806">
        <f>'Expenditures 15-22'!K63-SUM('Expenditures 15-22'!G63,'Expenditures 15-22'!I63)+'Expenditures 15-22'!D268-E10</f>
        <v>8165</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293778</v>
      </c>
      <c r="E37" s="1806">
        <f>E14</f>
        <v>0</v>
      </c>
      <c r="F37" s="1806">
        <f>'Expenditures 15-22'!K71-SUM('Expenditures 15-22'!G71,'Expenditures 15-22'!I71)+'Expenditures 15-22'!D276-E14</f>
        <v>293778</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18375</v>
      </c>
      <c r="F39" s="1804"/>
      <c r="G39" s="1806">
        <f>'Expenditures 15-22'!K75-SUM('Expenditures 15-22'!G75,'Expenditures 15-22'!I75)+'Expenditures 15-22'!K130-SUM('Expenditures 15-22'!G130,'Expenditures 15-22'!I130)+'Expenditures 15-22'!K185-SUM('Expenditures 15-22'!G185,'Expenditures 15-22'!I185)+'Expenditures 15-22'!D280</f>
        <v>18375</v>
      </c>
    </row>
    <row r="40" spans="1:7" ht="12" customHeight="1" x14ac:dyDescent="0.2">
      <c r="A40" s="820" t="s">
        <v>1796</v>
      </c>
      <c r="B40" s="821"/>
      <c r="C40" s="823"/>
      <c r="D40" s="1804"/>
      <c r="E40" s="1808">
        <f>-'Contracts Paid in CY 29'!F26</f>
        <v>-130533</v>
      </c>
      <c r="F40" s="1804"/>
      <c r="G40" s="1808">
        <f>-'Contracts Paid in CY 29'!F26</f>
        <v>-130533</v>
      </c>
    </row>
    <row r="41" spans="1:7" ht="12" customHeight="1" x14ac:dyDescent="0.2">
      <c r="A41" s="828" t="s">
        <v>155</v>
      </c>
      <c r="B41" s="829"/>
      <c r="C41" s="830"/>
      <c r="D41" s="1808">
        <f>SUM(D19:D39)</f>
        <v>400186</v>
      </c>
      <c r="E41" s="1808">
        <f>SUM(E19:E40)</f>
        <v>8187612</v>
      </c>
      <c r="F41" s="1808">
        <f>SUM(F19:F39)</f>
        <v>1130930</v>
      </c>
      <c r="G41" s="1808">
        <f>SUM(G19:G40)</f>
        <v>7456868</v>
      </c>
    </row>
    <row r="42" spans="1:7" x14ac:dyDescent="0.2">
      <c r="A42" s="817"/>
      <c r="B42" s="157"/>
      <c r="C42" s="831"/>
      <c r="D42" s="2400" t="s">
        <v>519</v>
      </c>
      <c r="E42" s="2401"/>
      <c r="F42" s="832" t="s">
        <v>520</v>
      </c>
      <c r="G42" s="833"/>
    </row>
    <row r="43" spans="1:7" ht="12" customHeight="1" x14ac:dyDescent="0.2">
      <c r="A43" s="817"/>
      <c r="B43" s="157"/>
      <c r="C43" s="831"/>
      <c r="D43" s="1457" t="s">
        <v>470</v>
      </c>
      <c r="E43" s="1809">
        <f>D41</f>
        <v>400186</v>
      </c>
      <c r="F43" s="1457" t="s">
        <v>470</v>
      </c>
      <c r="G43" s="1809">
        <f>F41</f>
        <v>1130930</v>
      </c>
    </row>
    <row r="44" spans="1:7" ht="12" customHeight="1" x14ac:dyDescent="0.2">
      <c r="A44" s="817"/>
      <c r="B44" s="157"/>
      <c r="C44" s="831"/>
      <c r="D44" s="1457" t="s">
        <v>471</v>
      </c>
      <c r="E44" s="1809">
        <f>E41</f>
        <v>8187612</v>
      </c>
      <c r="F44" s="1457" t="s">
        <v>471</v>
      </c>
      <c r="G44" s="1809">
        <f>G41</f>
        <v>7456868</v>
      </c>
    </row>
    <row r="45" spans="1:7" ht="12" customHeight="1" x14ac:dyDescent="0.2">
      <c r="A45" s="817"/>
      <c r="B45" s="157"/>
      <c r="C45" s="157"/>
      <c r="D45" s="1458" t="s">
        <v>999</v>
      </c>
      <c r="E45" s="1810">
        <f>(E43/E44)</f>
        <v>4.8877010781654039E-2</v>
      </c>
      <c r="F45" s="1458" t="s">
        <v>999</v>
      </c>
      <c r="G45" s="1810">
        <f>(G43/G44)</f>
        <v>0.15166286971956591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3" sqref="A13:H1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9" t="s">
        <v>1363</v>
      </c>
      <c r="B1" s="2419"/>
      <c r="C1" s="2419"/>
      <c r="D1" s="2419"/>
      <c r="E1" s="2419"/>
      <c r="F1" s="2419"/>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0" t="s">
        <v>1529</v>
      </c>
      <c r="B5" s="2421"/>
      <c r="C5" s="2422"/>
      <c r="D5" s="2422"/>
      <c r="E5" s="2422"/>
      <c r="F5" s="2422"/>
      <c r="G5" s="1506"/>
      <c r="L5" s="1506"/>
      <c r="M5" s="1854"/>
      <c r="N5" s="1854"/>
      <c r="O5" s="1854"/>
    </row>
    <row r="6" spans="1:15" ht="12" customHeight="1" x14ac:dyDescent="0.25">
      <c r="A6" s="1479"/>
      <c r="B6" s="1480"/>
      <c r="C6" s="2423" t="str">
        <f>COVER!A17</f>
        <v xml:space="preserve">  Havana CUSD 126</v>
      </c>
      <c r="D6" s="2423"/>
      <c r="E6" s="2423"/>
      <c r="F6" s="1481"/>
      <c r="G6" s="1506"/>
      <c r="L6" s="1506"/>
      <c r="M6" s="1854"/>
      <c r="N6" s="1854"/>
      <c r="O6" s="1854"/>
    </row>
    <row r="7" spans="1:15" ht="11.25" customHeight="1" thickBot="1" x14ac:dyDescent="0.3">
      <c r="A7" s="1479"/>
      <c r="B7" s="1480"/>
      <c r="C7" s="2424">
        <f>COVER!A13</f>
        <v>53060126026</v>
      </c>
      <c r="D7" s="2424"/>
      <c r="E7" s="2424"/>
      <c r="F7" s="1481"/>
      <c r="G7" s="1506"/>
      <c r="L7" s="1506"/>
      <c r="M7" s="1854"/>
      <c r="N7" s="1854"/>
      <c r="O7" s="1854"/>
    </row>
    <row r="8" spans="1:15" ht="25.5" customHeight="1" thickBot="1" x14ac:dyDescent="0.25">
      <c r="A8" s="1518" t="s">
        <v>1872</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2049</v>
      </c>
      <c r="D14" s="1494" t="s">
        <v>2049</v>
      </c>
      <c r="E14" s="1497"/>
      <c r="F14" s="1496" t="s">
        <v>2085</v>
      </c>
      <c r="G14" s="1506"/>
      <c r="H14" s="1506">
        <f t="shared" si="0"/>
        <v>5</v>
      </c>
      <c r="I14" s="1506">
        <f t="shared" si="1"/>
        <v>5</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2049</v>
      </c>
      <c r="D16" s="1494" t="s">
        <v>2049</v>
      </c>
      <c r="E16" s="1497"/>
      <c r="F16" s="1496" t="s">
        <v>2086</v>
      </c>
      <c r="G16" s="1506"/>
      <c r="H16" s="1506">
        <f t="shared" si="0"/>
        <v>5</v>
      </c>
      <c r="I16" s="1506">
        <f t="shared" si="1"/>
        <v>5</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2049</v>
      </c>
      <c r="D19" s="1494" t="s">
        <v>2049</v>
      </c>
      <c r="E19" s="1497"/>
      <c r="F19" s="1496" t="s">
        <v>2087</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2049</v>
      </c>
      <c r="D20" s="1494" t="s">
        <v>2049</v>
      </c>
      <c r="E20" s="1497"/>
      <c r="F20" s="1496" t="s">
        <v>2088</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2049</v>
      </c>
      <c r="D24" s="1494" t="s">
        <v>2049</v>
      </c>
      <c r="E24" s="1497"/>
      <c r="F24" s="1496" t="s">
        <v>2089</v>
      </c>
      <c r="G24" s="1506"/>
      <c r="H24" s="1506">
        <f t="shared" si="0"/>
        <v>5</v>
      </c>
      <c r="I24" s="1506">
        <f t="shared" si="1"/>
        <v>5</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2049</v>
      </c>
      <c r="D26" s="1494" t="s">
        <v>2049</v>
      </c>
      <c r="E26" s="1497"/>
      <c r="F26" s="1496" t="s">
        <v>2090</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t="s">
        <v>2049</v>
      </c>
      <c r="D28" s="1494" t="s">
        <v>2049</v>
      </c>
      <c r="E28" s="1497"/>
      <c r="F28" s="1496" t="s">
        <v>2091</v>
      </c>
      <c r="G28" s="1506"/>
      <c r="H28" s="1506">
        <f t="shared" si="0"/>
        <v>5</v>
      </c>
      <c r="I28" s="1506">
        <f t="shared" si="1"/>
        <v>5</v>
      </c>
      <c r="J28" s="1506">
        <f t="shared" si="2"/>
        <v>0</v>
      </c>
      <c r="L28" s="1506"/>
      <c r="M28" s="1854"/>
      <c r="N28" s="1854"/>
      <c r="O28" s="1854"/>
    </row>
    <row r="29" spans="1:15" ht="12" customHeight="1" x14ac:dyDescent="0.2">
      <c r="A29" s="1492" t="s">
        <v>1520</v>
      </c>
      <c r="B29" s="1493"/>
      <c r="C29" s="1494" t="s">
        <v>2049</v>
      </c>
      <c r="D29" s="1494" t="s">
        <v>2049</v>
      </c>
      <c r="E29" s="1497"/>
      <c r="F29" s="1496" t="s">
        <v>2092</v>
      </c>
      <c r="G29" s="1506"/>
      <c r="H29" s="1506">
        <f t="shared" si="0"/>
        <v>5</v>
      </c>
      <c r="I29" s="1506">
        <f t="shared" si="1"/>
        <v>5</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40</v>
      </c>
      <c r="I34" s="1506">
        <f>SUM(I11:I32)</f>
        <v>40</v>
      </c>
      <c r="J34" s="1506">
        <f>SUM(J11:J32)</f>
        <v>0</v>
      </c>
      <c r="K34" s="1506">
        <f>SUM(H34:J34)</f>
        <v>80</v>
      </c>
      <c r="L34" s="1506"/>
      <c r="M34" s="1854"/>
      <c r="N34" s="1854"/>
      <c r="O34" s="1854"/>
    </row>
    <row r="35" spans="1:15" ht="12" customHeight="1" x14ac:dyDescent="0.2">
      <c r="A35" s="1499" t="s">
        <v>1376</v>
      </c>
      <c r="B35" s="1500"/>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1375</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5"/>
      <c r="B43" s="2406"/>
      <c r="C43" s="2406"/>
      <c r="D43" s="2406"/>
      <c r="E43" s="2406"/>
      <c r="F43" s="2407"/>
      <c r="H43" s="1507"/>
      <c r="I43" s="1507"/>
      <c r="J43" s="1507"/>
      <c r="K43" s="1507"/>
    </row>
    <row r="44" spans="1:15" s="1498" customFormat="1" ht="12" hidden="1" customHeight="1" x14ac:dyDescent="0.25">
      <c r="A44" s="2405"/>
      <c r="B44" s="2406"/>
      <c r="C44" s="2406"/>
      <c r="D44" s="2406"/>
      <c r="E44" s="2406"/>
      <c r="F44" s="240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13" sqref="A13:H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2000</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45" t="str">
        <f>COVER!A17</f>
        <v xml:space="preserve">  Havana CUSD 126</v>
      </c>
      <c r="K6" s="2445"/>
      <c r="L6" s="2459"/>
      <c r="M6" s="838"/>
      <c r="N6" s="1996"/>
    </row>
    <row r="7" spans="1:14" x14ac:dyDescent="0.2">
      <c r="A7" s="2460" t="s">
        <v>864</v>
      </c>
      <c r="B7" s="2461"/>
      <c r="C7" s="2461"/>
      <c r="D7" s="2461"/>
      <c r="E7" s="2462"/>
      <c r="F7" s="839"/>
      <c r="G7" s="838"/>
      <c r="H7" s="838"/>
      <c r="I7" s="1922" t="s">
        <v>369</v>
      </c>
      <c r="J7" s="2447">
        <f>COVER!A13</f>
        <v>53060126026</v>
      </c>
      <c r="K7" s="2447"/>
      <c r="L7" s="244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2016</v>
      </c>
      <c r="F9" s="1856"/>
      <c r="G9" s="1856"/>
      <c r="H9" s="1856"/>
      <c r="I9" s="1927" t="s">
        <v>2017</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3" t="s">
        <v>478</v>
      </c>
      <c r="B11" s="2464"/>
      <c r="C11" s="2465"/>
      <c r="D11" s="1935" t="s">
        <v>866</v>
      </c>
      <c r="E11" s="1935" t="s">
        <v>64</v>
      </c>
      <c r="F11" s="1935" t="s">
        <v>6</v>
      </c>
      <c r="G11" s="1936" t="s">
        <v>2018</v>
      </c>
      <c r="H11" s="1937" t="s">
        <v>155</v>
      </c>
      <c r="I11" s="1935" t="s">
        <v>64</v>
      </c>
      <c r="J11" s="1935" t="s">
        <v>6</v>
      </c>
      <c r="K11" s="1936" t="s">
        <v>1999</v>
      </c>
      <c r="L11" s="1937" t="s">
        <v>155</v>
      </c>
      <c r="M11" s="838"/>
      <c r="N11" s="1996"/>
    </row>
    <row r="12" spans="1:14" x14ac:dyDescent="0.2">
      <c r="A12" s="2001">
        <v>1</v>
      </c>
      <c r="B12" s="1938" t="s">
        <v>813</v>
      </c>
      <c r="C12" s="842"/>
      <c r="D12" s="1939">
        <v>2320</v>
      </c>
      <c r="E12" s="1942">
        <f>'Expenditures 15-22'!K50</f>
        <v>183025</v>
      </c>
      <c r="F12" s="1940"/>
      <c r="G12" s="1966">
        <f>G68</f>
        <v>53106</v>
      </c>
      <c r="H12" s="1942">
        <f t="shared" ref="H12:H18" si="0">SUM(E12:G12)</f>
        <v>236131</v>
      </c>
      <c r="I12" s="1941">
        <v>191800</v>
      </c>
      <c r="J12" s="1940"/>
      <c r="K12" s="1941">
        <v>55692</v>
      </c>
      <c r="L12" s="1942">
        <f t="shared" ref="L12:L18" si="1">SUM(I12:K12)</f>
        <v>247492</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66" t="s">
        <v>7</v>
      </c>
      <c r="C18" s="2467"/>
      <c r="D18" s="2468"/>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183025</v>
      </c>
      <c r="F19" s="1948">
        <f t="shared" si="2"/>
        <v>0</v>
      </c>
      <c r="G19" s="1948">
        <f>SUM(G12:G17)-G18</f>
        <v>53106</v>
      </c>
      <c r="H19" s="1948">
        <f t="shared" si="2"/>
        <v>236131</v>
      </c>
      <c r="I19" s="1948">
        <f t="shared" si="2"/>
        <v>191800</v>
      </c>
      <c r="J19" s="1948">
        <f t="shared" si="2"/>
        <v>0</v>
      </c>
      <c r="K19" s="1948">
        <f t="shared" si="2"/>
        <v>55692</v>
      </c>
      <c r="L19" s="1948">
        <f t="shared" si="2"/>
        <v>247492</v>
      </c>
      <c r="M19" s="838"/>
      <c r="N19" s="1996"/>
    </row>
    <row r="20" spans="1:14" ht="13.5" thickTop="1" x14ac:dyDescent="0.2">
      <c r="A20" s="2001">
        <v>9</v>
      </c>
      <c r="B20" s="2469" t="s">
        <v>2019</v>
      </c>
      <c r="C20" s="2469"/>
      <c r="D20" s="2470"/>
      <c r="E20" s="1949"/>
      <c r="F20" s="1949"/>
      <c r="G20" s="1949"/>
      <c r="H20" s="1949"/>
      <c r="I20" s="1949"/>
      <c r="J20" s="1949"/>
      <c r="K20" s="1949"/>
      <c r="L20" s="1950">
        <f>IF(AND(H19&gt;0,L19&gt;0),(((L19-H19)/H19)),"Enter Budget Data")</f>
        <v>4.8113123647466872E-2</v>
      </c>
      <c r="M20" s="838"/>
      <c r="N20" s="1996"/>
    </row>
    <row r="21" spans="1:14" x14ac:dyDescent="0.2">
      <c r="A21" s="2003" t="s">
        <v>194</v>
      </c>
      <c r="B21" s="2004" t="s">
        <v>2044</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2020</v>
      </c>
      <c r="B24" s="2008"/>
      <c r="C24" s="2009"/>
      <c r="D24" s="2009"/>
      <c r="E24" s="2009"/>
      <c r="F24" s="2009"/>
      <c r="G24" s="2009"/>
      <c r="H24" s="2009"/>
      <c r="I24" s="2009"/>
      <c r="J24" s="2009"/>
      <c r="K24" s="2009"/>
      <c r="L24" s="838"/>
      <c r="M24" s="838"/>
      <c r="N24" s="1996"/>
    </row>
    <row r="25" spans="1:14" x14ac:dyDescent="0.2">
      <c r="A25" s="2007" t="s">
        <v>2021</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1"/>
      <c r="D27" s="2471"/>
      <c r="E27" s="843"/>
      <c r="F27" s="2472"/>
      <c r="G27" s="2472"/>
      <c r="H27" s="2472"/>
      <c r="I27" s="838"/>
      <c r="J27" s="838"/>
      <c r="K27" s="838"/>
      <c r="L27" s="838"/>
      <c r="M27" s="838"/>
      <c r="N27" s="1996"/>
    </row>
    <row r="28" spans="1:14" x14ac:dyDescent="0.2">
      <c r="A28" s="1995"/>
      <c r="B28" s="2005"/>
      <c r="C28" s="1955" t="s">
        <v>1026</v>
      </c>
      <c r="D28" s="844"/>
      <c r="E28" s="1956"/>
      <c r="F28" s="2473" t="s">
        <v>1492</v>
      </c>
      <c r="G28" s="2473"/>
      <c r="H28" s="2473"/>
      <c r="I28" s="838"/>
      <c r="J28" s="838"/>
      <c r="K28" s="838"/>
      <c r="L28" s="838"/>
      <c r="M28" s="838"/>
      <c r="N28" s="1996"/>
    </row>
    <row r="29" spans="1:14" x14ac:dyDescent="0.2">
      <c r="A29" s="1995"/>
      <c r="B29" s="2005"/>
      <c r="C29" s="2474"/>
      <c r="D29" s="2474"/>
      <c r="E29" s="845"/>
      <c r="F29" s="2474"/>
      <c r="G29" s="2474"/>
      <c r="H29" s="2474"/>
      <c r="I29" s="838"/>
      <c r="J29" s="838"/>
      <c r="K29" s="838"/>
      <c r="L29" s="838"/>
      <c r="M29" s="838"/>
      <c r="N29" s="1996"/>
    </row>
    <row r="30" spans="1:14" x14ac:dyDescent="0.2">
      <c r="A30" s="1995"/>
      <c r="B30" s="2005"/>
      <c r="C30" s="1958" t="s">
        <v>1544</v>
      </c>
      <c r="D30" s="838"/>
      <c r="E30" s="1957"/>
      <c r="F30" s="2458" t="s">
        <v>1493</v>
      </c>
      <c r="G30" s="2458"/>
      <c r="H30" s="245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5" t="s">
        <v>2022</v>
      </c>
      <c r="D34" s="2436"/>
      <c r="E34" s="2436"/>
      <c r="F34" s="2436"/>
      <c r="G34" s="2436"/>
      <c r="H34" s="2436"/>
      <c r="I34" s="2436"/>
      <c r="J34" s="2436"/>
      <c r="K34" s="2014"/>
      <c r="L34" s="838"/>
      <c r="M34" s="838"/>
      <c r="N34" s="1996"/>
    </row>
    <row r="35" spans="1:14" x14ac:dyDescent="0.2">
      <c r="A35" s="1995"/>
      <c r="B35" s="838"/>
      <c r="C35" s="2436"/>
      <c r="D35" s="2436"/>
      <c r="E35" s="2436"/>
      <c r="F35" s="2436"/>
      <c r="G35" s="2436"/>
      <c r="H35" s="2436"/>
      <c r="I35" s="2436"/>
      <c r="J35" s="2436"/>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5" t="s">
        <v>2023</v>
      </c>
      <c r="D37" s="2436"/>
      <c r="E37" s="2436"/>
      <c r="F37" s="2436"/>
      <c r="G37" s="2436"/>
      <c r="H37" s="2436"/>
      <c r="I37" s="2436"/>
      <c r="J37" s="2436"/>
      <c r="K37" s="2014"/>
      <c r="L37" s="2016"/>
      <c r="M37" s="838"/>
      <c r="N37" s="1996"/>
    </row>
    <row r="38" spans="1:14" x14ac:dyDescent="0.2">
      <c r="A38" s="1995"/>
      <c r="B38" s="838"/>
      <c r="C38" s="2436"/>
      <c r="D38" s="2436"/>
      <c r="E38" s="2436"/>
      <c r="F38" s="2436"/>
      <c r="G38" s="2436"/>
      <c r="H38" s="2436"/>
      <c r="I38" s="2436"/>
      <c r="J38" s="2436"/>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7" t="s">
        <v>2024</v>
      </c>
      <c r="D40" s="2438"/>
      <c r="E40" s="2438"/>
      <c r="F40" s="2438"/>
      <c r="G40" s="2438"/>
      <c r="H40" s="2438"/>
      <c r="I40" s="2438"/>
      <c r="J40" s="2438"/>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9" t="s">
        <v>2025</v>
      </c>
      <c r="B43" s="2440"/>
      <c r="C43" s="2440"/>
      <c r="D43" s="2440"/>
      <c r="E43" s="2440"/>
      <c r="F43" s="2440"/>
      <c r="G43" s="2440"/>
      <c r="H43" s="2440"/>
      <c r="I43" s="2440"/>
      <c r="J43" s="2440"/>
      <c r="K43" s="2440"/>
      <c r="L43" s="2440"/>
      <c r="M43" s="2440"/>
      <c r="N43" s="2441"/>
    </row>
    <row r="44" spans="1:14" x14ac:dyDescent="0.2">
      <c r="A44" s="1980"/>
      <c r="B44" s="1981"/>
      <c r="C44" s="1981"/>
      <c r="D44" s="1981"/>
      <c r="E44" s="1981"/>
      <c r="F44" s="1981"/>
      <c r="G44" s="1981"/>
      <c r="H44" s="1981"/>
      <c r="I44" s="1981"/>
      <c r="J44" s="1981"/>
      <c r="K44" s="1981"/>
      <c r="L44" s="1981"/>
      <c r="M44" s="1981"/>
      <c r="N44" s="1982"/>
    </row>
    <row r="45" spans="1:14" x14ac:dyDescent="0.2">
      <c r="A45" s="1980" t="s">
        <v>2026</v>
      </c>
      <c r="B45" s="1981"/>
      <c r="C45" s="1981"/>
      <c r="D45" s="1981"/>
      <c r="E45" s="1981"/>
      <c r="F45" s="1981"/>
      <c r="G45" s="1981"/>
      <c r="H45" s="1981"/>
      <c r="I45" s="1981"/>
      <c r="J45" s="1981"/>
      <c r="K45" s="1981"/>
      <c r="L45" s="1981"/>
      <c r="M45" s="1981"/>
      <c r="N45" s="1982"/>
    </row>
    <row r="46" spans="1:14" x14ac:dyDescent="0.2">
      <c r="A46" s="2442" t="s">
        <v>2027</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2043</v>
      </c>
      <c r="B49" s="2022"/>
      <c r="C49" s="2022"/>
      <c r="D49" s="2023"/>
      <c r="E49" s="2023"/>
      <c r="F49" s="2023"/>
      <c r="G49" s="2023"/>
      <c r="H49" s="2023"/>
      <c r="I49" s="2023"/>
      <c r="J49" s="2023"/>
      <c r="K49" s="2023"/>
      <c r="L49" s="2023"/>
      <c r="M49" s="2023"/>
      <c r="N49" s="2024"/>
    </row>
    <row r="50" spans="1:14" ht="15" x14ac:dyDescent="0.25">
      <c r="A50" s="2026" t="s">
        <v>2042</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45" t="str">
        <f>J6</f>
        <v xml:space="preserve">  Havana CUSD 126</v>
      </c>
      <c r="M52" s="2445"/>
      <c r="N52" s="2446"/>
    </row>
    <row r="53" spans="1:14" x14ac:dyDescent="0.2">
      <c r="A53" s="1980"/>
      <c r="B53" s="1981"/>
      <c r="C53" s="1981"/>
      <c r="D53" s="1981"/>
      <c r="E53" s="1981"/>
      <c r="F53" s="1981"/>
      <c r="G53" s="1981"/>
      <c r="H53" s="1981"/>
      <c r="I53" s="1981"/>
      <c r="J53" s="1981"/>
      <c r="K53" s="1922" t="s">
        <v>369</v>
      </c>
      <c r="L53" s="2447">
        <f>J7</f>
        <v>53060126026</v>
      </c>
      <c r="M53" s="2447"/>
      <c r="N53" s="2448"/>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9"/>
      <c r="B55" s="2450"/>
      <c r="C55" s="2450"/>
      <c r="D55" s="1968"/>
      <c r="E55" s="1968"/>
      <c r="F55" s="1968"/>
      <c r="G55" s="2451" t="s">
        <v>2028</v>
      </c>
      <c r="H55" s="2451"/>
      <c r="I55" s="2451"/>
      <c r="J55" s="2451"/>
      <c r="K55" s="2451"/>
      <c r="L55" s="2451"/>
      <c r="M55" s="2451"/>
      <c r="N55" s="2452"/>
    </row>
    <row r="56" spans="1:14" ht="63.75" x14ac:dyDescent="0.2">
      <c r="A56" s="2453" t="s">
        <v>2029</v>
      </c>
      <c r="B56" s="2454"/>
      <c r="C56" s="2455"/>
      <c r="D56" s="1962" t="s">
        <v>2030</v>
      </c>
      <c r="E56" s="1962" t="s">
        <v>2031</v>
      </c>
      <c r="F56" s="1969"/>
      <c r="G56" s="1962" t="s">
        <v>2032</v>
      </c>
      <c r="H56" s="1962" t="s">
        <v>2033</v>
      </c>
      <c r="I56" s="1962" t="s">
        <v>2034</v>
      </c>
      <c r="J56" s="1962" t="s">
        <v>2035</v>
      </c>
      <c r="K56" s="1962" t="s">
        <v>2036</v>
      </c>
      <c r="L56" s="1962" t="s">
        <v>2037</v>
      </c>
      <c r="M56" s="1962" t="s">
        <v>2038</v>
      </c>
      <c r="N56" s="1963" t="s">
        <v>2045</v>
      </c>
    </row>
    <row r="57" spans="1:14" ht="24.75" customHeight="1" x14ac:dyDescent="0.2">
      <c r="A57" s="2456" t="s">
        <v>296</v>
      </c>
      <c r="B57" s="2457"/>
      <c r="C57" s="2457"/>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3" t="s">
        <v>2039</v>
      </c>
      <c r="B58" s="2434"/>
      <c r="C58" s="2434"/>
      <c r="D58" s="1965">
        <v>2362</v>
      </c>
      <c r="E58" s="1975">
        <f>'Expenditures 15-22'!K320</f>
        <v>34479</v>
      </c>
      <c r="F58" s="1970"/>
      <c r="G58" s="2029"/>
      <c r="H58" s="2030"/>
      <c r="I58" s="2030"/>
      <c r="J58" s="2030"/>
      <c r="K58" s="2030"/>
      <c r="L58" s="2030"/>
      <c r="M58" s="2030">
        <v>34479</v>
      </c>
      <c r="N58" s="1973">
        <f>IF((SUM(G58:M58))=E58,SUM(G58:M58),"Column N does not agree with Column E")</f>
        <v>34479</v>
      </c>
    </row>
    <row r="59" spans="1:14" ht="24.75" customHeight="1" x14ac:dyDescent="0.2">
      <c r="A59" s="2427" t="s">
        <v>297</v>
      </c>
      <c r="B59" s="2428"/>
      <c r="C59" s="2428"/>
      <c r="D59" s="1965">
        <v>2363</v>
      </c>
      <c r="E59" s="1975">
        <f>'Expenditures 15-22'!K321</f>
        <v>402</v>
      </c>
      <c r="F59" s="1970"/>
      <c r="G59" s="2029"/>
      <c r="H59" s="2030"/>
      <c r="I59" s="2030"/>
      <c r="J59" s="2030"/>
      <c r="K59" s="2030"/>
      <c r="L59" s="2030"/>
      <c r="M59" s="2030">
        <v>402</v>
      </c>
      <c r="N59" s="1973">
        <f>IF((SUM(G59:M59))=E59,SUM(G59:M59),"Column N does not agree with Column E")</f>
        <v>402</v>
      </c>
    </row>
    <row r="60" spans="1:14" ht="24" customHeight="1" x14ac:dyDescent="0.2">
      <c r="A60" s="2427" t="s">
        <v>236</v>
      </c>
      <c r="B60" s="2428"/>
      <c r="C60" s="2428"/>
      <c r="D60" s="1965">
        <v>2364</v>
      </c>
      <c r="E60" s="1975">
        <f>'Expenditures 15-22'!K322</f>
        <v>50315</v>
      </c>
      <c r="F60" s="1970"/>
      <c r="G60" s="2029"/>
      <c r="H60" s="2030"/>
      <c r="I60" s="2030"/>
      <c r="J60" s="2030"/>
      <c r="K60" s="2030"/>
      <c r="L60" s="2030"/>
      <c r="M60" s="2030">
        <v>50315</v>
      </c>
      <c r="N60" s="1973">
        <f t="shared" ref="N60:N67" si="3">IF((SUM(G60:M60))=E60,SUM(G60:M60),"Column N does not agree with Column E")</f>
        <v>50315</v>
      </c>
    </row>
    <row r="61" spans="1:14" ht="24.75" customHeight="1" x14ac:dyDescent="0.2">
      <c r="A61" s="2427" t="s">
        <v>697</v>
      </c>
      <c r="B61" s="2428"/>
      <c r="C61" s="2428"/>
      <c r="D61" s="1965">
        <v>2365</v>
      </c>
      <c r="E61" s="1975">
        <f>'Expenditures 15-22'!K323</f>
        <v>72369</v>
      </c>
      <c r="F61" s="1970"/>
      <c r="G61" s="2029"/>
      <c r="H61" s="2030"/>
      <c r="I61" s="2030"/>
      <c r="J61" s="2030"/>
      <c r="K61" s="2030"/>
      <c r="L61" s="2030"/>
      <c r="M61" s="2030">
        <v>72369</v>
      </c>
      <c r="N61" s="1973">
        <f t="shared" si="3"/>
        <v>72369</v>
      </c>
    </row>
    <row r="62" spans="1:14" ht="24" customHeight="1" x14ac:dyDescent="0.2">
      <c r="A62" s="2427" t="s">
        <v>237</v>
      </c>
      <c r="B62" s="2428"/>
      <c r="C62" s="2428"/>
      <c r="D62" s="1965">
        <v>2366</v>
      </c>
      <c r="E62" s="1975">
        <f>'Expenditures 15-22'!K324</f>
        <v>0</v>
      </c>
      <c r="F62" s="1970"/>
      <c r="G62" s="2029"/>
      <c r="H62" s="2030"/>
      <c r="I62" s="2030"/>
      <c r="J62" s="2030"/>
      <c r="K62" s="2030"/>
      <c r="L62" s="2030"/>
      <c r="M62" s="2030"/>
      <c r="N62" s="1973">
        <f t="shared" si="3"/>
        <v>0</v>
      </c>
    </row>
    <row r="63" spans="1:14" ht="24" customHeight="1" x14ac:dyDescent="0.2">
      <c r="A63" s="2433" t="s">
        <v>1022</v>
      </c>
      <c r="B63" s="2434"/>
      <c r="C63" s="2434"/>
      <c r="D63" s="1965">
        <v>2367</v>
      </c>
      <c r="E63" s="1975">
        <f>'Expenditures 15-22'!K325</f>
        <v>696784</v>
      </c>
      <c r="F63" s="1970"/>
      <c r="G63" s="2029">
        <v>53106</v>
      </c>
      <c r="H63" s="2030"/>
      <c r="I63" s="2030"/>
      <c r="J63" s="2030"/>
      <c r="K63" s="2030"/>
      <c r="L63" s="2030"/>
      <c r="M63" s="2030">
        <f>+E63-G63</f>
        <v>643678</v>
      </c>
      <c r="N63" s="1973">
        <f t="shared" si="3"/>
        <v>696784</v>
      </c>
    </row>
    <row r="64" spans="1:14" ht="24" customHeight="1" x14ac:dyDescent="0.2">
      <c r="A64" s="2427" t="s">
        <v>1023</v>
      </c>
      <c r="B64" s="2428"/>
      <c r="C64" s="2428"/>
      <c r="D64" s="1965">
        <v>2368</v>
      </c>
      <c r="E64" s="1975">
        <f>'Expenditures 15-22'!K326</f>
        <v>0</v>
      </c>
      <c r="F64" s="1970"/>
      <c r="G64" s="2029"/>
      <c r="H64" s="2030"/>
      <c r="I64" s="2030"/>
      <c r="J64" s="2030"/>
      <c r="K64" s="2030"/>
      <c r="L64" s="2030"/>
      <c r="M64" s="2030"/>
      <c r="N64" s="1973">
        <f t="shared" si="3"/>
        <v>0</v>
      </c>
    </row>
    <row r="65" spans="1:14" ht="24" customHeight="1" x14ac:dyDescent="0.2">
      <c r="A65" s="2427" t="s">
        <v>965</v>
      </c>
      <c r="B65" s="2428"/>
      <c r="C65" s="2428"/>
      <c r="D65" s="1965">
        <v>2369</v>
      </c>
      <c r="E65" s="1975">
        <f>'Expenditures 15-22'!K327</f>
        <v>0</v>
      </c>
      <c r="F65" s="1970"/>
      <c r="G65" s="2029"/>
      <c r="H65" s="2030"/>
      <c r="I65" s="2030"/>
      <c r="J65" s="2030"/>
      <c r="K65" s="2030"/>
      <c r="L65" s="2030"/>
      <c r="M65" s="2030"/>
      <c r="N65" s="1973">
        <f t="shared" si="3"/>
        <v>0</v>
      </c>
    </row>
    <row r="66" spans="1:14" ht="24" customHeight="1" x14ac:dyDescent="0.2">
      <c r="A66" s="2427" t="s">
        <v>469</v>
      </c>
      <c r="B66" s="2428"/>
      <c r="C66" s="2428"/>
      <c r="D66" s="1965">
        <v>2371</v>
      </c>
      <c r="E66" s="1975">
        <f>'Expenditures 15-22'!K328</f>
        <v>0</v>
      </c>
      <c r="F66" s="1970"/>
      <c r="G66" s="2029"/>
      <c r="H66" s="2030"/>
      <c r="I66" s="2030"/>
      <c r="J66" s="2030"/>
      <c r="K66" s="2030"/>
      <c r="L66" s="2030"/>
      <c r="M66" s="2030"/>
      <c r="N66" s="1973">
        <f t="shared" si="3"/>
        <v>0</v>
      </c>
    </row>
    <row r="67" spans="1:14" ht="24.75" customHeight="1" x14ac:dyDescent="0.2">
      <c r="A67" s="2429" t="s">
        <v>2040</v>
      </c>
      <c r="B67" s="2430"/>
      <c r="C67" s="2430"/>
      <c r="D67" s="1967">
        <v>2372</v>
      </c>
      <c r="E67" s="1976">
        <f>'Expenditures 15-22'!K329</f>
        <v>0</v>
      </c>
      <c r="F67" s="1970"/>
      <c r="G67" s="2031"/>
      <c r="H67" s="2032"/>
      <c r="I67" s="2032"/>
      <c r="J67" s="2032"/>
      <c r="K67" s="2032"/>
      <c r="L67" s="2032"/>
      <c r="M67" s="2032"/>
      <c r="N67" s="1973">
        <f t="shared" si="3"/>
        <v>0</v>
      </c>
    </row>
    <row r="68" spans="1:14" x14ac:dyDescent="0.2">
      <c r="A68" s="2431" t="s">
        <v>1151</v>
      </c>
      <c r="B68" s="2432"/>
      <c r="C68" s="2432"/>
      <c r="D68" s="1968"/>
      <c r="E68" s="1972">
        <f>SUM(E57:E67)</f>
        <v>854349</v>
      </c>
      <c r="F68" s="1971"/>
      <c r="G68" s="1972">
        <f t="shared" ref="G68:N68" si="4">SUM(G57:G67)</f>
        <v>53106</v>
      </c>
      <c r="H68" s="1972">
        <f t="shared" si="4"/>
        <v>0</v>
      </c>
      <c r="I68" s="1972">
        <f t="shared" si="4"/>
        <v>0</v>
      </c>
      <c r="J68" s="1972">
        <f t="shared" si="4"/>
        <v>0</v>
      </c>
      <c r="K68" s="1972">
        <f t="shared" si="4"/>
        <v>0</v>
      </c>
      <c r="L68" s="1972">
        <f t="shared" si="4"/>
        <v>0</v>
      </c>
      <c r="M68" s="1972">
        <f t="shared" si="4"/>
        <v>801243</v>
      </c>
      <c r="N68" s="1986">
        <f t="shared" si="4"/>
        <v>854349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2041</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6"/>
  <sheetViews>
    <sheetView showGridLines="0" zoomScale="110" zoomScaleNormal="110" workbookViewId="0">
      <selection activeCell="A13" sqref="A13:H13"/>
    </sheetView>
  </sheetViews>
  <sheetFormatPr defaultRowHeight="12.75" x14ac:dyDescent="0.2"/>
  <cols>
    <col min="1" max="1" width="3" style="307" customWidth="1"/>
    <col min="2" max="2" width="3.5703125" style="307" customWidth="1"/>
    <col min="3" max="3" width="71.7109375" style="307" customWidth="1"/>
    <col min="4" max="4" width="14.5703125" style="2046" customWidth="1"/>
    <col min="5" max="16384" width="9.140625" style="307"/>
  </cols>
  <sheetData>
    <row r="2" spans="1:4" x14ac:dyDescent="0.2">
      <c r="A2" s="366" t="s">
        <v>256</v>
      </c>
    </row>
    <row r="3" spans="1:4" x14ac:dyDescent="0.2">
      <c r="A3" s="307" t="s">
        <v>257</v>
      </c>
    </row>
    <row r="5" spans="1:4" x14ac:dyDescent="0.2">
      <c r="A5" s="848">
        <v>1</v>
      </c>
      <c r="B5" s="307" t="s">
        <v>2169</v>
      </c>
    </row>
    <row r="6" spans="1:4" x14ac:dyDescent="0.2">
      <c r="A6" s="848"/>
      <c r="C6" s="307" t="s">
        <v>2170</v>
      </c>
      <c r="D6" s="2047">
        <v>78074</v>
      </c>
    </row>
    <row r="7" spans="1:4" x14ac:dyDescent="0.2">
      <c r="A7" s="847"/>
      <c r="C7" s="307" t="s">
        <v>2171</v>
      </c>
      <c r="D7" s="2046">
        <v>700</v>
      </c>
    </row>
    <row r="8" spans="1:4" x14ac:dyDescent="0.2">
      <c r="A8" s="848"/>
      <c r="C8" s="307" t="s">
        <v>1054</v>
      </c>
      <c r="D8" s="2046">
        <v>180</v>
      </c>
    </row>
    <row r="9" spans="1:4" ht="13.5" thickBot="1" x14ac:dyDescent="0.25">
      <c r="A9" s="847"/>
      <c r="D9" s="2048">
        <f>SUM(D6:D8)</f>
        <v>78954</v>
      </c>
    </row>
    <row r="10" spans="1:4" ht="13.5" thickTop="1" x14ac:dyDescent="0.2">
      <c r="A10" s="848"/>
    </row>
    <row r="11" spans="1:4" x14ac:dyDescent="0.2">
      <c r="A11" s="848">
        <v>2</v>
      </c>
      <c r="B11" s="307" t="s">
        <v>2172</v>
      </c>
    </row>
    <row r="12" spans="1:4" ht="13.5" thickBot="1" x14ac:dyDescent="0.25">
      <c r="A12" s="848"/>
      <c r="C12" s="307" t="s">
        <v>2173</v>
      </c>
      <c r="D12" s="2049">
        <v>750</v>
      </c>
    </row>
    <row r="13" spans="1:4" ht="13.5" thickTop="1" x14ac:dyDescent="0.2">
      <c r="A13" s="848"/>
    </row>
    <row r="14" spans="1:4" x14ac:dyDescent="0.2">
      <c r="A14" s="848">
        <v>3</v>
      </c>
      <c r="B14" s="307" t="s">
        <v>2174</v>
      </c>
    </row>
    <row r="15" spans="1:4" ht="13.5" thickBot="1" x14ac:dyDescent="0.25">
      <c r="A15" s="848"/>
      <c r="C15" s="307" t="s">
        <v>2175</v>
      </c>
      <c r="D15" s="2049">
        <v>6266</v>
      </c>
    </row>
    <row r="16" spans="1:4" ht="13.5" thickTop="1" x14ac:dyDescent="0.2">
      <c r="A16" s="848"/>
    </row>
    <row r="17" spans="1:5" x14ac:dyDescent="0.2">
      <c r="A17" s="848">
        <v>4</v>
      </c>
      <c r="B17" s="307" t="s">
        <v>2176</v>
      </c>
      <c r="D17" s="2046" t="s">
        <v>2177</v>
      </c>
      <c r="E17" s="307" t="s">
        <v>2178</v>
      </c>
    </row>
    <row r="18" spans="1:5" x14ac:dyDescent="0.2">
      <c r="A18" s="848"/>
      <c r="C18" s="307" t="s">
        <v>2179</v>
      </c>
      <c r="D18" s="2046">
        <v>2018</v>
      </c>
      <c r="E18" s="2046">
        <v>0</v>
      </c>
    </row>
    <row r="19" spans="1:5" x14ac:dyDescent="0.2">
      <c r="A19" s="848"/>
      <c r="C19" s="307" t="s">
        <v>2180</v>
      </c>
      <c r="D19" s="2046">
        <v>41447</v>
      </c>
      <c r="E19" s="2046">
        <v>1101</v>
      </c>
    </row>
    <row r="20" spans="1:5" ht="13.5" thickBot="1" x14ac:dyDescent="0.25">
      <c r="A20" s="848"/>
      <c r="D20" s="2048">
        <f>SUM(D18:D19)</f>
        <v>43465</v>
      </c>
      <c r="E20" s="2048">
        <f>SUM(E18:E19)</f>
        <v>1101</v>
      </c>
    </row>
    <row r="21" spans="1:5" ht="13.5" thickTop="1" x14ac:dyDescent="0.2">
      <c r="A21" s="848"/>
    </row>
    <row r="22" spans="1:5" x14ac:dyDescent="0.2">
      <c r="A22" s="848">
        <v>5</v>
      </c>
      <c r="B22" s="307" t="s">
        <v>2181</v>
      </c>
    </row>
    <row r="23" spans="1:5" ht="13.5" thickBot="1" x14ac:dyDescent="0.25">
      <c r="A23" s="848"/>
      <c r="C23" s="307" t="s">
        <v>2182</v>
      </c>
      <c r="D23" s="2049">
        <v>2750</v>
      </c>
    </row>
    <row r="24" spans="1:5" ht="13.5" thickTop="1" x14ac:dyDescent="0.2">
      <c r="A24" s="848"/>
    </row>
    <row r="25" spans="1:5" x14ac:dyDescent="0.2">
      <c r="A25" s="848">
        <v>6</v>
      </c>
      <c r="B25" s="307" t="s">
        <v>2183</v>
      </c>
    </row>
    <row r="26" spans="1:5" x14ac:dyDescent="0.2">
      <c r="A26" s="848"/>
      <c r="B26" s="307" t="s">
        <v>2184</v>
      </c>
    </row>
    <row r="27" spans="1:5" x14ac:dyDescent="0.2">
      <c r="A27" s="848"/>
      <c r="B27" s="307" t="s">
        <v>2185</v>
      </c>
    </row>
    <row r="28" spans="1:5" x14ac:dyDescent="0.2">
      <c r="A28" s="848"/>
      <c r="B28" s="307" t="s">
        <v>2186</v>
      </c>
    </row>
    <row r="29" spans="1:5" x14ac:dyDescent="0.2">
      <c r="A29" s="848"/>
      <c r="B29" s="307" t="s">
        <v>2187</v>
      </c>
    </row>
    <row r="30" spans="1:5" x14ac:dyDescent="0.2">
      <c r="A30" s="848"/>
      <c r="B30" s="307" t="s">
        <v>2188</v>
      </c>
    </row>
    <row r="31" spans="1:5" x14ac:dyDescent="0.2">
      <c r="A31" s="848"/>
    </row>
    <row r="32" spans="1:5" x14ac:dyDescent="0.2">
      <c r="A32" s="848">
        <v>7</v>
      </c>
      <c r="B32" s="307" t="s">
        <v>2189</v>
      </c>
    </row>
    <row r="33" spans="1:2" x14ac:dyDescent="0.2">
      <c r="A33" s="848"/>
      <c r="B33" s="307" t="s">
        <v>2190</v>
      </c>
    </row>
    <row r="34" spans="1:2" x14ac:dyDescent="0.2">
      <c r="A34" s="848"/>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Havana CUSD 126</v>
      </c>
    </row>
    <row r="66" spans="1:2" x14ac:dyDescent="0.2">
      <c r="B66" s="849">
        <f>COVER!A13</f>
        <v>53060126026</v>
      </c>
    </row>
  </sheetData>
  <phoneticPr fontId="15"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69" t="s">
        <v>1594</v>
      </c>
    </row>
    <row r="23" spans="1:5" x14ac:dyDescent="0.2">
      <c r="A23" s="163"/>
      <c r="B23" s="157" t="s">
        <v>1826</v>
      </c>
      <c r="D23" s="162" t="s">
        <v>632</v>
      </c>
      <c r="E23" s="1469" t="s">
        <v>953</v>
      </c>
    </row>
    <row r="24" spans="1:5" x14ac:dyDescent="0.2">
      <c r="A24" s="163" t="s">
        <v>1592</v>
      </c>
      <c r="C24" s="157" t="s">
        <v>1159</v>
      </c>
      <c r="D24" s="162" t="s">
        <v>1377</v>
      </c>
      <c r="E24" s="165" t="s">
        <v>954</v>
      </c>
    </row>
    <row r="25" spans="1:5" x14ac:dyDescent="0.2">
      <c r="A25" s="163" t="s">
        <v>1838</v>
      </c>
      <c r="C25" s="157" t="s">
        <v>1159</v>
      </c>
      <c r="D25" s="164" t="s">
        <v>21</v>
      </c>
      <c r="E25" s="1469" t="s">
        <v>2048</v>
      </c>
    </row>
    <row r="26" spans="1:5" x14ac:dyDescent="0.2">
      <c r="A26" s="163" t="s">
        <v>1839</v>
      </c>
      <c r="C26" s="157" t="s">
        <v>1159</v>
      </c>
      <c r="D26" s="164" t="s">
        <v>559</v>
      </c>
      <c r="E26" s="1469" t="s">
        <v>678</v>
      </c>
    </row>
    <row r="27" spans="1:5" x14ac:dyDescent="0.2">
      <c r="A27" s="163" t="s">
        <v>1840</v>
      </c>
      <c r="C27" s="157" t="s">
        <v>1159</v>
      </c>
      <c r="D27" s="164" t="s">
        <v>553</v>
      </c>
      <c r="E27" s="1469" t="s">
        <v>1350</v>
      </c>
    </row>
    <row r="28" spans="1:5" x14ac:dyDescent="0.2">
      <c r="A28" s="163" t="s">
        <v>1842</v>
      </c>
      <c r="D28" s="164" t="s">
        <v>679</v>
      </c>
      <c r="E28" s="1469" t="s">
        <v>1359</v>
      </c>
    </row>
    <row r="29" spans="1:5" x14ac:dyDescent="0.2">
      <c r="A29" s="163" t="s">
        <v>1843</v>
      </c>
      <c r="D29" s="164" t="s">
        <v>1378</v>
      </c>
      <c r="E29" s="1469"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75" t="s">
        <v>1665</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34" r:id="rId4">
          <objectPr defaultSize="0" r:id="rId5">
            <anchor moveWithCells="1">
              <from>
                <xdr:col>1</xdr:col>
                <xdr:colOff>2247900</xdr:colOff>
                <xdr:row>0</xdr:row>
                <xdr:rowOff>142875</xdr:rowOff>
              </from>
              <to>
                <xdr:col>1</xdr:col>
                <xdr:colOff>3162300</xdr:colOff>
                <xdr:row>5</xdr:row>
                <xdr:rowOff>19050</xdr:rowOff>
              </to>
            </anchor>
          </objectPr>
        </oleObject>
      </mc:Choice>
      <mc:Fallback>
        <oleObject progId="Acrobat Document" dvAspect="DVASPECT_ICON" shapeId="56334" r:id="rId4"/>
      </mc:Fallback>
    </mc:AlternateContent>
    <mc:AlternateContent xmlns:mc="http://schemas.openxmlformats.org/markup-compatibility/2006">
      <mc:Choice Requires="x14">
        <oleObject progId="Acrobat Document" dvAspect="DVASPECT_ICON" shapeId="56335" r:id="rId6">
          <objectPr defaultSize="0" r:id="rId7">
            <anchor moveWithCells="1">
              <from>
                <xdr:col>1</xdr:col>
                <xdr:colOff>19050</xdr:colOff>
                <xdr:row>6</xdr:row>
                <xdr:rowOff>47625</xdr:rowOff>
              </from>
              <to>
                <xdr:col>1</xdr:col>
                <xdr:colOff>933450</xdr:colOff>
                <xdr:row>10</xdr:row>
                <xdr:rowOff>85725</xdr:rowOff>
              </to>
            </anchor>
          </objectPr>
        </oleObject>
      </mc:Choice>
      <mc:Fallback>
        <oleObject progId="Acrobat Document" dvAspect="DVASPECT_ICON" shapeId="56335" r:id="rId6"/>
      </mc:Fallback>
    </mc:AlternateContent>
    <mc:AlternateContent xmlns:mc="http://schemas.openxmlformats.org/markup-compatibility/2006">
      <mc:Choice Requires="x14">
        <oleObject progId="Acrobat Document" dvAspect="DVASPECT_ICON" shapeId="56336" r:id="rId8">
          <objectPr defaultSize="0" r:id="rId9">
            <anchor moveWithCells="1">
              <from>
                <xdr:col>1</xdr:col>
                <xdr:colOff>1190625</xdr:colOff>
                <xdr:row>6</xdr:row>
                <xdr:rowOff>66675</xdr:rowOff>
              </from>
              <to>
                <xdr:col>1</xdr:col>
                <xdr:colOff>2105025</xdr:colOff>
                <xdr:row>10</xdr:row>
                <xdr:rowOff>104775</xdr:rowOff>
              </to>
            </anchor>
          </objectPr>
        </oleObject>
      </mc:Choice>
      <mc:Fallback>
        <oleObject progId="Acrobat Document" dvAspect="DVASPECT_ICON" shapeId="56336" r:id="rId8"/>
      </mc:Fallback>
    </mc:AlternateContent>
    <mc:AlternateContent xmlns:mc="http://schemas.openxmlformats.org/markup-compatibility/2006">
      <mc:Choice Requires="x14">
        <oleObject progId="Acrobat Document" dvAspect="DVASPECT_ICON" shapeId="56337" r:id="rId10">
          <objectPr defaultSize="0" r:id="rId11">
            <anchor moveWithCells="1">
              <from>
                <xdr:col>1</xdr:col>
                <xdr:colOff>1200150</xdr:colOff>
                <xdr:row>0</xdr:row>
                <xdr:rowOff>133350</xdr:rowOff>
              </from>
              <to>
                <xdr:col>1</xdr:col>
                <xdr:colOff>2114550</xdr:colOff>
                <xdr:row>5</xdr:row>
                <xdr:rowOff>9525</xdr:rowOff>
              </to>
            </anchor>
          </objectPr>
        </oleObject>
      </mc:Choice>
      <mc:Fallback>
        <oleObject progId="Acrobat Document" dvAspect="DVASPECT_ICON" shapeId="56337" r:id="rId10"/>
      </mc:Fallback>
    </mc:AlternateContent>
    <mc:AlternateContent xmlns:mc="http://schemas.openxmlformats.org/markup-compatibility/2006">
      <mc:Choice Requires="x14">
        <oleObject progId="Acrobat Document" dvAspect="DVASPECT_ICON" shapeId="56338" r:id="rId12">
          <objectPr defaultSize="0" r:id="rId13">
            <anchor moveWithCells="1">
              <from>
                <xdr:col>1</xdr:col>
                <xdr:colOff>47625</xdr:colOff>
                <xdr:row>0</xdr:row>
                <xdr:rowOff>142875</xdr:rowOff>
              </from>
              <to>
                <xdr:col>1</xdr:col>
                <xdr:colOff>962025</xdr:colOff>
                <xdr:row>5</xdr:row>
                <xdr:rowOff>19050</xdr:rowOff>
              </to>
            </anchor>
          </objectPr>
        </oleObject>
      </mc:Choice>
      <mc:Fallback>
        <oleObject progId="Acrobat Document" dvAspect="DVASPECT_ICON" shapeId="5633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2" sqref="A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1970</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1670</v>
      </c>
      <c r="B6" s="2493"/>
      <c r="C6" s="2493"/>
      <c r="D6" s="2493"/>
      <c r="E6" s="2493"/>
      <c r="F6" s="249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8442731</v>
      </c>
      <c r="C8" s="1812">
        <f>'Acct Summary 7-8'!D8</f>
        <v>493538</v>
      </c>
      <c r="D8" s="1812">
        <f>'Acct Summary 7-8'!F8</f>
        <v>399859</v>
      </c>
      <c r="E8" s="1812">
        <f>'Acct Summary 7-8'!I8</f>
        <v>43473</v>
      </c>
      <c r="F8" s="1812">
        <f>SUM(B8:E8)</f>
        <v>9379601</v>
      </c>
    </row>
    <row r="9" spans="1:8" s="858" customFormat="1" ht="14.25" customHeight="1" thickBot="1" x14ac:dyDescent="0.25">
      <c r="A9" s="857" t="s">
        <v>1353</v>
      </c>
      <c r="B9" s="1813">
        <f>'Acct Summary 7-8'!C17</f>
        <v>7224598</v>
      </c>
      <c r="C9" s="1813">
        <f>'Acct Summary 7-8'!D17</f>
        <v>1023112</v>
      </c>
      <c r="D9" s="1813">
        <f>'Acct Summary 7-8'!F17</f>
        <v>522909</v>
      </c>
      <c r="E9" s="1812"/>
      <c r="F9" s="1812">
        <f>SUM(B9:E9)</f>
        <v>8770619</v>
      </c>
    </row>
    <row r="10" spans="1:8" s="858" customFormat="1" ht="14.25" thickTop="1" thickBot="1" x14ac:dyDescent="0.25">
      <c r="A10" s="859" t="s">
        <v>1354</v>
      </c>
      <c r="B10" s="1814">
        <f>(B8-B9)</f>
        <v>1218133</v>
      </c>
      <c r="C10" s="1814">
        <f>(C8-C9)</f>
        <v>-529574</v>
      </c>
      <c r="D10" s="1814">
        <f>(D8-D9)</f>
        <v>-123050</v>
      </c>
      <c r="E10" s="1813">
        <f>(E8-E9)</f>
        <v>43473</v>
      </c>
      <c r="F10" s="1815">
        <f>SUM(F8-F9)</f>
        <v>608982</v>
      </c>
    </row>
    <row r="11" spans="1:8" s="858" customFormat="1" ht="14.25" thickTop="1" thickBot="1" x14ac:dyDescent="0.25">
      <c r="A11" s="860" t="s">
        <v>1901</v>
      </c>
      <c r="B11" s="1816">
        <f>'Acct Summary 7-8'!C81</f>
        <v>5895355</v>
      </c>
      <c r="C11" s="1816">
        <f>'Acct Summary 7-8'!D81</f>
        <v>965594</v>
      </c>
      <c r="D11" s="1816">
        <f>'Acct Summary 7-8'!F81</f>
        <v>840652</v>
      </c>
      <c r="E11" s="1816">
        <f>'Acct Summary 7-8'!I81</f>
        <v>87709</v>
      </c>
      <c r="F11" s="1817">
        <f>SUM(B11:E11)</f>
        <v>7789310</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1666</v>
      </c>
      <c r="B16" s="2479"/>
      <c r="C16" s="2479"/>
      <c r="D16" s="2479"/>
      <c r="E16" s="247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A13" sqref="A13:H1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1" t="s">
        <v>660</v>
      </c>
      <c r="B3" s="2502"/>
      <c r="C3" s="2502"/>
      <c r="D3" s="2503"/>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1487</v>
      </c>
      <c r="D7" s="2513"/>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6" t="s">
        <v>311</v>
      </c>
      <c r="D21" s="2517"/>
    </row>
    <row r="22" spans="1:10" ht="12.75" x14ac:dyDescent="0.2">
      <c r="A22" s="918"/>
      <c r="B22" s="919">
        <v>2</v>
      </c>
      <c r="C22" s="2514" t="s">
        <v>1507</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ERROR!</v>
      </c>
    </row>
    <row r="70" spans="1:4" x14ac:dyDescent="0.2">
      <c r="A70" s="877"/>
      <c r="B70" s="899">
        <f>B66+1</f>
        <v>9</v>
      </c>
      <c r="C70" s="2510" t="s">
        <v>1674</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99" t="str">
        <f>IF('Contracts Paid in CY 29'!$D$26&gt;0,"OK","PLEASE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1965</v>
      </c>
      <c r="F1" s="1542" t="s">
        <v>1966</v>
      </c>
      <c r="G1" s="1898" t="s">
        <v>1976</v>
      </c>
    </row>
    <row r="2" spans="1:7" ht="15.75" x14ac:dyDescent="0.25">
      <c r="A2" t="s">
        <v>260</v>
      </c>
      <c r="B2" s="135">
        <f>COVER!A13</f>
        <v>53060126026</v>
      </c>
      <c r="E2" s="1541">
        <v>2020</v>
      </c>
      <c r="F2" s="1541">
        <v>1</v>
      </c>
      <c r="G2" s="1897">
        <v>101000300</v>
      </c>
    </row>
    <row r="3" spans="1:7" ht="15" x14ac:dyDescent="0.25">
      <c r="A3" t="s">
        <v>950</v>
      </c>
      <c r="B3" s="135" t="str">
        <f>COVER!A15</f>
        <v>MASON</v>
      </c>
      <c r="E3" s="1829" t="s">
        <v>1969</v>
      </c>
      <c r="F3" s="1829" t="s">
        <v>1968</v>
      </c>
      <c r="G3" s="1897">
        <v>101000400</v>
      </c>
    </row>
    <row r="4" spans="1:7" ht="15" x14ac:dyDescent="0.25">
      <c r="A4" t="s">
        <v>1000</v>
      </c>
      <c r="B4" s="135" t="str">
        <f>COVER!A17</f>
        <v xml:space="preserve">  Havana CUSD 126</v>
      </c>
      <c r="E4" s="1827">
        <v>44119</v>
      </c>
      <c r="F4" s="1828">
        <v>44151</v>
      </c>
      <c r="G4" s="1897">
        <v>101000600</v>
      </c>
    </row>
    <row r="5" spans="1:7" ht="15" x14ac:dyDescent="0.25">
      <c r="A5" t="s">
        <v>699</v>
      </c>
      <c r="B5" s="135" t="str">
        <f>COVER!A38</f>
        <v>R. MATTHEW PLATER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JEFF EKENA</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Yes</v>
      </c>
      <c r="G12" s="1897">
        <v>202100600</v>
      </c>
    </row>
    <row r="13" spans="1:7" ht="15" x14ac:dyDescent="0.25">
      <c r="A13" s="1" t="s">
        <v>1527</v>
      </c>
      <c r="B13" s="135" t="str">
        <f>IF(COVER!J30="x","Yes",IF(COVER!L30="x","No",0))</f>
        <v>Yes</v>
      </c>
      <c r="G13" s="1897">
        <v>202100800</v>
      </c>
    </row>
    <row r="14" spans="1:7" ht="15" x14ac:dyDescent="0.25">
      <c r="A14" t="s">
        <v>473</v>
      </c>
      <c r="B14" s="135" t="str">
        <f>IF(COVER!J31="x","Yes",IF(COVER!L31="x","No",0))</f>
        <v>Yes</v>
      </c>
      <c r="G14" s="1897">
        <v>402100300</v>
      </c>
    </row>
    <row r="15" spans="1:7" ht="15" x14ac:dyDescent="0.25">
      <c r="A15" t="s">
        <v>573</v>
      </c>
      <c r="B15" s="135" t="str">
        <f>COVER!T23</f>
        <v>066-005243</v>
      </c>
      <c r="G15" s="1897">
        <v>402100400</v>
      </c>
    </row>
    <row r="16" spans="1:7" ht="15" x14ac:dyDescent="0.25">
      <c r="A16" t="s">
        <v>419</v>
      </c>
      <c r="B16" s="135" t="str">
        <f>COVER!T13</f>
        <v>J.M. ABBOTT &amp; ASSOCIATES, LTD.</v>
      </c>
      <c r="G16" s="1897">
        <v>402100600</v>
      </c>
    </row>
    <row r="17" spans="1:7" ht="15" x14ac:dyDescent="0.25">
      <c r="A17" t="s">
        <v>878</v>
      </c>
      <c r="B17" s="135" t="str">
        <f>COVER!T15</f>
        <v>DEBRA CURRY</v>
      </c>
      <c r="G17" s="1897">
        <v>402100800</v>
      </c>
    </row>
    <row r="18" spans="1:7" ht="15" x14ac:dyDescent="0.25">
      <c r="A18" t="s">
        <v>1140</v>
      </c>
      <c r="B18" s="135" t="str">
        <f>COVER!T17</f>
        <v>207 S. MCLEAN ST</v>
      </c>
      <c r="G18" s="1897">
        <v>102200300</v>
      </c>
    </row>
    <row r="19" spans="1:7" ht="15" x14ac:dyDescent="0.25">
      <c r="A19" t="s">
        <v>880</v>
      </c>
      <c r="B19" s="135" t="str">
        <f>COVER!T25</f>
        <v>deb@jmabbott.com</v>
      </c>
      <c r="G19" s="1897">
        <v>102200400</v>
      </c>
    </row>
    <row r="20" spans="1:7" ht="15" x14ac:dyDescent="0.25">
      <c r="A20" t="s">
        <v>881</v>
      </c>
      <c r="B20" s="135" t="str">
        <f>COVER!T19</f>
        <v>LINCOLN</v>
      </c>
      <c r="G20" s="1897">
        <v>102200600</v>
      </c>
    </row>
    <row r="21" spans="1:7" ht="15" x14ac:dyDescent="0.25">
      <c r="A21" t="s">
        <v>476</v>
      </c>
      <c r="B21" s="135" t="str">
        <f>COVER!X19</f>
        <v>IL</v>
      </c>
      <c r="G21" s="1897">
        <v>102200800</v>
      </c>
    </row>
    <row r="22" spans="1:7" ht="15" x14ac:dyDescent="0.25">
      <c r="A22" t="s">
        <v>882</v>
      </c>
      <c r="B22" s="135">
        <f>COVER!Z19</f>
        <v>62656</v>
      </c>
      <c r="G22" s="1897">
        <v>102300300</v>
      </c>
    </row>
    <row r="23" spans="1:7" ht="15" x14ac:dyDescent="0.25">
      <c r="A23" t="s">
        <v>1142</v>
      </c>
      <c r="B23" s="135" t="str">
        <f>COVER!T21</f>
        <v>217-735-1576</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2737700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5895355</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5836454</v>
      </c>
      <c r="D92" s="2" t="str">
        <f t="shared" si="0"/>
        <v>Error?</v>
      </c>
      <c r="G92" s="1897">
        <v>102640600</v>
      </c>
    </row>
    <row r="93" spans="1:7" ht="15" x14ac:dyDescent="0.25">
      <c r="A93" s="5">
        <v>32</v>
      </c>
      <c r="B93" s="1831">
        <f>'Assets-Liab 5-6'!C41</f>
        <v>5895355</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965594</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915594</v>
      </c>
      <c r="D123" s="2" t="str">
        <f t="shared" si="0"/>
        <v>Error?</v>
      </c>
      <c r="G123" s="1897">
        <v>203000400</v>
      </c>
    </row>
    <row r="124" spans="1:7" ht="15" x14ac:dyDescent="0.25">
      <c r="A124" s="5">
        <v>63</v>
      </c>
      <c r="B124" s="1831">
        <f>'Assets-Liab 5-6'!D41</f>
        <v>965594</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511600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1571662</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388063</v>
      </c>
      <c r="D140" s="2" t="str">
        <f t="shared" si="1"/>
        <v>Error?</v>
      </c>
    </row>
    <row r="141" spans="1:7" x14ac:dyDescent="0.2">
      <c r="A141" s="5">
        <v>80</v>
      </c>
      <c r="B141" s="1831">
        <f>'Assets-Liab 5-6'!E41</f>
        <v>1571662</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840652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840652</v>
      </c>
      <c r="D170" s="2" t="str">
        <f t="shared" si="1"/>
        <v>Error?</v>
      </c>
    </row>
    <row r="171" spans="1:4" x14ac:dyDescent="0.2">
      <c r="A171" s="5">
        <v>110</v>
      </c>
      <c r="B171" s="1831">
        <f>'Assets-Liab 5-6'!F41</f>
        <v>840652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798061</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502891</v>
      </c>
      <c r="D189" s="2" t="str">
        <f t="shared" si="1"/>
        <v>Error?</v>
      </c>
    </row>
    <row r="190" spans="1:4" x14ac:dyDescent="0.2">
      <c r="A190" s="5">
        <v>129</v>
      </c>
      <c r="B190" s="1831">
        <f>'Assets-Liab 5-6'!G41</f>
        <v>798061</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8</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8</v>
      </c>
      <c r="D212" s="2" t="str">
        <f t="shared" si="2"/>
        <v>Error?</v>
      </c>
    </row>
    <row r="213" spans="1:4" x14ac:dyDescent="0.2">
      <c r="A213" s="12">
        <v>152</v>
      </c>
      <c r="B213" s="1831">
        <f>'Assets-Liab 5-6'!H41</f>
        <v>8</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291076</v>
      </c>
      <c r="D273" s="2" t="str">
        <f t="shared" si="3"/>
        <v>Error?</v>
      </c>
    </row>
    <row r="274" spans="1:4" x14ac:dyDescent="0.2">
      <c r="A274" s="5">
        <v>213</v>
      </c>
      <c r="B274" s="1831">
        <f>'Assets-Liab 5-6'!M17</f>
        <v>21492609</v>
      </c>
      <c r="D274" s="2" t="str">
        <f t="shared" si="3"/>
        <v>Error?</v>
      </c>
    </row>
    <row r="275" spans="1:4" x14ac:dyDescent="0.2">
      <c r="A275" s="5">
        <v>214</v>
      </c>
      <c r="B275" s="1831">
        <f>'Assets-Liab 5-6'!M18</f>
        <v>868727</v>
      </c>
      <c r="D275" s="2" t="str">
        <f t="shared" si="3"/>
        <v>Error?</v>
      </c>
    </row>
    <row r="276" spans="1:4" x14ac:dyDescent="0.2">
      <c r="A276" s="5">
        <v>215</v>
      </c>
      <c r="B276" s="1831">
        <f>'Assets-Liab 5-6'!M19</f>
        <v>5668377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28320789</v>
      </c>
      <c r="C279" s="2" t="s">
        <v>569</v>
      </c>
      <c r="D279" s="2" t="str">
        <f t="shared" si="3"/>
        <v>Error?</v>
      </c>
    </row>
    <row r="280" spans="1:4" x14ac:dyDescent="0.2">
      <c r="A280" s="5">
        <v>219</v>
      </c>
      <c r="B280" s="1831">
        <f>'Assets-Liab 5-6'!M40</f>
        <v>28320789</v>
      </c>
      <c r="D280" s="2" t="str">
        <f t="shared" si="3"/>
        <v>Error?</v>
      </c>
    </row>
    <row r="281" spans="1:4" x14ac:dyDescent="0.2">
      <c r="A281" s="5">
        <v>220</v>
      </c>
      <c r="B281" s="1831">
        <f>'Assets-Liab 5-6'!M41</f>
        <v>28320789</v>
      </c>
      <c r="C281" s="2" t="s">
        <v>569</v>
      </c>
      <c r="D281" s="2" t="str">
        <f t="shared" si="3"/>
        <v>Error?</v>
      </c>
    </row>
    <row r="282" spans="1:4" x14ac:dyDescent="0.2">
      <c r="A282" s="5">
        <v>221</v>
      </c>
      <c r="B282" s="1831">
        <f>'Assets-Liab 5-6'!N21</f>
        <v>1571662</v>
      </c>
      <c r="D282" s="2" t="str">
        <f t="shared" si="3"/>
        <v>Error?</v>
      </c>
    </row>
    <row r="283" spans="1:4" x14ac:dyDescent="0.2">
      <c r="A283" s="5">
        <v>222</v>
      </c>
      <c r="B283" s="1831">
        <f>'Assets-Liab 5-6'!N22</f>
        <v>5998819</v>
      </c>
      <c r="D283" s="2" t="str">
        <f t="shared" si="3"/>
        <v>Error?</v>
      </c>
    </row>
    <row r="284" spans="1:4" x14ac:dyDescent="0.2">
      <c r="A284" s="5">
        <v>223</v>
      </c>
      <c r="B284" s="1831">
        <f>'Assets-Liab 5-6'!N23</f>
        <v>7570481</v>
      </c>
      <c r="C284" s="2" t="s">
        <v>569</v>
      </c>
      <c r="D284" s="2" t="str">
        <f t="shared" si="3"/>
        <v>Error?</v>
      </c>
    </row>
    <row r="285" spans="1:4" x14ac:dyDescent="0.2">
      <c r="A285" s="5">
        <v>224</v>
      </c>
      <c r="B285" s="1831">
        <f>'Assets-Liab 5-6'!N36</f>
        <v>7570481</v>
      </c>
      <c r="D285" s="2" t="str">
        <f t="shared" si="3"/>
        <v>Error?</v>
      </c>
    </row>
    <row r="286" spans="1:4" x14ac:dyDescent="0.2">
      <c r="A286" s="10">
        <v>225</v>
      </c>
      <c r="B286" s="1831"/>
      <c r="D286" s="2" t="str">
        <f t="shared" si="3"/>
        <v>OK</v>
      </c>
    </row>
    <row r="287" spans="1:4" x14ac:dyDescent="0.2">
      <c r="A287" s="5">
        <v>226</v>
      </c>
      <c r="B287" s="1831">
        <f>'Assets-Liab 5-6'!N37</f>
        <v>7570481</v>
      </c>
      <c r="C287" s="2" t="s">
        <v>569</v>
      </c>
      <c r="D287" s="2" t="str">
        <f t="shared" si="3"/>
        <v>Error?</v>
      </c>
    </row>
    <row r="288" spans="1:4" x14ac:dyDescent="0.2">
      <c r="A288" s="5">
        <v>227</v>
      </c>
      <c r="B288" s="1831">
        <f>'Assets-Liab 5-6'!N41</f>
        <v>7570481</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2381000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41164</v>
      </c>
      <c r="D717" s="2" t="str">
        <f t="shared" si="10"/>
        <v>Error?</v>
      </c>
    </row>
    <row r="718" spans="1:4" x14ac:dyDescent="0.2">
      <c r="A718" s="5">
        <v>657</v>
      </c>
      <c r="B718" s="1831">
        <f>'Expenditures 15-22'!C14</f>
        <v>120895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3775222</v>
      </c>
      <c r="C720" s="2" t="s">
        <v>569</v>
      </c>
      <c r="D720" s="2" t="str">
        <f t="shared" si="10"/>
        <v>Error?</v>
      </c>
    </row>
    <row r="721" spans="1:4" x14ac:dyDescent="0.2">
      <c r="A721" s="5">
        <v>660</v>
      </c>
      <c r="B721" s="1831">
        <f>'Expenditures 15-22'!C36</f>
        <v>75377</v>
      </c>
      <c r="D721" s="2" t="str">
        <f t="shared" si="10"/>
        <v>Error?</v>
      </c>
    </row>
    <row r="722" spans="1:4" x14ac:dyDescent="0.2">
      <c r="A722" s="5">
        <v>661</v>
      </c>
      <c r="B722" s="1831">
        <f>'Expenditures 15-22'!C37</f>
        <v>33540</v>
      </c>
      <c r="D722" s="2" t="str">
        <f t="shared" si="10"/>
        <v>Error?</v>
      </c>
    </row>
    <row r="723" spans="1:4" x14ac:dyDescent="0.2">
      <c r="A723" s="5">
        <v>662</v>
      </c>
      <c r="B723" s="1831">
        <f>'Expenditures 15-22'!C38</f>
        <v>250</v>
      </c>
      <c r="D723" s="2" t="str">
        <f t="shared" si="10"/>
        <v>Error?</v>
      </c>
    </row>
    <row r="724" spans="1:4" x14ac:dyDescent="0.2">
      <c r="A724" s="5">
        <v>663</v>
      </c>
      <c r="B724" s="1831">
        <f>'Expenditures 15-22'!C39</f>
        <v>37800</v>
      </c>
      <c r="D724" s="2" t="str">
        <f t="shared" si="10"/>
        <v>Error?</v>
      </c>
    </row>
    <row r="725" spans="1:4" x14ac:dyDescent="0.2">
      <c r="A725" s="5">
        <v>664</v>
      </c>
      <c r="B725" s="1831">
        <f>'Expenditures 15-22'!C40</f>
        <v>94484</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241451</v>
      </c>
      <c r="C727" s="2" t="s">
        <v>569</v>
      </c>
      <c r="D727" s="2" t="str">
        <f t="shared" si="10"/>
        <v>Error?</v>
      </c>
    </row>
    <row r="728" spans="1:4" x14ac:dyDescent="0.2">
      <c r="A728" s="5">
        <v>667</v>
      </c>
      <c r="B728" s="1831">
        <f>'Expenditures 15-22'!C44</f>
        <v>61549</v>
      </c>
      <c r="D728" s="2" t="str">
        <f t="shared" si="10"/>
        <v>Error?</v>
      </c>
    </row>
    <row r="729" spans="1:4" x14ac:dyDescent="0.2">
      <c r="A729" s="5">
        <v>668</v>
      </c>
      <c r="B729" s="1831">
        <f>'Expenditures 15-22'!C45</f>
        <v>29751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91300</v>
      </c>
      <c r="C731" s="2" t="s">
        <v>569</v>
      </c>
      <c r="D731" s="2" t="str">
        <f t="shared" si="10"/>
        <v>Error?</v>
      </c>
    </row>
    <row r="732" spans="1:4" x14ac:dyDescent="0.2">
      <c r="A732" s="5">
        <v>671</v>
      </c>
      <c r="B732" s="1831">
        <f>'Expenditures 15-22'!C49</f>
        <v>5428</v>
      </c>
      <c r="D732" s="2" t="str">
        <f t="shared" si="10"/>
        <v>Error?</v>
      </c>
    </row>
    <row r="733" spans="1:4" x14ac:dyDescent="0.2">
      <c r="A733" s="5">
        <v>672</v>
      </c>
      <c r="B733" s="1831">
        <f>'Expenditures 15-22'!C50</f>
        <v>153411</v>
      </c>
      <c r="D733" s="2" t="str">
        <f t="shared" si="10"/>
        <v>Error?</v>
      </c>
    </row>
    <row r="734" spans="1:4" x14ac:dyDescent="0.2">
      <c r="A734" s="5">
        <v>673</v>
      </c>
      <c r="B734" s="1831">
        <f>'Expenditures 15-22'!C53</f>
        <v>158839</v>
      </c>
      <c r="C734" s="2" t="s">
        <v>569</v>
      </c>
      <c r="D734" s="2" t="str">
        <f t="shared" si="10"/>
        <v>Error?</v>
      </c>
    </row>
    <row r="735" spans="1:4" x14ac:dyDescent="0.2">
      <c r="A735" s="5">
        <v>674</v>
      </c>
      <c r="B735" s="1831">
        <f>'Expenditures 15-22'!C55</f>
        <v>331677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331677</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83565</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83565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906832</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4682054</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328006</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7450</v>
      </c>
      <c r="D775" s="2" t="str">
        <f t="shared" si="11"/>
        <v>Error?</v>
      </c>
    </row>
    <row r="776" spans="1:4" x14ac:dyDescent="0.2">
      <c r="A776" s="5">
        <v>715</v>
      </c>
      <c r="B776" s="1831">
        <f>'Expenditures 15-22'!D14</f>
        <v>1396</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567878</v>
      </c>
      <c r="C778" s="2" t="s">
        <v>569</v>
      </c>
      <c r="D778" s="2" t="str">
        <f t="shared" si="11"/>
        <v>Error?</v>
      </c>
    </row>
    <row r="779" spans="1:4" x14ac:dyDescent="0.2">
      <c r="A779" s="5">
        <v>718</v>
      </c>
      <c r="B779" s="1831">
        <f>'Expenditures 15-22'!D36</f>
        <v>8004</v>
      </c>
      <c r="D779" s="2" t="str">
        <f t="shared" si="11"/>
        <v>Error?</v>
      </c>
    </row>
    <row r="780" spans="1:4" x14ac:dyDescent="0.2">
      <c r="A780" s="5">
        <v>719</v>
      </c>
      <c r="B780" s="1831">
        <f>'Expenditures 15-22'!D37</f>
        <v>7286</v>
      </c>
      <c r="D780" s="2" t="str">
        <f t="shared" si="11"/>
        <v>Error?</v>
      </c>
    </row>
    <row r="781" spans="1:4" x14ac:dyDescent="0.2">
      <c r="A781" s="5">
        <v>720</v>
      </c>
      <c r="B781" s="1831">
        <f>'Expenditures 15-22'!D38</f>
        <v>50</v>
      </c>
      <c r="D781" s="2" t="str">
        <f t="shared" si="11"/>
        <v>Error?</v>
      </c>
    </row>
    <row r="782" spans="1:4" x14ac:dyDescent="0.2">
      <c r="A782" s="5">
        <v>721</v>
      </c>
      <c r="B782" s="1831">
        <f>'Expenditures 15-22'!D39</f>
        <v>7983</v>
      </c>
      <c r="D782" s="2" t="str">
        <f t="shared" si="11"/>
        <v>Error?</v>
      </c>
    </row>
    <row r="783" spans="1:4" x14ac:dyDescent="0.2">
      <c r="A783" s="5">
        <v>722</v>
      </c>
      <c r="B783" s="1831">
        <f>'Expenditures 15-22'!D40</f>
        <v>14994</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38317</v>
      </c>
      <c r="C785" s="2" t="s">
        <v>569</v>
      </c>
      <c r="D785" s="2" t="str">
        <f t="shared" si="11"/>
        <v>Error?</v>
      </c>
    </row>
    <row r="786" spans="1:4" x14ac:dyDescent="0.2">
      <c r="A786" s="5">
        <v>725</v>
      </c>
      <c r="B786" s="1831">
        <f>'Expenditures 15-22'!D44</f>
        <v>35194</v>
      </c>
      <c r="D786" s="2" t="str">
        <f t="shared" si="11"/>
        <v>Error?</v>
      </c>
    </row>
    <row r="787" spans="1:4" x14ac:dyDescent="0.2">
      <c r="A787" s="5">
        <v>726</v>
      </c>
      <c r="B787" s="1831">
        <f>'Expenditures 15-22'!D45</f>
        <v>6767</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41961</v>
      </c>
      <c r="C789" s="2" t="s">
        <v>569</v>
      </c>
      <c r="D789" s="2" t="str">
        <f t="shared" si="11"/>
        <v>Error?</v>
      </c>
    </row>
    <row r="790" spans="1:4" x14ac:dyDescent="0.2">
      <c r="A790" s="5">
        <v>729</v>
      </c>
      <c r="B790" s="1831">
        <f>'Expenditures 15-22'!D49</f>
        <v>114076</v>
      </c>
      <c r="D790" s="2" t="str">
        <f t="shared" si="11"/>
        <v>Error?</v>
      </c>
    </row>
    <row r="791" spans="1:4" x14ac:dyDescent="0.2">
      <c r="A791" s="5">
        <v>730</v>
      </c>
      <c r="B791" s="1831">
        <f>'Expenditures 15-22'!D50</f>
        <v>29614</v>
      </c>
      <c r="D791" s="2" t="str">
        <f t="shared" si="11"/>
        <v>Error?</v>
      </c>
    </row>
    <row r="792" spans="1:4" x14ac:dyDescent="0.2">
      <c r="A792" s="5">
        <v>731</v>
      </c>
      <c r="B792" s="1831">
        <f>'Expenditures 15-22'!D53</f>
        <v>143690</v>
      </c>
      <c r="C792" s="2" t="s">
        <v>569</v>
      </c>
      <c r="D792" s="2" t="str">
        <f t="shared" si="11"/>
        <v>Error?</v>
      </c>
    </row>
    <row r="793" spans="1:4" x14ac:dyDescent="0.2">
      <c r="A793" s="5">
        <v>732</v>
      </c>
      <c r="B793" s="1831">
        <f>'Expenditures 15-22'!D55</f>
        <v>97952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97952</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6744</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6744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328664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896542</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123735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1192</v>
      </c>
      <c r="D833" s="2" t="str">
        <f t="shared" si="12"/>
        <v>Error?</v>
      </c>
    </row>
    <row r="834" spans="1:4" x14ac:dyDescent="0.2">
      <c r="A834" s="5">
        <v>773</v>
      </c>
      <c r="B834" s="1831">
        <f>'Expenditures 15-22'!E14</f>
        <v>34332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197262</v>
      </c>
      <c r="C836" s="2" t="s">
        <v>569</v>
      </c>
      <c r="D836" s="2" t="str">
        <f t="shared" si="12"/>
        <v>Error?</v>
      </c>
    </row>
    <row r="837" spans="1:4" x14ac:dyDescent="0.2">
      <c r="A837" s="5">
        <v>776</v>
      </c>
      <c r="B837" s="1831">
        <f>'Expenditures 15-22'!E36</f>
        <v>318</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4126</v>
      </c>
      <c r="D839" s="2" t="str">
        <f t="shared" si="12"/>
        <v>Error?</v>
      </c>
    </row>
    <row r="840" spans="1:4" x14ac:dyDescent="0.2">
      <c r="A840" s="5">
        <v>779</v>
      </c>
      <c r="B840" s="1831">
        <f>'Expenditures 15-22'!E39</f>
        <v>525</v>
      </c>
      <c r="D840" s="2" t="str">
        <f t="shared" si="12"/>
        <v>Error?</v>
      </c>
    </row>
    <row r="841" spans="1:4" x14ac:dyDescent="0.2">
      <c r="A841" s="5">
        <v>780</v>
      </c>
      <c r="B841" s="1831">
        <f>'Expenditures 15-22'!E40</f>
        <v>604</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5573</v>
      </c>
      <c r="C843" s="2" t="s">
        <v>569</v>
      </c>
      <c r="D843" s="2" t="str">
        <f t="shared" si="12"/>
        <v>Error?</v>
      </c>
    </row>
    <row r="844" spans="1:4" x14ac:dyDescent="0.2">
      <c r="A844" s="5">
        <v>783</v>
      </c>
      <c r="B844" s="1831">
        <f>'Expenditures 15-22'!E44</f>
        <v>14330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8078</v>
      </c>
      <c r="D846" s="2" t="str">
        <f t="shared" si="12"/>
        <v>Error?</v>
      </c>
    </row>
    <row r="847" spans="1:4" x14ac:dyDescent="0.2">
      <c r="A847" s="5">
        <v>786</v>
      </c>
      <c r="B847" s="1831">
        <f>'Expenditures 15-22'!E47</f>
        <v>22408</v>
      </c>
      <c r="C847" s="2" t="s">
        <v>569</v>
      </c>
      <c r="D847" s="2" t="str">
        <f t="shared" si="12"/>
        <v>Error?</v>
      </c>
    </row>
    <row r="848" spans="1:4" x14ac:dyDescent="0.2">
      <c r="A848" s="5">
        <v>787</v>
      </c>
      <c r="B848" s="1831">
        <f>'Expenditures 15-22'!E49</f>
        <v>64089</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64089</v>
      </c>
      <c r="C850" s="2" t="s">
        <v>569</v>
      </c>
      <c r="D850" s="2" t="str">
        <f t="shared" si="12"/>
        <v>Error?</v>
      </c>
    </row>
    <row r="851" spans="1:4" x14ac:dyDescent="0.2">
      <c r="A851" s="5">
        <v>790</v>
      </c>
      <c r="B851" s="1831">
        <f>'Expenditures 15-22'!E55</f>
        <v>4050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4050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40708</v>
      </c>
      <c r="D856" s="2" t="str">
        <f t="shared" si="12"/>
        <v>Error?</v>
      </c>
    </row>
    <row r="857" spans="1:4" x14ac:dyDescent="0.2">
      <c r="A857" s="5">
        <v>796</v>
      </c>
      <c r="B857" s="1831">
        <f>'Expenditures 15-22'!E62</f>
        <v>175</v>
      </c>
      <c r="D857" s="2" t="str">
        <f t="shared" si="12"/>
        <v>Error?</v>
      </c>
    </row>
    <row r="858" spans="1:4" x14ac:dyDescent="0.2">
      <c r="A858" s="5">
        <v>797</v>
      </c>
      <c r="B858" s="1831">
        <f>'Expenditures 15-22'!E63</f>
        <v>21160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62043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190695</v>
      </c>
      <c r="D867" s="2" t="str">
        <f t="shared" si="12"/>
        <v>Error?</v>
      </c>
    </row>
    <row r="868" spans="1:4" x14ac:dyDescent="0.2">
      <c r="A868" s="10">
        <v>807</v>
      </c>
      <c r="B868" s="1831"/>
      <c r="D868" s="2" t="str">
        <f t="shared" si="12"/>
        <v>OK</v>
      </c>
    </row>
    <row r="869" spans="1:4" x14ac:dyDescent="0.2">
      <c r="A869" s="5">
        <v>808</v>
      </c>
      <c r="B869" s="1831">
        <f>'Expenditures 15-22'!E72</f>
        <v>190695</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348858</v>
      </c>
      <c r="C871" s="2" t="s">
        <v>569</v>
      </c>
      <c r="D871" s="2" t="str">
        <f t="shared" si="12"/>
        <v>Error?</v>
      </c>
    </row>
    <row r="872" spans="1:4" x14ac:dyDescent="0.2">
      <c r="A872" s="5">
        <v>811</v>
      </c>
      <c r="B872" s="1831">
        <f>'Expenditures 15-22'!E75</f>
        <v>149</v>
      </c>
      <c r="D872" s="2" t="str">
        <f t="shared" si="12"/>
        <v>Error?</v>
      </c>
    </row>
    <row r="873" spans="1:4" x14ac:dyDescent="0.2">
      <c r="A873" s="5">
        <v>812</v>
      </c>
      <c r="B873" s="1831">
        <f>'Expenditures 15-22'!E114</f>
        <v>653472</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78461</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827</v>
      </c>
      <c r="D891" s="2" t="str">
        <f t="shared" si="12"/>
        <v>Error?</v>
      </c>
    </row>
    <row r="892" spans="1:4" x14ac:dyDescent="0.2">
      <c r="A892" s="5">
        <v>831</v>
      </c>
      <c r="B892" s="1831">
        <f>'Expenditures 15-22'!F14</f>
        <v>18602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128416</v>
      </c>
      <c r="C894" s="2" t="s">
        <v>569</v>
      </c>
      <c r="D894" s="2" t="str">
        <f t="shared" si="12"/>
        <v>Error?</v>
      </c>
    </row>
    <row r="895" spans="1:4" x14ac:dyDescent="0.2">
      <c r="A895" s="5">
        <v>834</v>
      </c>
      <c r="B895" s="1831">
        <f>'Expenditures 15-22'!F36</f>
        <v>62</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559</v>
      </c>
      <c r="D897" s="2" t="str">
        <f t="shared" si="13"/>
        <v>Error?</v>
      </c>
    </row>
    <row r="898" spans="1:4" x14ac:dyDescent="0.2">
      <c r="A898" s="5">
        <v>837</v>
      </c>
      <c r="B898" s="1831">
        <f>'Expenditures 15-22'!F39</f>
        <v>50</v>
      </c>
      <c r="D898" s="2" t="str">
        <f t="shared" si="13"/>
        <v>Error?</v>
      </c>
    </row>
    <row r="899" spans="1:4" x14ac:dyDescent="0.2">
      <c r="A899" s="5">
        <v>838</v>
      </c>
      <c r="B899" s="1831">
        <f>'Expenditures 15-22'!F40</f>
        <v>498</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1169</v>
      </c>
      <c r="C901" s="2" t="s">
        <v>569</v>
      </c>
      <c r="D901" s="2" t="str">
        <f t="shared" si="13"/>
        <v>Error?</v>
      </c>
    </row>
    <row r="902" spans="1:4" x14ac:dyDescent="0.2">
      <c r="A902" s="5">
        <v>841</v>
      </c>
      <c r="B902" s="1831">
        <f>'Expenditures 15-22'!F44</f>
        <v>2322</v>
      </c>
      <c r="D902" s="2" t="str">
        <f t="shared" si="13"/>
        <v>Error?</v>
      </c>
    </row>
    <row r="903" spans="1:4" x14ac:dyDescent="0.2">
      <c r="A903" s="5">
        <v>842</v>
      </c>
      <c r="B903" s="1831">
        <f>'Expenditures 15-22'!F45</f>
        <v>200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2522</v>
      </c>
      <c r="C905" s="2" t="s">
        <v>569</v>
      </c>
      <c r="D905" s="2" t="str">
        <f t="shared" si="13"/>
        <v>Error?</v>
      </c>
    </row>
    <row r="906" spans="1:4" x14ac:dyDescent="0.2">
      <c r="A906" s="5">
        <v>845</v>
      </c>
      <c r="B906" s="1831">
        <f>'Expenditures 15-22'!F49</f>
        <v>6832</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6832</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282439</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272730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555169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103083</v>
      </c>
      <c r="D925" s="2" t="str">
        <f t="shared" si="13"/>
        <v>Error?</v>
      </c>
    </row>
    <row r="926" spans="1:4" x14ac:dyDescent="0.2">
      <c r="A926" s="10">
        <v>865</v>
      </c>
      <c r="B926" s="1831"/>
      <c r="D926" s="2" t="str">
        <f t="shared" si="13"/>
        <v>OK</v>
      </c>
    </row>
    <row r="927" spans="1:4" x14ac:dyDescent="0.2">
      <c r="A927" s="5">
        <v>866</v>
      </c>
      <c r="B927" s="1831">
        <f>'Expenditures 15-22'!F72</f>
        <v>103083</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668775</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797191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6962</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26244</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38918</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21412</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21412</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15553</v>
      </c>
      <c r="D983" s="2" t="str">
        <f t="shared" si="14"/>
        <v>Error?</v>
      </c>
    </row>
    <row r="984" spans="1:4" x14ac:dyDescent="0.2">
      <c r="A984" s="10">
        <v>923</v>
      </c>
      <c r="B984" s="1831"/>
      <c r="D984" s="2" t="str">
        <f t="shared" si="14"/>
        <v>OK</v>
      </c>
    </row>
    <row r="985" spans="1:4" x14ac:dyDescent="0.2">
      <c r="A985" s="5">
        <v>924</v>
      </c>
      <c r="B985" s="1831">
        <f>'Expenditures 15-22'!G72</f>
        <v>15553</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36965</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75883</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84268</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35188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119456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1995</v>
      </c>
      <c r="E1056" s="4" t="s">
        <v>1994</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2918164</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50633</v>
      </c>
      <c r="C1105" s="2" t="s">
        <v>569</v>
      </c>
      <c r="D1105" s="2" t="str">
        <f t="shared" si="16"/>
        <v>Error?</v>
      </c>
    </row>
    <row r="1106" spans="1:4" x14ac:dyDescent="0.2">
      <c r="A1106" s="5">
        <v>1045</v>
      </c>
      <c r="B1106" s="1831">
        <f>'Expenditures 15-22'!K14</f>
        <v>201469</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4791964</v>
      </c>
      <c r="C1108" s="2" t="s">
        <v>569</v>
      </c>
      <c r="D1108" s="2" t="str">
        <f t="shared" si="16"/>
        <v>Error?</v>
      </c>
    </row>
    <row r="1109" spans="1:4" x14ac:dyDescent="0.2">
      <c r="A1109" s="5">
        <v>1048</v>
      </c>
      <c r="B1109" s="1831">
        <f>'Expenditures 15-22'!K36</f>
        <v>83761</v>
      </c>
      <c r="C1109" s="2" t="s">
        <v>569</v>
      </c>
      <c r="D1109" s="2" t="str">
        <f t="shared" si="16"/>
        <v>Error?</v>
      </c>
    </row>
    <row r="1110" spans="1:4" x14ac:dyDescent="0.2">
      <c r="A1110" s="5">
        <v>1049</v>
      </c>
      <c r="B1110" s="1831">
        <f>'Expenditures 15-22'!K37</f>
        <v>40826</v>
      </c>
      <c r="C1110" s="2" t="s">
        <v>569</v>
      </c>
      <c r="D1110" s="2" t="str">
        <f t="shared" si="16"/>
        <v>Error?</v>
      </c>
    </row>
    <row r="1111" spans="1:4" x14ac:dyDescent="0.2">
      <c r="A1111" s="5">
        <v>1050</v>
      </c>
      <c r="B1111" s="1831">
        <f>'Expenditures 15-22'!K38</f>
        <v>4985</v>
      </c>
      <c r="C1111" s="2" t="s">
        <v>569</v>
      </c>
      <c r="D1111" s="2" t="str">
        <f t="shared" si="16"/>
        <v>Error?</v>
      </c>
    </row>
    <row r="1112" spans="1:4" x14ac:dyDescent="0.2">
      <c r="A1112" s="5">
        <v>1051</v>
      </c>
      <c r="B1112" s="1831">
        <f>'Expenditures 15-22'!K39</f>
        <v>46358</v>
      </c>
      <c r="C1112" s="2" t="s">
        <v>569</v>
      </c>
      <c r="D1112" s="2" t="str">
        <f t="shared" si="16"/>
        <v>Error?</v>
      </c>
    </row>
    <row r="1113" spans="1:4" x14ac:dyDescent="0.2">
      <c r="A1113" s="5">
        <v>1052</v>
      </c>
      <c r="B1113" s="1831">
        <f>'Expenditures 15-22'!K40</f>
        <v>110580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286510</v>
      </c>
      <c r="C1115" s="2" t="s">
        <v>569</v>
      </c>
      <c r="D1115" s="2" t="str">
        <f t="shared" si="16"/>
        <v>Error?</v>
      </c>
    </row>
    <row r="1116" spans="1:4" x14ac:dyDescent="0.2">
      <c r="A1116" s="5">
        <v>1055</v>
      </c>
      <c r="B1116" s="1831">
        <f>'Expenditures 15-22'!K44</f>
        <v>113395</v>
      </c>
      <c r="C1116" s="2" t="s">
        <v>569</v>
      </c>
      <c r="D1116" s="2" t="str">
        <f t="shared" si="16"/>
        <v>Error?</v>
      </c>
    </row>
    <row r="1117" spans="1:4" x14ac:dyDescent="0.2">
      <c r="A1117" s="5">
        <v>1056</v>
      </c>
      <c r="B1117" s="1831">
        <f>'Expenditures 15-22'!K45</f>
        <v>36718</v>
      </c>
      <c r="C1117" s="2" t="s">
        <v>569</v>
      </c>
      <c r="D1117" s="2" t="str">
        <f t="shared" si="16"/>
        <v>Error?</v>
      </c>
    </row>
    <row r="1118" spans="1:4" x14ac:dyDescent="0.2">
      <c r="A1118" s="5">
        <v>1057</v>
      </c>
      <c r="B1118" s="1831">
        <f>'Expenditures 15-22'!K46</f>
        <v>8078</v>
      </c>
      <c r="C1118" s="2" t="s">
        <v>569</v>
      </c>
      <c r="D1118" s="2" t="str">
        <f t="shared" si="16"/>
        <v>Error?</v>
      </c>
    </row>
    <row r="1119" spans="1:4" x14ac:dyDescent="0.2">
      <c r="A1119" s="5">
        <v>1058</v>
      </c>
      <c r="B1119" s="1831">
        <f>'Expenditures 15-22'!K47</f>
        <v>158191</v>
      </c>
      <c r="C1119" s="2" t="s">
        <v>569</v>
      </c>
      <c r="D1119" s="2" t="str">
        <f t="shared" si="16"/>
        <v>Error?</v>
      </c>
    </row>
    <row r="1120" spans="1:4" x14ac:dyDescent="0.2">
      <c r="A1120" s="5">
        <v>1059</v>
      </c>
      <c r="B1120" s="1831">
        <f>'Expenditures 15-22'!K49</f>
        <v>190425</v>
      </c>
      <c r="C1120" s="2" t="s">
        <v>569</v>
      </c>
      <c r="D1120" s="2" t="str">
        <f t="shared" si="16"/>
        <v>Error?</v>
      </c>
    </row>
    <row r="1121" spans="1:4" x14ac:dyDescent="0.2">
      <c r="A1121" s="5">
        <v>1060</v>
      </c>
      <c r="B1121" s="1831">
        <f>'Expenditures 15-22'!K50</f>
        <v>183025</v>
      </c>
      <c r="C1121" s="2" t="s">
        <v>569</v>
      </c>
      <c r="D1121" s="2" t="str">
        <f t="shared" si="16"/>
        <v>Error?</v>
      </c>
    </row>
    <row r="1122" spans="1:4" x14ac:dyDescent="0.2">
      <c r="A1122" s="5">
        <v>1061</v>
      </c>
      <c r="B1122" s="1831">
        <f>'Expenditures 15-22'!K53</f>
        <v>373450</v>
      </c>
      <c r="C1122" s="2" t="s">
        <v>569</v>
      </c>
      <c r="D1122" s="2" t="str">
        <f t="shared" si="16"/>
        <v>Error?</v>
      </c>
    </row>
    <row r="1123" spans="1:4" x14ac:dyDescent="0.2">
      <c r="A1123" s="5">
        <v>1062</v>
      </c>
      <c r="B1123" s="1831">
        <f>'Expenditures 15-22'!K55</f>
        <v>433679</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433679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90309</v>
      </c>
      <c r="C1127" s="2" t="s">
        <v>569</v>
      </c>
      <c r="D1127" s="2" t="str">
        <f t="shared" si="16"/>
        <v>Error?</v>
      </c>
    </row>
    <row r="1128" spans="1:4" x14ac:dyDescent="0.2">
      <c r="A1128" s="5">
        <v>1067</v>
      </c>
      <c r="B1128" s="1831">
        <f>'Expenditures 15-22'!K61</f>
        <v>323147</v>
      </c>
      <c r="C1128" s="2" t="s">
        <v>569</v>
      </c>
      <c r="D1128" s="2" t="str">
        <f t="shared" si="16"/>
        <v>Error?</v>
      </c>
    </row>
    <row r="1129" spans="1:4" x14ac:dyDescent="0.2">
      <c r="A1129" s="5">
        <v>1068</v>
      </c>
      <c r="B1129" s="1831">
        <f>'Expenditures 15-22'!K62</f>
        <v>175</v>
      </c>
      <c r="C1129" s="2" t="s">
        <v>569</v>
      </c>
      <c r="D1129" s="2" t="str">
        <f t="shared" si="16"/>
        <v>Error?</v>
      </c>
    </row>
    <row r="1130" spans="1:4" x14ac:dyDescent="0.2">
      <c r="A1130" s="5">
        <v>1069</v>
      </c>
      <c r="B1130" s="1831">
        <f>'Expenditures 15-22'!K63</f>
        <v>315302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728933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309331</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309331</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2290094</v>
      </c>
      <c r="C1143" s="2" t="s">
        <v>569</v>
      </c>
      <c r="D1143" s="2" t="str">
        <f t="shared" si="16"/>
        <v>Error?</v>
      </c>
    </row>
    <row r="1144" spans="1:4" x14ac:dyDescent="0.2">
      <c r="A1144" s="5">
        <v>1083</v>
      </c>
      <c r="B1144" s="1831">
        <f>'Expenditures 15-22'!K75</f>
        <v>149</v>
      </c>
      <c r="C1144" s="2" t="s">
        <v>569</v>
      </c>
      <c r="D1144" s="2" t="str">
        <f t="shared" si="16"/>
        <v>Error?</v>
      </c>
    </row>
    <row r="1145" spans="1:4" x14ac:dyDescent="0.2">
      <c r="A1145" s="5">
        <v>1084</v>
      </c>
      <c r="B1145" s="1831">
        <f>'Expenditures 15-22'!K102</f>
        <v>142391</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7224598</v>
      </c>
      <c r="C1152" s="2" t="s">
        <v>569</v>
      </c>
      <c r="D1152" s="2" t="str">
        <f t="shared" si="17"/>
        <v>Error?</v>
      </c>
    </row>
    <row r="1153" spans="1:4" x14ac:dyDescent="0.2">
      <c r="A1153" s="5">
        <v>1092</v>
      </c>
      <c r="B1153" s="1831">
        <f>'Expenditures 15-22'!K115</f>
        <v>1218133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205274</v>
      </c>
      <c r="D1221" s="2" t="str">
        <f t="shared" si="18"/>
        <v>Error?</v>
      </c>
    </row>
    <row r="1222" spans="1:4" x14ac:dyDescent="0.2">
      <c r="A1222" s="10">
        <v>1161</v>
      </c>
      <c r="B1222" s="1831"/>
      <c r="D1222" s="2" t="str">
        <f t="shared" si="18"/>
        <v>OK</v>
      </c>
    </row>
    <row r="1223" spans="1:4" x14ac:dyDescent="0.2">
      <c r="A1223" s="5">
        <v>1162</v>
      </c>
      <c r="B1223" s="1831">
        <f>'Expenditures 15-22'!C127</f>
        <v>205274</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205274</v>
      </c>
      <c r="C1225" s="2" t="s">
        <v>569</v>
      </c>
      <c r="D1225" s="2" t="str">
        <f t="shared" si="18"/>
        <v>Error?</v>
      </c>
    </row>
    <row r="1226" spans="1:4" x14ac:dyDescent="0.2">
      <c r="A1226" s="5">
        <v>1165</v>
      </c>
      <c r="B1226" s="1831">
        <f>'Expenditures 15-22'!C151</f>
        <v>205274</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52408</v>
      </c>
      <c r="D1229" s="2" t="str">
        <f t="shared" si="18"/>
        <v>Error?</v>
      </c>
    </row>
    <row r="1230" spans="1:4" x14ac:dyDescent="0.2">
      <c r="A1230" s="10">
        <v>1169</v>
      </c>
      <c r="B1230" s="1831"/>
      <c r="D1230" s="2" t="str">
        <f t="shared" si="18"/>
        <v>OK</v>
      </c>
    </row>
    <row r="1231" spans="1:4" x14ac:dyDescent="0.2">
      <c r="A1231" s="5">
        <v>1170</v>
      </c>
      <c r="B1231" s="1831">
        <f>'Expenditures 15-22'!D127</f>
        <v>52408</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52408</v>
      </c>
      <c r="C1233" s="2" t="s">
        <v>569</v>
      </c>
      <c r="D1233" s="2" t="str">
        <f t="shared" si="18"/>
        <v>Error?</v>
      </c>
    </row>
    <row r="1234" spans="1:4" x14ac:dyDescent="0.2">
      <c r="A1234" s="5">
        <v>1173</v>
      </c>
      <c r="B1234" s="1831">
        <f>'Expenditures 15-22'!D151</f>
        <v>52408</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75906</v>
      </c>
      <c r="D1237" s="2" t="str">
        <f t="shared" si="18"/>
        <v>Error?</v>
      </c>
    </row>
    <row r="1238" spans="1:4" x14ac:dyDescent="0.2">
      <c r="A1238" s="10">
        <v>1177</v>
      </c>
      <c r="B1238" s="1831"/>
      <c r="D1238" s="2" t="str">
        <f t="shared" si="18"/>
        <v>OK</v>
      </c>
    </row>
    <row r="1239" spans="1:4" x14ac:dyDescent="0.2">
      <c r="A1239" s="5">
        <v>1178</v>
      </c>
      <c r="B1239" s="1831">
        <f>'Expenditures 15-22'!E127</f>
        <v>75906</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75906</v>
      </c>
      <c r="C1241" s="2" t="s">
        <v>569</v>
      </c>
      <c r="D1241" s="2" t="str">
        <f t="shared" si="18"/>
        <v>Error?</v>
      </c>
    </row>
    <row r="1242" spans="1:4" x14ac:dyDescent="0.2">
      <c r="A1242" s="5">
        <v>1181</v>
      </c>
      <c r="B1242" s="1831">
        <f>'Expenditures 15-22'!E151</f>
        <v>75906</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16721</v>
      </c>
      <c r="D1245" s="2" t="str">
        <f t="shared" si="18"/>
        <v>Error?</v>
      </c>
    </row>
    <row r="1246" spans="1:4" x14ac:dyDescent="0.2">
      <c r="A1246" s="10">
        <v>1185</v>
      </c>
      <c r="B1246" s="1831"/>
      <c r="D1246" s="2" t="str">
        <f t="shared" si="18"/>
        <v>OK</v>
      </c>
    </row>
    <row r="1247" spans="1:4" x14ac:dyDescent="0.2">
      <c r="A1247" s="5">
        <v>1186</v>
      </c>
      <c r="B1247" s="1831">
        <f>'Expenditures 15-22'!F127</f>
        <v>16721</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16721</v>
      </c>
      <c r="C1249" s="2" t="s">
        <v>569</v>
      </c>
      <c r="D1249" s="2" t="str">
        <f t="shared" si="18"/>
        <v>Error?</v>
      </c>
    </row>
    <row r="1250" spans="1:4" x14ac:dyDescent="0.2">
      <c r="A1250" s="5">
        <v>1189</v>
      </c>
      <c r="B1250" s="1831">
        <f>'Expenditures 15-22'!F151</f>
        <v>16721</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672803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672803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672803</v>
      </c>
      <c r="C1258" s="2" t="s">
        <v>569</v>
      </c>
      <c r="D1258" s="2" t="str">
        <f t="shared" si="18"/>
        <v>Error?</v>
      </c>
    </row>
    <row r="1259" spans="1:4" x14ac:dyDescent="0.2">
      <c r="A1259" s="5">
        <v>1198</v>
      </c>
      <c r="B1259" s="1831">
        <f>'Expenditures 15-22'!G151</f>
        <v>672803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1023112</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1023112</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1023112</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1023112</v>
      </c>
      <c r="C1288" s="2" t="s">
        <v>569</v>
      </c>
      <c r="D1288" s="2" t="str">
        <f t="shared" si="19"/>
        <v>Error?</v>
      </c>
    </row>
    <row r="1289" spans="1:4" x14ac:dyDescent="0.2">
      <c r="A1289" s="5">
        <v>1228</v>
      </c>
      <c r="B1289" s="1831">
        <f>'Expenditures 15-22'!K152</f>
        <v>-529574</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309305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725000</v>
      </c>
      <c r="D1315" s="2" t="str">
        <f t="shared" si="19"/>
        <v>Error?</v>
      </c>
    </row>
    <row r="1316" spans="1:4" x14ac:dyDescent="0.2">
      <c r="A1316" s="5">
        <v>1255</v>
      </c>
      <c r="B1316" s="1831">
        <f>'Expenditures 15-22'!H171</f>
        <v>2750</v>
      </c>
      <c r="D1316" s="2" t="str">
        <f t="shared" si="19"/>
        <v>Error?</v>
      </c>
    </row>
    <row r="1317" spans="1:4" x14ac:dyDescent="0.2">
      <c r="A1317" s="5">
        <v>1256</v>
      </c>
      <c r="B1317" s="1831">
        <f>'Expenditures 15-22'!H172</f>
        <v>1037055</v>
      </c>
      <c r="C1317" s="2" t="s">
        <v>569</v>
      </c>
      <c r="D1317" s="2" t="str">
        <f t="shared" si="19"/>
        <v>Error?</v>
      </c>
    </row>
    <row r="1318" spans="1:4" x14ac:dyDescent="0.2">
      <c r="A1318" s="5">
        <v>1257</v>
      </c>
      <c r="B1318" s="1831">
        <f>'Expenditures 15-22'!H174</f>
        <v>1037055</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309305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725000</v>
      </c>
      <c r="C1329" s="2" t="s">
        <v>569</v>
      </c>
      <c r="D1329" s="2" t="str">
        <f t="shared" si="19"/>
        <v>Error?</v>
      </c>
    </row>
    <row r="1330" spans="1:4" x14ac:dyDescent="0.2">
      <c r="A1330" s="5">
        <v>1269</v>
      </c>
      <c r="B1330" s="1831">
        <f>'Expenditures 15-22'!K171</f>
        <v>2750</v>
      </c>
      <c r="C1330" s="2" t="s">
        <v>569</v>
      </c>
      <c r="D1330" s="2" t="str">
        <f t="shared" si="19"/>
        <v>Error?</v>
      </c>
    </row>
    <row r="1331" spans="1:4" x14ac:dyDescent="0.2">
      <c r="A1331" s="5">
        <v>1270</v>
      </c>
      <c r="B1331" s="1831">
        <f>'Expenditures 15-22'!K172</f>
        <v>1037055</v>
      </c>
      <c r="C1331" s="2" t="s">
        <v>569</v>
      </c>
      <c r="D1331" s="2" t="str">
        <f t="shared" si="19"/>
        <v>Error?</v>
      </c>
    </row>
    <row r="1332" spans="1:4" x14ac:dyDescent="0.2">
      <c r="A1332" s="5">
        <v>1271</v>
      </c>
      <c r="B1332" s="1831">
        <f>'Expenditures 15-22'!K174</f>
        <v>1037055</v>
      </c>
      <c r="C1332" s="2" t="s">
        <v>569</v>
      </c>
      <c r="D1332" s="2" t="str">
        <f t="shared" si="19"/>
        <v>Error?</v>
      </c>
    </row>
    <row r="1333" spans="1:4" x14ac:dyDescent="0.2">
      <c r="A1333" s="5">
        <v>1272</v>
      </c>
      <c r="B1333" s="1831">
        <f>'Expenditures 15-22'!K175</f>
        <v>-153908</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195914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195914</v>
      </c>
      <c r="C1339" s="2" t="s">
        <v>569</v>
      </c>
      <c r="D1339" s="2" t="str">
        <f t="shared" si="19"/>
        <v>Error?</v>
      </c>
    </row>
    <row r="1340" spans="1:4" x14ac:dyDescent="0.2">
      <c r="A1340" s="5">
        <v>1279</v>
      </c>
      <c r="B1340" s="1831">
        <f>'Expenditures 15-22'!C210</f>
        <v>195914</v>
      </c>
      <c r="C1340" s="2" t="s">
        <v>569</v>
      </c>
      <c r="D1340" s="2" t="str">
        <f t="shared" si="19"/>
        <v>Error?</v>
      </c>
    </row>
    <row r="1341" spans="1:4" x14ac:dyDescent="0.2">
      <c r="A1341" s="5">
        <v>1280</v>
      </c>
      <c r="B1341" s="1831">
        <f>'Expenditures 15-22'!D182</f>
        <v>12933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12933</v>
      </c>
      <c r="C1345" s="2" t="s">
        <v>569</v>
      </c>
      <c r="D1345" s="2" t="str">
        <f t="shared" si="20"/>
        <v>Error?</v>
      </c>
    </row>
    <row r="1346" spans="1:4" x14ac:dyDescent="0.2">
      <c r="A1346" s="5">
        <v>1285</v>
      </c>
      <c r="B1346" s="1831">
        <f>'Expenditures 15-22'!D210</f>
        <v>12933</v>
      </c>
      <c r="C1346" s="2" t="s">
        <v>569</v>
      </c>
      <c r="D1346" s="2" t="str">
        <f t="shared" si="20"/>
        <v>Error?</v>
      </c>
    </row>
    <row r="1347" spans="1:4" x14ac:dyDescent="0.2">
      <c r="A1347" s="5">
        <v>1286</v>
      </c>
      <c r="B1347" s="1831">
        <f>'Expenditures 15-22'!E182</f>
        <v>217095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217095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217095</v>
      </c>
      <c r="C1353" s="2" t="s">
        <v>569</v>
      </c>
      <c r="D1353" s="2" t="str">
        <f t="shared" si="20"/>
        <v>Error?</v>
      </c>
    </row>
    <row r="1354" spans="1:4" x14ac:dyDescent="0.2">
      <c r="A1354" s="5">
        <v>1293</v>
      </c>
      <c r="B1354" s="1831">
        <f>'Expenditures 15-22'!F182</f>
        <v>68979</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68979</v>
      </c>
      <c r="C1358" s="2" t="s">
        <v>569</v>
      </c>
      <c r="D1358" s="2" t="str">
        <f t="shared" si="20"/>
        <v>Error?</v>
      </c>
    </row>
    <row r="1359" spans="1:4" x14ac:dyDescent="0.2">
      <c r="A1359" s="5">
        <v>1298</v>
      </c>
      <c r="B1359" s="1831">
        <f>'Expenditures 15-22'!F210</f>
        <v>68979</v>
      </c>
      <c r="C1359" s="2" t="s">
        <v>569</v>
      </c>
      <c r="D1359" s="2" t="str">
        <f t="shared" si="20"/>
        <v>Error?</v>
      </c>
    </row>
    <row r="1360" spans="1:4" x14ac:dyDescent="0.2">
      <c r="A1360" s="5">
        <v>1299</v>
      </c>
      <c r="B1360" s="1831">
        <f>'Expenditures 15-22'!G182</f>
        <v>27988</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27988</v>
      </c>
      <c r="C1364" s="2" t="s">
        <v>569</v>
      </c>
      <c r="D1364" s="2" t="str">
        <f t="shared" si="20"/>
        <v>Error?</v>
      </c>
    </row>
    <row r="1365" spans="1:4" x14ac:dyDescent="0.2">
      <c r="A1365" s="5">
        <v>1304</v>
      </c>
      <c r="B1365" s="1831">
        <f>'Expenditures 15-22'!G210</f>
        <v>27988</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522909</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522909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522909</v>
      </c>
      <c r="C1388" s="2" t="s">
        <v>569</v>
      </c>
      <c r="D1388" s="2" t="str">
        <f t="shared" si="20"/>
        <v>Error?</v>
      </c>
    </row>
    <row r="1389" spans="1:4" x14ac:dyDescent="0.2">
      <c r="A1389" s="5">
        <v>1328</v>
      </c>
      <c r="B1389" s="1831">
        <f>'Expenditures 15-22'!K211</f>
        <v>-123050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741</v>
      </c>
      <c r="D1407" s="2" t="str">
        <f t="shared" ref="D1407:D1470" si="21">IF(ISBLANK(B1407),"OK",IF(A1407-B1407=0,"OK","Error?"))</f>
        <v>Error?</v>
      </c>
    </row>
    <row r="1408" spans="1:4" x14ac:dyDescent="0.2">
      <c r="A1408" s="5">
        <v>1347</v>
      </c>
      <c r="B1408" s="1831">
        <f>'Expenditures 15-22'!D223</f>
        <v>4628</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115234</v>
      </c>
      <c r="C1410" s="2" t="s">
        <v>569</v>
      </c>
      <c r="D1410" s="2" t="str">
        <f t="shared" si="21"/>
        <v>Error?</v>
      </c>
    </row>
    <row r="1411" spans="1:4" x14ac:dyDescent="0.2">
      <c r="A1411" s="5">
        <v>1350</v>
      </c>
      <c r="B1411" s="1831">
        <f>'Expenditures 15-22'!D232</f>
        <v>1212</v>
      </c>
      <c r="D1411" s="2" t="str">
        <f t="shared" si="21"/>
        <v>Error?</v>
      </c>
    </row>
    <row r="1412" spans="1:4" x14ac:dyDescent="0.2">
      <c r="A1412" s="5">
        <v>1351</v>
      </c>
      <c r="B1412" s="1831">
        <f>'Expenditures 15-22'!D233</f>
        <v>760</v>
      </c>
      <c r="D1412" s="2" t="str">
        <f t="shared" si="21"/>
        <v>Error?</v>
      </c>
    </row>
    <row r="1413" spans="1:4" x14ac:dyDescent="0.2">
      <c r="A1413" s="5">
        <v>1352</v>
      </c>
      <c r="B1413" s="1831">
        <f>'Expenditures 15-22'!D234</f>
        <v>4718</v>
      </c>
      <c r="D1413" s="2" t="str">
        <f t="shared" si="21"/>
        <v>Error?</v>
      </c>
    </row>
    <row r="1414" spans="1:4" x14ac:dyDescent="0.2">
      <c r="A1414" s="5">
        <v>1353</v>
      </c>
      <c r="B1414" s="1831">
        <f>'Expenditures 15-22'!D235</f>
        <v>684</v>
      </c>
      <c r="D1414" s="2" t="str">
        <f t="shared" si="21"/>
        <v>Error?</v>
      </c>
    </row>
    <row r="1415" spans="1:4" x14ac:dyDescent="0.2">
      <c r="A1415" s="5">
        <v>1354</v>
      </c>
      <c r="B1415" s="1831">
        <f>'Expenditures 15-22'!D236</f>
        <v>1442</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8816</v>
      </c>
      <c r="C1417" s="2" t="s">
        <v>569</v>
      </c>
      <c r="D1417" s="2" t="str">
        <f t="shared" si="21"/>
        <v>Error?</v>
      </c>
    </row>
    <row r="1418" spans="1:4" x14ac:dyDescent="0.2">
      <c r="A1418" s="5">
        <v>1357</v>
      </c>
      <c r="B1418" s="1831">
        <f>'Expenditures 15-22'!D240</f>
        <v>1696</v>
      </c>
      <c r="D1418" s="2" t="str">
        <f t="shared" si="21"/>
        <v>Error?</v>
      </c>
    </row>
    <row r="1419" spans="1:4" x14ac:dyDescent="0.2">
      <c r="A1419" s="5">
        <v>1358</v>
      </c>
      <c r="B1419" s="1831">
        <f>'Expenditures 15-22'!D241</f>
        <v>6117</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7813</v>
      </c>
      <c r="C1421" s="2" t="s">
        <v>569</v>
      </c>
      <c r="D1421" s="2" t="str">
        <f t="shared" si="21"/>
        <v>Error?</v>
      </c>
    </row>
    <row r="1422" spans="1:4" x14ac:dyDescent="0.2">
      <c r="A1422" s="5">
        <v>1361</v>
      </c>
      <c r="B1422" s="1831">
        <f>'Expenditures 15-22'!D245</f>
        <v>875</v>
      </c>
      <c r="D1422" s="2" t="str">
        <f t="shared" si="21"/>
        <v>Error?</v>
      </c>
    </row>
    <row r="1423" spans="1:4" x14ac:dyDescent="0.2">
      <c r="A1423" s="5">
        <v>1362</v>
      </c>
      <c r="B1423" s="1831">
        <f>'Expenditures 15-22'!D246</f>
        <v>7619</v>
      </c>
      <c r="D1423" s="2" t="str">
        <f t="shared" si="21"/>
        <v>Error?</v>
      </c>
    </row>
    <row r="1424" spans="1:4" x14ac:dyDescent="0.2">
      <c r="A1424" s="5">
        <v>1363</v>
      </c>
      <c r="B1424" s="1831">
        <f>'Expenditures 15-22'!D257</f>
        <v>13882</v>
      </c>
      <c r="C1424" s="2" t="s">
        <v>569</v>
      </c>
      <c r="D1424" s="2" t="str">
        <f t="shared" si="21"/>
        <v>Error?</v>
      </c>
    </row>
    <row r="1425" spans="1:4" x14ac:dyDescent="0.2">
      <c r="A1425" s="5">
        <v>1364</v>
      </c>
      <c r="B1425" s="1831">
        <f>'Expenditures 15-22'!D259</f>
        <v>26975</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26975</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16099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57288</v>
      </c>
      <c r="D1431" s="2" t="str">
        <f t="shared" si="21"/>
        <v>Error?</v>
      </c>
    </row>
    <row r="1432" spans="1:4" x14ac:dyDescent="0.2">
      <c r="A1432" s="5">
        <v>1371</v>
      </c>
      <c r="B1432" s="1831">
        <f>'Expenditures 15-22'!D267</f>
        <v>33820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107207</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164693</v>
      </c>
      <c r="C1446" s="2" t="s">
        <v>569</v>
      </c>
      <c r="D1446" s="2" t="str">
        <f t="shared" si="21"/>
        <v>Error?</v>
      </c>
    </row>
    <row r="1447" spans="1:4" x14ac:dyDescent="0.2">
      <c r="A1447" s="5">
        <v>1386</v>
      </c>
      <c r="B1447" s="1831">
        <f>'Expenditures 15-22'!D280</f>
        <v>18226</v>
      </c>
      <c r="D1447" s="2" t="str">
        <f t="shared" si="21"/>
        <v>Error?</v>
      </c>
    </row>
    <row r="1448" spans="1:4" x14ac:dyDescent="0.2">
      <c r="A1448" s="5">
        <v>1387</v>
      </c>
      <c r="B1448" s="1831">
        <f>'Expenditures 15-22'!D295</f>
        <v>298153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741</v>
      </c>
      <c r="C1471" s="2" t="s">
        <v>569</v>
      </c>
      <c r="D1471" s="2" t="str">
        <f t="shared" ref="D1471:D1534" si="22">IF(ISBLANK(B1471),"OK",IF(A1471-B1471=0,"OK","Error?"))</f>
        <v>Error?</v>
      </c>
    </row>
    <row r="1472" spans="1:4" x14ac:dyDescent="0.2">
      <c r="A1472" s="5">
        <v>1411</v>
      </c>
      <c r="B1472" s="1831">
        <f>'Expenditures 15-22'!K223</f>
        <v>4628</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115234</v>
      </c>
      <c r="C1474" s="2" t="s">
        <v>569</v>
      </c>
      <c r="D1474" s="2" t="str">
        <f t="shared" si="22"/>
        <v>Error?</v>
      </c>
    </row>
    <row r="1475" spans="1:4" x14ac:dyDescent="0.2">
      <c r="A1475" s="5">
        <v>1414</v>
      </c>
      <c r="B1475" s="1831">
        <f>'Expenditures 15-22'!K232</f>
        <v>1212</v>
      </c>
      <c r="C1475" s="2" t="s">
        <v>569</v>
      </c>
      <c r="D1475" s="2" t="str">
        <f t="shared" si="22"/>
        <v>Error?</v>
      </c>
    </row>
    <row r="1476" spans="1:4" x14ac:dyDescent="0.2">
      <c r="A1476" s="5">
        <v>1415</v>
      </c>
      <c r="B1476" s="1831">
        <f>'Expenditures 15-22'!K233</f>
        <v>760</v>
      </c>
      <c r="C1476" s="2" t="s">
        <v>569</v>
      </c>
      <c r="D1476" s="2" t="str">
        <f t="shared" si="22"/>
        <v>Error?</v>
      </c>
    </row>
    <row r="1477" spans="1:4" x14ac:dyDescent="0.2">
      <c r="A1477" s="5">
        <v>1416</v>
      </c>
      <c r="B1477" s="1831">
        <f>'Expenditures 15-22'!K234</f>
        <v>4718</v>
      </c>
      <c r="C1477" s="2" t="s">
        <v>569</v>
      </c>
      <c r="D1477" s="2" t="str">
        <f t="shared" si="22"/>
        <v>Error?</v>
      </c>
    </row>
    <row r="1478" spans="1:4" x14ac:dyDescent="0.2">
      <c r="A1478" s="5">
        <v>1417</v>
      </c>
      <c r="B1478" s="1831">
        <f>'Expenditures 15-22'!K235</f>
        <v>684</v>
      </c>
      <c r="C1478" s="2" t="s">
        <v>569</v>
      </c>
      <c r="D1478" s="2" t="str">
        <f t="shared" si="22"/>
        <v>Error?</v>
      </c>
    </row>
    <row r="1479" spans="1:4" x14ac:dyDescent="0.2">
      <c r="A1479" s="5">
        <v>1418</v>
      </c>
      <c r="B1479" s="1831">
        <f>'Expenditures 15-22'!K236</f>
        <v>1442</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8816</v>
      </c>
      <c r="C1481" s="2" t="s">
        <v>569</v>
      </c>
      <c r="D1481" s="2" t="str">
        <f t="shared" si="22"/>
        <v>Error?</v>
      </c>
    </row>
    <row r="1482" spans="1:4" x14ac:dyDescent="0.2">
      <c r="A1482" s="5">
        <v>1421</v>
      </c>
      <c r="B1482" s="1831">
        <f>'Expenditures 15-22'!K240</f>
        <v>1696</v>
      </c>
      <c r="C1482" s="2" t="s">
        <v>569</v>
      </c>
      <c r="D1482" s="2" t="str">
        <f t="shared" si="22"/>
        <v>Error?</v>
      </c>
    </row>
    <row r="1483" spans="1:4" x14ac:dyDescent="0.2">
      <c r="A1483" s="5">
        <v>1422</v>
      </c>
      <c r="B1483" s="1831">
        <f>'Expenditures 15-22'!K241</f>
        <v>6117</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7813</v>
      </c>
      <c r="C1485" s="2" t="s">
        <v>569</v>
      </c>
      <c r="D1485" s="2" t="str">
        <f t="shared" si="22"/>
        <v>Error?</v>
      </c>
    </row>
    <row r="1486" spans="1:4" x14ac:dyDescent="0.2">
      <c r="A1486" s="5">
        <v>1425</v>
      </c>
      <c r="B1486" s="1831">
        <f>'Expenditures 15-22'!K245</f>
        <v>875</v>
      </c>
      <c r="C1486" s="2" t="s">
        <v>569</v>
      </c>
      <c r="D1486" s="2" t="str">
        <f t="shared" si="22"/>
        <v>Error?</v>
      </c>
    </row>
    <row r="1487" spans="1:4" x14ac:dyDescent="0.2">
      <c r="A1487" s="5">
        <v>1426</v>
      </c>
      <c r="B1487" s="1831">
        <f>'Expenditures 15-22'!K246</f>
        <v>7619</v>
      </c>
      <c r="C1487" s="2" t="s">
        <v>569</v>
      </c>
      <c r="D1487" s="2" t="str">
        <f t="shared" si="22"/>
        <v>Error?</v>
      </c>
    </row>
    <row r="1488" spans="1:4" x14ac:dyDescent="0.2">
      <c r="A1488" s="5">
        <v>1427</v>
      </c>
      <c r="B1488" s="1831">
        <f>'Expenditures 15-22'!K257</f>
        <v>13882</v>
      </c>
      <c r="C1488" s="2" t="s">
        <v>569</v>
      </c>
      <c r="D1488" s="2" t="str">
        <f t="shared" si="22"/>
        <v>Error?</v>
      </c>
    </row>
    <row r="1489" spans="1:4" x14ac:dyDescent="0.2">
      <c r="A1489" s="5">
        <v>1428</v>
      </c>
      <c r="B1489" s="1831">
        <f>'Expenditures 15-22'!K259</f>
        <v>26975</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26975</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16099</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57288</v>
      </c>
      <c r="C1495" s="2" t="s">
        <v>569</v>
      </c>
      <c r="D1495" s="2" t="str">
        <f t="shared" si="22"/>
        <v>Error?</v>
      </c>
    </row>
    <row r="1496" spans="1:4" x14ac:dyDescent="0.2">
      <c r="A1496" s="5">
        <v>1435</v>
      </c>
      <c r="B1496" s="1831">
        <f>'Expenditures 15-22'!K267</f>
        <v>33820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107207</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164693</v>
      </c>
      <c r="C1510" s="2" t="s">
        <v>569</v>
      </c>
      <c r="D1510" s="2" t="str">
        <f t="shared" si="22"/>
        <v>Error?</v>
      </c>
    </row>
    <row r="1511" spans="1:4" x14ac:dyDescent="0.2">
      <c r="A1511" s="5">
        <v>1450</v>
      </c>
      <c r="B1511" s="1831">
        <f>'Expenditures 15-22'!K280</f>
        <v>18226</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298153</v>
      </c>
      <c r="C1517" s="2" t="s">
        <v>569</v>
      </c>
      <c r="D1517" s="2" t="str">
        <f t="shared" si="22"/>
        <v>Error?</v>
      </c>
    </row>
    <row r="1518" spans="1:4" x14ac:dyDescent="0.2">
      <c r="A1518" s="5">
        <v>1457</v>
      </c>
      <c r="B1518" s="1831">
        <f>'Expenditures 15-22'!K296</f>
        <v>196936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4859817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5895355</v>
      </c>
      <c r="C1630" s="2" t="s">
        <v>569</v>
      </c>
      <c r="D1630" s="2" t="str">
        <f t="shared" si="24"/>
        <v>Error?</v>
      </c>
    </row>
    <row r="1631" spans="1:4" x14ac:dyDescent="0.2">
      <c r="A1631" s="5">
        <v>1570</v>
      </c>
      <c r="B1631" s="1831">
        <f>'Acct Summary 7-8'!D79</f>
        <v>1295168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965594</v>
      </c>
      <c r="C1644" s="2" t="s">
        <v>569</v>
      </c>
      <c r="D1644" s="2" t="str">
        <f t="shared" si="24"/>
        <v>Error?</v>
      </c>
    </row>
    <row r="1645" spans="1:4" x14ac:dyDescent="0.2">
      <c r="A1645" s="5">
        <v>1584</v>
      </c>
      <c r="B1645" s="1831">
        <f>'Acct Summary 7-8'!E79</f>
        <v>1542975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1571662</v>
      </c>
      <c r="C1658" s="2" t="s">
        <v>569</v>
      </c>
      <c r="D1658" s="2" t="str">
        <f t="shared" si="24"/>
        <v>Error?</v>
      </c>
    </row>
    <row r="1659" spans="1:4" x14ac:dyDescent="0.2">
      <c r="A1659" s="5">
        <v>1598</v>
      </c>
      <c r="B1659" s="1831">
        <f>'Acct Summary 7-8'!F79</f>
        <v>763702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840652</v>
      </c>
      <c r="C1672" s="2" t="s">
        <v>569</v>
      </c>
      <c r="D1672" s="2" t="str">
        <f t="shared" si="25"/>
        <v>Error?</v>
      </c>
    </row>
    <row r="1673" spans="1:4" x14ac:dyDescent="0.2">
      <c r="A1673" s="5">
        <v>1612</v>
      </c>
      <c r="B1673" s="1831">
        <f>'Acct Summary 7-8'!G79</f>
        <v>601125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798061</v>
      </c>
      <c r="C1686" s="2" t="s">
        <v>569</v>
      </c>
      <c r="D1686" s="2" t="str">
        <f t="shared" si="25"/>
        <v>Error?</v>
      </c>
    </row>
    <row r="1687" spans="1:4" x14ac:dyDescent="0.2">
      <c r="A1687" s="5">
        <v>1626</v>
      </c>
      <c r="B1687" s="1831">
        <f>'Acct Summary 7-8'!H79</f>
        <v>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8</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1584880</v>
      </c>
      <c r="C1744" s="2" t="s">
        <v>569</v>
      </c>
      <c r="D1744" s="2" t="str">
        <f t="shared" si="26"/>
        <v>Error?</v>
      </c>
    </row>
    <row r="1745" spans="1:5" x14ac:dyDescent="0.2">
      <c r="A1745" s="5">
        <v>1684</v>
      </c>
      <c r="B1745" s="1831">
        <f>'Tax Sched 23'!B5</f>
        <v>430673</v>
      </c>
      <c r="C1745" s="2" t="s">
        <v>569</v>
      </c>
      <c r="D1745" s="2" t="str">
        <f t="shared" si="26"/>
        <v>Error?</v>
      </c>
    </row>
    <row r="1746" spans="1:5" x14ac:dyDescent="0.2">
      <c r="A1746" s="5">
        <v>1685</v>
      </c>
      <c r="B1746" s="1831">
        <f>'Tax Sched 23'!B6</f>
        <v>444886</v>
      </c>
      <c r="C1746" s="2" t="s">
        <v>569</v>
      </c>
      <c r="D1746" s="2" t="str">
        <f t="shared" si="26"/>
        <v>Error?</v>
      </c>
    </row>
    <row r="1747" spans="1:5" x14ac:dyDescent="0.2">
      <c r="A1747" s="5">
        <v>1686</v>
      </c>
      <c r="B1747" s="1831">
        <f>'Tax Sched 23'!B7</f>
        <v>164774</v>
      </c>
      <c r="C1747" s="2" t="s">
        <v>569</v>
      </c>
      <c r="D1747" s="2" t="str">
        <f t="shared" si="26"/>
        <v>Error?</v>
      </c>
    </row>
    <row r="1748" spans="1:5" x14ac:dyDescent="0.2">
      <c r="A1748" s="5">
        <v>1687</v>
      </c>
      <c r="B1748" s="1831">
        <f>'Tax Sched 23'!B8</f>
        <v>138761</v>
      </c>
      <c r="C1748" s="2" t="s">
        <v>569</v>
      </c>
      <c r="D1748" s="2" t="str">
        <f t="shared" si="26"/>
        <v>Error?</v>
      </c>
    </row>
    <row r="1749" spans="1:5" x14ac:dyDescent="0.2">
      <c r="A1749" s="5">
        <v>1688</v>
      </c>
      <c r="B1749" s="1831">
        <f>'Tax Sched 23'!B10</f>
        <v>43068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1073583</v>
      </c>
      <c r="C1752" s="2" t="s">
        <v>569</v>
      </c>
      <c r="D1752" s="2" t="str">
        <f t="shared" si="26"/>
        <v>Error?</v>
      </c>
    </row>
    <row r="1753" spans="1:5" x14ac:dyDescent="0.2">
      <c r="A1753" s="5">
        <v>1692</v>
      </c>
      <c r="B1753" s="1831">
        <f>'Tax Sched 23'!B12</f>
        <v>43068</v>
      </c>
      <c r="C1753" s="2" t="s">
        <v>569</v>
      </c>
      <c r="D1753" s="2" t="str">
        <f t="shared" si="26"/>
        <v>Error?</v>
      </c>
    </row>
    <row r="1754" spans="1:5" x14ac:dyDescent="0.2">
      <c r="A1754" s="5">
        <v>1693</v>
      </c>
      <c r="B1754" s="1831">
        <f>'Tax Sched 23'!B14</f>
        <v>34452</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4190278</v>
      </c>
      <c r="C1759" s="2" t="s">
        <v>569</v>
      </c>
      <c r="D1759" s="2" t="str">
        <f t="shared" si="26"/>
        <v>Error?</v>
      </c>
    </row>
    <row r="1760" spans="1:5" x14ac:dyDescent="0.2">
      <c r="A1760" s="5">
        <v>1699</v>
      </c>
      <c r="B1760" s="1831">
        <f>'Tax Sched 23'!D4</f>
        <v>1584880</v>
      </c>
      <c r="C1760" s="2" t="s">
        <v>569</v>
      </c>
      <c r="D1760" s="2" t="str">
        <f t="shared" si="26"/>
        <v>Error?</v>
      </c>
    </row>
    <row r="1761" spans="1:7" x14ac:dyDescent="0.2">
      <c r="A1761" s="5">
        <v>1700</v>
      </c>
      <c r="B1761" s="1831">
        <f>'Tax Sched 23'!D5</f>
        <v>430673</v>
      </c>
      <c r="C1761" s="2" t="s">
        <v>569</v>
      </c>
      <c r="D1761" s="2" t="str">
        <f t="shared" si="26"/>
        <v>Error?</v>
      </c>
    </row>
    <row r="1762" spans="1:7" s="8" customFormat="1" x14ac:dyDescent="0.2">
      <c r="A1762" s="5">
        <v>1701</v>
      </c>
      <c r="B1762" s="1831">
        <f>'Tax Sched 23'!D6</f>
        <v>444886</v>
      </c>
      <c r="C1762" s="2" t="s">
        <v>569</v>
      </c>
      <c r="D1762" s="2" t="str">
        <f t="shared" si="26"/>
        <v>Error?</v>
      </c>
      <c r="E1762" s="9"/>
      <c r="G1762"/>
    </row>
    <row r="1763" spans="1:7" x14ac:dyDescent="0.2">
      <c r="A1763" s="5">
        <v>1702</v>
      </c>
      <c r="B1763" s="1831">
        <f>'Tax Sched 23'!D7</f>
        <v>164774</v>
      </c>
      <c r="C1763" s="2" t="s">
        <v>569</v>
      </c>
      <c r="D1763" s="2" t="str">
        <f t="shared" si="26"/>
        <v>Error?</v>
      </c>
    </row>
    <row r="1764" spans="1:7" x14ac:dyDescent="0.2">
      <c r="A1764" s="5">
        <v>1703</v>
      </c>
      <c r="B1764" s="1831">
        <f>'Tax Sched 23'!D8</f>
        <v>138761</v>
      </c>
      <c r="C1764" s="2" t="s">
        <v>569</v>
      </c>
      <c r="D1764" s="2" t="str">
        <f t="shared" si="26"/>
        <v>Error?</v>
      </c>
    </row>
    <row r="1765" spans="1:7" x14ac:dyDescent="0.2">
      <c r="A1765" s="5">
        <v>1704</v>
      </c>
      <c r="B1765" s="1831">
        <f>'Tax Sched 23'!D10</f>
        <v>43068</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1073583</v>
      </c>
      <c r="C1768" s="2" t="s">
        <v>569</v>
      </c>
      <c r="D1768" s="2" t="str">
        <f t="shared" si="26"/>
        <v>Error?</v>
      </c>
    </row>
    <row r="1769" spans="1:7" x14ac:dyDescent="0.2">
      <c r="A1769" s="5">
        <v>1708</v>
      </c>
      <c r="B1769" s="1831">
        <f>'Tax Sched 23'!D12</f>
        <v>43068</v>
      </c>
      <c r="C1769" s="2" t="s">
        <v>569</v>
      </c>
      <c r="D1769" s="2" t="str">
        <f t="shared" si="26"/>
        <v>Error?</v>
      </c>
    </row>
    <row r="1770" spans="1:7" x14ac:dyDescent="0.2">
      <c r="A1770" s="5">
        <v>1709</v>
      </c>
      <c r="B1770" s="1831">
        <f>'Tax Sched 23'!D14</f>
        <v>34452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4190278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1618725</v>
      </c>
      <c r="C1792" s="2" t="s">
        <v>569</v>
      </c>
      <c r="D1792" s="2" t="str">
        <f t="shared" si="27"/>
        <v>Error?</v>
      </c>
    </row>
    <row r="1793" spans="1:4" x14ac:dyDescent="0.2">
      <c r="A1793" s="5">
        <v>1732</v>
      </c>
      <c r="B1793" s="1831">
        <f>'Tax Sched 23'!F5</f>
        <v>439871</v>
      </c>
      <c r="C1793" s="2" t="s">
        <v>569</v>
      </c>
      <c r="D1793" s="2" t="str">
        <f t="shared" si="27"/>
        <v>Error?</v>
      </c>
    </row>
    <row r="1794" spans="1:4" x14ac:dyDescent="0.2">
      <c r="A1794" s="5">
        <v>1733</v>
      </c>
      <c r="B1794" s="1831">
        <f>'Tax Sched 23'!F6</f>
        <v>445853</v>
      </c>
      <c r="C1794" s="2" t="s">
        <v>569</v>
      </c>
      <c r="D1794" s="2" t="str">
        <f t="shared" si="27"/>
        <v>Error?</v>
      </c>
    </row>
    <row r="1795" spans="1:4" x14ac:dyDescent="0.2">
      <c r="A1795" s="5">
        <v>1734</v>
      </c>
      <c r="B1795" s="1831">
        <f>'Tax Sched 23'!F7</f>
        <v>175948</v>
      </c>
      <c r="C1795" s="2" t="s">
        <v>569</v>
      </c>
      <c r="D1795" s="2" t="str">
        <f t="shared" si="27"/>
        <v>Error?</v>
      </c>
    </row>
    <row r="1796" spans="1:4" x14ac:dyDescent="0.2">
      <c r="A1796" s="5">
        <v>1735</v>
      </c>
      <c r="B1796" s="1831">
        <f>'Tax Sched 23'!F8</f>
        <v>160201</v>
      </c>
      <c r="C1796" s="2" t="s">
        <v>569</v>
      </c>
      <c r="D1796" s="2" t="str">
        <f t="shared" si="27"/>
        <v>Error?</v>
      </c>
    </row>
    <row r="1797" spans="1:4" x14ac:dyDescent="0.2">
      <c r="A1797" s="5">
        <v>1736</v>
      </c>
      <c r="B1797" s="1831">
        <f>'Tax Sched 23'!F10</f>
        <v>43987</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1112522</v>
      </c>
      <c r="C1800" s="2" t="s">
        <v>569</v>
      </c>
      <c r="D1800" s="2" t="str">
        <f t="shared" si="27"/>
        <v>Error?</v>
      </c>
    </row>
    <row r="1801" spans="1:4" x14ac:dyDescent="0.2">
      <c r="A1801" s="5">
        <v>1740</v>
      </c>
      <c r="B1801" s="1831">
        <f>'Tax Sched 23'!F12</f>
        <v>43987</v>
      </c>
      <c r="C1801" s="2" t="s">
        <v>569</v>
      </c>
      <c r="D1801" s="2" t="str">
        <f t="shared" si="27"/>
        <v>Error?</v>
      </c>
    </row>
    <row r="1802" spans="1:4" x14ac:dyDescent="0.2">
      <c r="A1802" s="5">
        <v>1741</v>
      </c>
      <c r="B1802" s="1831">
        <f>'Tax Sched 23'!F14</f>
        <v>35190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4316102</v>
      </c>
      <c r="C1807" s="2" t="s">
        <v>569</v>
      </c>
      <c r="D1807" s="2" t="str">
        <f t="shared" si="27"/>
        <v>Error?</v>
      </c>
    </row>
    <row r="1808" spans="1:4" x14ac:dyDescent="0.2">
      <c r="A1808" s="5">
        <v>1747</v>
      </c>
      <c r="B1808" s="1831">
        <f>'Tax Sched 23'!E4</f>
        <v>1618725</v>
      </c>
      <c r="D1808" s="2" t="str">
        <f t="shared" si="27"/>
        <v>Error?</v>
      </c>
    </row>
    <row r="1809" spans="1:4" x14ac:dyDescent="0.2">
      <c r="A1809" s="5">
        <v>1748</v>
      </c>
      <c r="B1809" s="1831">
        <f>'Tax Sched 23'!E5</f>
        <v>439871</v>
      </c>
      <c r="D1809" s="2" t="str">
        <f t="shared" si="27"/>
        <v>Error?</v>
      </c>
    </row>
    <row r="1810" spans="1:4" x14ac:dyDescent="0.2">
      <c r="A1810" s="5">
        <v>1749</v>
      </c>
      <c r="B1810" s="1831">
        <f>'Tax Sched 23'!E6</f>
        <v>445853</v>
      </c>
      <c r="D1810" s="2" t="str">
        <f t="shared" si="27"/>
        <v>Error?</v>
      </c>
    </row>
    <row r="1811" spans="1:4" x14ac:dyDescent="0.2">
      <c r="A1811" s="5">
        <v>1750</v>
      </c>
      <c r="B1811" s="1831">
        <f>'Tax Sched 23'!E7</f>
        <v>175948</v>
      </c>
      <c r="D1811" s="2" t="str">
        <f t="shared" si="27"/>
        <v>Error?</v>
      </c>
    </row>
    <row r="1812" spans="1:4" x14ac:dyDescent="0.2">
      <c r="A1812" s="5">
        <v>1751</v>
      </c>
      <c r="B1812" s="1831">
        <f>'Tax Sched 23'!E8</f>
        <v>160201</v>
      </c>
      <c r="D1812" s="2" t="str">
        <f t="shared" si="27"/>
        <v>Error?</v>
      </c>
    </row>
    <row r="1813" spans="1:4" x14ac:dyDescent="0.2">
      <c r="A1813" s="5">
        <v>1752</v>
      </c>
      <c r="B1813" s="1831">
        <f>'Tax Sched 23'!E10</f>
        <v>43987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1112522</v>
      </c>
      <c r="D1816" s="2" t="str">
        <f t="shared" si="27"/>
        <v>Error?</v>
      </c>
    </row>
    <row r="1817" spans="1:4" x14ac:dyDescent="0.2">
      <c r="A1817" s="5">
        <v>1756</v>
      </c>
      <c r="B1817" s="1831">
        <f>'Tax Sched 23'!E12</f>
        <v>43987</v>
      </c>
      <c r="D1817" s="2" t="str">
        <f t="shared" si="27"/>
        <v>Error?</v>
      </c>
    </row>
    <row r="1818" spans="1:4" x14ac:dyDescent="0.2">
      <c r="A1818" s="5">
        <v>1757</v>
      </c>
      <c r="B1818" s="1831">
        <f>'Tax Sched 23'!E14</f>
        <v>35190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4316102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8365420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34452</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34452</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34452</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289973</v>
      </c>
      <c r="D2008" s="2" t="str">
        <f t="shared" si="30"/>
        <v>Error?</v>
      </c>
    </row>
    <row r="2009" spans="1:4" x14ac:dyDescent="0.2">
      <c r="A2009" s="5">
        <v>1948</v>
      </c>
      <c r="B2009" s="1831">
        <f>'Cap Outlay Deprec 26'!C8</f>
        <v>18066743</v>
      </c>
      <c r="D2009" s="2" t="str">
        <f t="shared" si="30"/>
        <v>Error?</v>
      </c>
    </row>
    <row r="2010" spans="1:4" x14ac:dyDescent="0.2">
      <c r="A2010" s="5">
        <v>1949</v>
      </c>
      <c r="B2010" s="1831">
        <f>'Cap Outlay Deprec 26'!C10</f>
        <v>857506</v>
      </c>
      <c r="D2010" s="2" t="str">
        <f t="shared" si="30"/>
        <v>Error?</v>
      </c>
    </row>
    <row r="2011" spans="1:4" x14ac:dyDescent="0.2">
      <c r="A2011" s="5">
        <v>1950</v>
      </c>
      <c r="B2011" s="1831">
        <f>'Cap Outlay Deprec 26'!C12</f>
        <v>5344407</v>
      </c>
      <c r="D2011" s="2" t="str">
        <f t="shared" si="30"/>
        <v>Error?</v>
      </c>
    </row>
    <row r="2012" spans="1:4" x14ac:dyDescent="0.2">
      <c r="A2012" s="5">
        <v>1951</v>
      </c>
      <c r="B2012" s="1831">
        <f>'Cap Outlay Deprec 26'!C13</f>
        <v>203718</v>
      </c>
      <c r="D2012" s="2" t="str">
        <f t="shared" si="30"/>
        <v>Error?</v>
      </c>
    </row>
    <row r="2013" spans="1:4" x14ac:dyDescent="0.2">
      <c r="A2013" s="5">
        <v>1952</v>
      </c>
      <c r="B2013" s="1831">
        <f>'Cap Outlay Deprec 26'!C16</f>
        <v>25345388</v>
      </c>
      <c r="C2013" s="2" t="s">
        <v>569</v>
      </c>
      <c r="D2013" s="2" t="str">
        <f t="shared" si="30"/>
        <v>Error?</v>
      </c>
    </row>
    <row r="2014" spans="1:4" x14ac:dyDescent="0.2">
      <c r="A2014" s="5">
        <v>1953</v>
      </c>
      <c r="B2014" s="1831">
        <f>'Cap Outlay Deprec 26'!D5</f>
        <v>1103</v>
      </c>
      <c r="D2014" s="2" t="str">
        <f t="shared" si="30"/>
        <v>Error?</v>
      </c>
    </row>
    <row r="2015" spans="1:4" x14ac:dyDescent="0.2">
      <c r="A2015" s="5">
        <v>1954</v>
      </c>
      <c r="B2015" s="1831">
        <f>'Cap Outlay Deprec 26'!D8</f>
        <v>3423236</v>
      </c>
      <c r="D2015" s="2" t="str">
        <f t="shared" si="30"/>
        <v>Error?</v>
      </c>
    </row>
    <row r="2016" spans="1:4" x14ac:dyDescent="0.2">
      <c r="A2016" s="5">
        <v>1955</v>
      </c>
      <c r="B2016" s="1831">
        <f>'Cap Outlay Deprec 26'!D10</f>
        <v>11221</v>
      </c>
      <c r="D2016" s="2" t="str">
        <f t="shared" si="30"/>
        <v>Error?</v>
      </c>
    </row>
    <row r="2017" spans="1:4" x14ac:dyDescent="0.2">
      <c r="A2017" s="5">
        <v>1956</v>
      </c>
      <c r="B2017" s="1831">
        <f>'Cap Outlay Deprec 26'!D12</f>
        <v>112211</v>
      </c>
      <c r="D2017" s="2" t="str">
        <f t="shared" si="30"/>
        <v>Error?</v>
      </c>
    </row>
    <row r="2018" spans="1:4" x14ac:dyDescent="0.2">
      <c r="A2018" s="5">
        <v>1957</v>
      </c>
      <c r="B2018" s="1831">
        <f>'Cap Outlay Deprec 26'!D13</f>
        <v>5000</v>
      </c>
      <c r="D2018" s="2" t="str">
        <f t="shared" si="30"/>
        <v>Error?</v>
      </c>
    </row>
    <row r="2019" spans="1:4" x14ac:dyDescent="0.2">
      <c r="A2019" s="5">
        <v>1958</v>
      </c>
      <c r="B2019" s="1831">
        <f>'Cap Outlay Deprec 26'!D16</f>
        <v>3554619</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579218</v>
      </c>
      <c r="C2025" s="2" t="s">
        <v>569</v>
      </c>
      <c r="D2025" s="2" t="str">
        <f t="shared" si="30"/>
        <v>Error?</v>
      </c>
    </row>
    <row r="2026" spans="1:4" x14ac:dyDescent="0.2">
      <c r="A2026" s="5">
        <v>1965</v>
      </c>
      <c r="B2026" s="1831">
        <f>'Cap Outlay Deprec 26'!F5</f>
        <v>291076</v>
      </c>
      <c r="C2026" s="2" t="s">
        <v>569</v>
      </c>
      <c r="D2026" s="2" t="str">
        <f t="shared" si="30"/>
        <v>Error?</v>
      </c>
    </row>
    <row r="2027" spans="1:4" x14ac:dyDescent="0.2">
      <c r="A2027" s="5">
        <v>1966</v>
      </c>
      <c r="B2027" s="1831">
        <f>'Cap Outlay Deprec 26'!F8</f>
        <v>21489979</v>
      </c>
      <c r="C2027" s="2" t="s">
        <v>569</v>
      </c>
      <c r="D2027" s="2" t="str">
        <f t="shared" si="30"/>
        <v>Error?</v>
      </c>
    </row>
    <row r="2028" spans="1:4" x14ac:dyDescent="0.2">
      <c r="A2028" s="5">
        <v>1967</v>
      </c>
      <c r="B2028" s="1831">
        <f>'Cap Outlay Deprec 26'!F10</f>
        <v>868727</v>
      </c>
      <c r="C2028" s="2" t="s">
        <v>569</v>
      </c>
      <c r="D2028" s="2" t="str">
        <f t="shared" si="30"/>
        <v>Error?</v>
      </c>
    </row>
    <row r="2029" spans="1:4" x14ac:dyDescent="0.2">
      <c r="A2029" s="5">
        <v>1968</v>
      </c>
      <c r="B2029" s="1831">
        <f>'Cap Outlay Deprec 26'!F12</f>
        <v>5456618</v>
      </c>
      <c r="C2029" s="2" t="s">
        <v>569</v>
      </c>
      <c r="D2029" s="2" t="str">
        <f t="shared" si="30"/>
        <v>Error?</v>
      </c>
    </row>
    <row r="2030" spans="1:4" x14ac:dyDescent="0.2">
      <c r="A2030" s="5">
        <v>1969</v>
      </c>
      <c r="B2030" s="1831">
        <f>'Cap Outlay Deprec 26'!F13</f>
        <v>208718</v>
      </c>
      <c r="C2030" s="2" t="s">
        <v>569</v>
      </c>
      <c r="D2030" s="2" t="str">
        <f t="shared" si="30"/>
        <v>Error?</v>
      </c>
    </row>
    <row r="2031" spans="1:4" x14ac:dyDescent="0.2">
      <c r="A2031" s="5">
        <v>1970</v>
      </c>
      <c r="B2031" s="1831">
        <f>'Cap Outlay Deprec 26'!F16</f>
        <v>28320789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8278021</v>
      </c>
      <c r="D2033" s="2" t="str">
        <f t="shared" si="30"/>
        <v>Error?</v>
      </c>
    </row>
    <row r="2034" spans="1:4" x14ac:dyDescent="0.2">
      <c r="A2034" s="5">
        <v>1973</v>
      </c>
      <c r="B2034" s="1831">
        <f>'Cap Outlay Deprec 26'!H10</f>
        <v>565986</v>
      </c>
      <c r="D2034" s="2" t="str">
        <f t="shared" si="30"/>
        <v>Error?</v>
      </c>
    </row>
    <row r="2035" spans="1:4" x14ac:dyDescent="0.2">
      <c r="A2035" s="5">
        <v>1974</v>
      </c>
      <c r="B2035" s="1831">
        <f>'Cap Outlay Deprec 26'!H12</f>
        <v>4401401</v>
      </c>
      <c r="D2035" s="2" t="str">
        <f t="shared" si="30"/>
        <v>Error?</v>
      </c>
    </row>
    <row r="2036" spans="1:4" x14ac:dyDescent="0.2">
      <c r="A2036" s="5">
        <v>1975</v>
      </c>
      <c r="B2036" s="1831">
        <f>'Cap Outlay Deprec 26'!H13</f>
        <v>192642</v>
      </c>
      <c r="D2036" s="2" t="str">
        <f t="shared" si="30"/>
        <v>Error?</v>
      </c>
    </row>
    <row r="2037" spans="1:4" x14ac:dyDescent="0.2">
      <c r="A2037" s="5">
        <v>1976</v>
      </c>
      <c r="B2037" s="1831">
        <f>'Cap Outlay Deprec 26'!H16</f>
        <v>13439639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429800</v>
      </c>
      <c r="D2039" s="2" t="str">
        <f t="shared" si="30"/>
        <v>Error?</v>
      </c>
    </row>
    <row r="2040" spans="1:4" x14ac:dyDescent="0.2">
      <c r="A2040" s="5">
        <v>1979</v>
      </c>
      <c r="B2040" s="1831">
        <f>'Cap Outlay Deprec 26'!I10</f>
        <v>23152</v>
      </c>
      <c r="D2040" s="2" t="str">
        <f t="shared" si="30"/>
        <v>Error?</v>
      </c>
    </row>
    <row r="2041" spans="1:4" x14ac:dyDescent="0.2">
      <c r="A2041" s="5">
        <v>1980</v>
      </c>
      <c r="B2041" s="1831">
        <f>'Cap Outlay Deprec 26'!I12</f>
        <v>188750</v>
      </c>
      <c r="D2041" s="2" t="str">
        <f t="shared" si="30"/>
        <v>Error?</v>
      </c>
    </row>
    <row r="2042" spans="1:4" x14ac:dyDescent="0.2">
      <c r="A2042" s="5">
        <v>1981</v>
      </c>
      <c r="B2042" s="1831">
        <f>'Cap Outlay Deprec 26'!I13</f>
        <v>6251</v>
      </c>
      <c r="D2042" s="2" t="str">
        <f t="shared" si="30"/>
        <v>Error?</v>
      </c>
    </row>
    <row r="2043" spans="1:4" x14ac:dyDescent="0.2">
      <c r="A2043" s="5">
        <v>1982</v>
      </c>
      <c r="B2043" s="1831">
        <f>'Cap Outlay Deprec 26'!I16</f>
        <v>648699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8707821</v>
      </c>
      <c r="C2051" s="2" t="s">
        <v>569</v>
      </c>
      <c r="D2051" s="2" t="str">
        <f t="shared" si="31"/>
        <v>Error?</v>
      </c>
    </row>
    <row r="2052" spans="1:4" x14ac:dyDescent="0.2">
      <c r="A2052" s="5">
        <v>1991</v>
      </c>
      <c r="B2052" s="1831">
        <f>'Cap Outlay Deprec 26'!K10</f>
        <v>589138</v>
      </c>
      <c r="C2052" s="2" t="s">
        <v>569</v>
      </c>
      <c r="D2052" s="2" t="str">
        <f t="shared" si="31"/>
        <v>Error?</v>
      </c>
    </row>
    <row r="2053" spans="1:4" x14ac:dyDescent="0.2">
      <c r="A2053" s="5">
        <v>1992</v>
      </c>
      <c r="B2053" s="1831">
        <f>'Cap Outlay Deprec 26'!K12</f>
        <v>4590151</v>
      </c>
      <c r="C2053" s="2" t="s">
        <v>569</v>
      </c>
      <c r="D2053" s="2" t="str">
        <f t="shared" si="31"/>
        <v>Error?</v>
      </c>
    </row>
    <row r="2054" spans="1:4" x14ac:dyDescent="0.2">
      <c r="A2054" s="5">
        <v>1993</v>
      </c>
      <c r="B2054" s="1831">
        <f>'Cap Outlay Deprec 26'!K13</f>
        <v>198893</v>
      </c>
      <c r="C2054" s="2" t="s">
        <v>569</v>
      </c>
      <c r="D2054" s="2" t="str">
        <f t="shared" si="31"/>
        <v>Error?</v>
      </c>
    </row>
    <row r="2055" spans="1:4" x14ac:dyDescent="0.2">
      <c r="A2055" s="5">
        <v>1994</v>
      </c>
      <c r="B2055" s="1831">
        <f>'Cap Outlay Deprec 26'!K16</f>
        <v>14088338</v>
      </c>
      <c r="C2055" s="2" t="s">
        <v>569</v>
      </c>
      <c r="D2055" s="2" t="str">
        <f t="shared" si="31"/>
        <v>Error?</v>
      </c>
    </row>
    <row r="2056" spans="1:4" x14ac:dyDescent="0.2">
      <c r="A2056" s="5">
        <v>1995</v>
      </c>
      <c r="B2056" s="1831">
        <f>'Cap Outlay Deprec 26'!L5</f>
        <v>291076</v>
      </c>
      <c r="C2056" s="2" t="s">
        <v>569</v>
      </c>
      <c r="D2056" s="2" t="str">
        <f t="shared" si="31"/>
        <v>Error?</v>
      </c>
    </row>
    <row r="2057" spans="1:4" x14ac:dyDescent="0.2">
      <c r="A2057" s="5">
        <v>1996</v>
      </c>
      <c r="B2057" s="1831">
        <f>'Cap Outlay Deprec 26'!L8</f>
        <v>12782158</v>
      </c>
      <c r="C2057" s="2" t="s">
        <v>569</v>
      </c>
      <c r="D2057" s="2" t="str">
        <f t="shared" si="31"/>
        <v>Error?</v>
      </c>
    </row>
    <row r="2058" spans="1:4" x14ac:dyDescent="0.2">
      <c r="A2058" s="5">
        <v>1997</v>
      </c>
      <c r="B2058" s="1831">
        <f>'Cap Outlay Deprec 26'!L10</f>
        <v>279589</v>
      </c>
      <c r="C2058" s="2" t="s">
        <v>569</v>
      </c>
      <c r="D2058" s="2" t="str">
        <f t="shared" si="31"/>
        <v>Error?</v>
      </c>
    </row>
    <row r="2059" spans="1:4" x14ac:dyDescent="0.2">
      <c r="A2059" s="5">
        <v>1998</v>
      </c>
      <c r="B2059" s="1831">
        <f>'Cap Outlay Deprec 26'!L12</f>
        <v>866467</v>
      </c>
      <c r="C2059" s="2" t="s">
        <v>569</v>
      </c>
      <c r="D2059" s="2" t="str">
        <f t="shared" si="31"/>
        <v>Error?</v>
      </c>
    </row>
    <row r="2060" spans="1:4" x14ac:dyDescent="0.2">
      <c r="A2060" s="5">
        <v>1999</v>
      </c>
      <c r="B2060" s="1831">
        <f>'Cap Outlay Deprec 26'!L13</f>
        <v>9825</v>
      </c>
      <c r="C2060" s="2" t="s">
        <v>569</v>
      </c>
      <c r="D2060" s="2" t="str">
        <f t="shared" si="31"/>
        <v>Error?</v>
      </c>
    </row>
    <row r="2061" spans="1:4" x14ac:dyDescent="0.2">
      <c r="A2061" s="5">
        <v>2000</v>
      </c>
      <c r="B2061" s="1831">
        <f>'Cap Outlay Deprec 26'!L16</f>
        <v>14232451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26399</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133602</v>
      </c>
      <c r="C2088" s="2" t="s">
        <v>569</v>
      </c>
      <c r="D2088" s="2" t="str">
        <f t="shared" si="31"/>
        <v>Error?</v>
      </c>
    </row>
    <row r="2089" spans="1:4" x14ac:dyDescent="0.2">
      <c r="A2089" s="5">
        <v>2028</v>
      </c>
      <c r="B2089" s="1831">
        <f>'Expenditures 15-22'!K92</f>
        <v>8789</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58901</v>
      </c>
      <c r="D2435" s="2" t="str">
        <f t="shared" si="37"/>
        <v>Error?</v>
      </c>
    </row>
    <row r="2436" spans="1:4" x14ac:dyDescent="0.2">
      <c r="A2436" s="10">
        <v>2375</v>
      </c>
      <c r="B2436" s="1831"/>
      <c r="D2436" s="2" t="str">
        <f t="shared" si="37"/>
        <v>OK</v>
      </c>
    </row>
    <row r="2437" spans="1:4" x14ac:dyDescent="0.2">
      <c r="A2437" s="5">
        <v>2376</v>
      </c>
      <c r="B2437" s="1831">
        <f>'Assets-Liab 5-6'!D38</f>
        <v>50000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295170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1183599</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3706128</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3671005</v>
      </c>
      <c r="C2553" s="2" t="s">
        <v>569</v>
      </c>
      <c r="D2553" s="2" t="str">
        <f t="shared" si="38"/>
        <v>Error?</v>
      </c>
    </row>
    <row r="2554" spans="1:4" x14ac:dyDescent="0.2">
      <c r="A2554" s="5">
        <v>2493</v>
      </c>
      <c r="B2554" s="1831">
        <f>'Acct Summary 7-8'!C7</f>
        <v>1065598</v>
      </c>
      <c r="C2554" s="2" t="s">
        <v>569</v>
      </c>
      <c r="D2554" s="2" t="str">
        <f t="shared" si="38"/>
        <v>Error?</v>
      </c>
    </row>
    <row r="2555" spans="1:4" x14ac:dyDescent="0.2">
      <c r="A2555" s="5">
        <v>2494</v>
      </c>
      <c r="B2555" s="1831">
        <f>'Acct Summary 7-8'!C8</f>
        <v>8442731</v>
      </c>
      <c r="C2555" s="2" t="s">
        <v>569</v>
      </c>
      <c r="D2555" s="2" t="str">
        <f t="shared" si="38"/>
        <v>Error?</v>
      </c>
    </row>
    <row r="2556" spans="1:4" x14ac:dyDescent="0.2">
      <c r="A2556" s="5">
        <v>2495</v>
      </c>
      <c r="B2556" s="1831">
        <f>'Acct Summary 7-8'!C12</f>
        <v>4791964</v>
      </c>
      <c r="C2556" s="2" t="s">
        <v>569</v>
      </c>
      <c r="D2556" s="2" t="str">
        <f t="shared" si="38"/>
        <v>Error?</v>
      </c>
    </row>
    <row r="2557" spans="1:4" x14ac:dyDescent="0.2">
      <c r="A2557" s="5">
        <v>2496</v>
      </c>
      <c r="B2557" s="1831">
        <f>'Acct Summary 7-8'!C13</f>
        <v>2290094</v>
      </c>
      <c r="C2557" s="2" t="s">
        <v>569</v>
      </c>
      <c r="D2557" s="2" t="str">
        <f t="shared" si="38"/>
        <v>Error?</v>
      </c>
    </row>
    <row r="2558" spans="1:4" x14ac:dyDescent="0.2">
      <c r="A2558" s="5">
        <v>2497</v>
      </c>
      <c r="B2558" s="1831">
        <f>'Acct Summary 7-8'!C14</f>
        <v>149</v>
      </c>
      <c r="C2558" s="2" t="s">
        <v>569</v>
      </c>
      <c r="D2558" s="2" t="str">
        <f t="shared" si="38"/>
        <v>Error?</v>
      </c>
    </row>
    <row r="2559" spans="1:4" x14ac:dyDescent="0.2">
      <c r="A2559" s="5">
        <v>2498</v>
      </c>
      <c r="B2559" s="1831">
        <f>'Acct Summary 7-8'!C15</f>
        <v>142391</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7224598</v>
      </c>
      <c r="C2561" s="2" t="s">
        <v>569</v>
      </c>
      <c r="D2561" s="2" t="str">
        <f t="shared" si="39"/>
        <v>Error?</v>
      </c>
    </row>
    <row r="2562" spans="1:4" x14ac:dyDescent="0.2">
      <c r="A2562" s="5">
        <v>2501</v>
      </c>
      <c r="B2562" s="1831">
        <f>'Acct Summary 7-8'!C20</f>
        <v>1218133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443538</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493538</v>
      </c>
      <c r="C2568" s="2" t="s">
        <v>569</v>
      </c>
      <c r="D2568" s="2" t="str">
        <f t="shared" si="39"/>
        <v>Error?</v>
      </c>
    </row>
    <row r="2569" spans="1:4" x14ac:dyDescent="0.2">
      <c r="A2569" s="5">
        <v>2508</v>
      </c>
      <c r="B2569" s="1831">
        <f>'Acct Summary 7-8'!D13</f>
        <v>1023112</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1023112</v>
      </c>
      <c r="C2573" s="2" t="s">
        <v>569</v>
      </c>
      <c r="D2573" s="2" t="str">
        <f t="shared" si="39"/>
        <v>Error?</v>
      </c>
    </row>
    <row r="2574" spans="1:4" x14ac:dyDescent="0.2">
      <c r="A2574" s="5">
        <v>2513</v>
      </c>
      <c r="B2574" s="1831">
        <f>'Acct Summary 7-8'!D20</f>
        <v>-529574</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172024</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227835</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399859</v>
      </c>
      <c r="C2595" s="2" t="s">
        <v>569</v>
      </c>
      <c r="D2595" s="2" t="str">
        <f t="shared" si="39"/>
        <v>Error?</v>
      </c>
    </row>
    <row r="2596" spans="1:4" x14ac:dyDescent="0.2">
      <c r="A2596" s="5">
        <v>2535</v>
      </c>
      <c r="B2596" s="1831">
        <f>'Acct Summary 7-8'!F13</f>
        <v>522909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522909</v>
      </c>
      <c r="C2600" s="2" t="s">
        <v>569</v>
      </c>
      <c r="D2600" s="2" t="str">
        <f t="shared" si="39"/>
        <v>Error?</v>
      </c>
    </row>
    <row r="2601" spans="1:4" x14ac:dyDescent="0.2">
      <c r="A2601" s="5">
        <v>2540</v>
      </c>
      <c r="B2601" s="1831">
        <f>'Acct Summary 7-8'!F20</f>
        <v>-123050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455881</v>
      </c>
      <c r="C2603" s="2" t="s">
        <v>569</v>
      </c>
      <c r="D2603" s="2" t="str">
        <f t="shared" si="39"/>
        <v>Error?</v>
      </c>
    </row>
    <row r="2604" spans="1:4" x14ac:dyDescent="0.2">
      <c r="A2604" s="5">
        <v>2543</v>
      </c>
      <c r="B2604" s="1831">
        <f>'Acct Summary 7-8'!G6</f>
        <v>22544</v>
      </c>
      <c r="C2604" s="2" t="s">
        <v>569</v>
      </c>
      <c r="D2604" s="2" t="str">
        <f t="shared" si="39"/>
        <v>Error?</v>
      </c>
    </row>
    <row r="2605" spans="1:4" x14ac:dyDescent="0.2">
      <c r="A2605" s="5">
        <v>2544</v>
      </c>
      <c r="B2605" s="1831">
        <f>'Acct Summary 7-8'!G7</f>
        <v>16664</v>
      </c>
      <c r="C2605" s="2" t="s">
        <v>569</v>
      </c>
      <c r="D2605" s="2" t="str">
        <f t="shared" si="39"/>
        <v>Error?</v>
      </c>
    </row>
    <row r="2606" spans="1:4" x14ac:dyDescent="0.2">
      <c r="A2606" s="5">
        <v>2545</v>
      </c>
      <c r="B2606" s="1831">
        <f>'Acct Summary 7-8'!G8</f>
        <v>495089</v>
      </c>
      <c r="C2606" s="2" t="s">
        <v>569</v>
      </c>
      <c r="D2606" s="2" t="str">
        <f t="shared" si="39"/>
        <v>Error?</v>
      </c>
    </row>
    <row r="2607" spans="1:4" x14ac:dyDescent="0.2">
      <c r="A2607" s="5">
        <v>2546</v>
      </c>
      <c r="B2607" s="1831">
        <f>'Acct Summary 7-8'!G12</f>
        <v>115234</v>
      </c>
      <c r="C2607" s="2" t="s">
        <v>569</v>
      </c>
      <c r="D2607" s="2" t="str">
        <f t="shared" si="39"/>
        <v>Error?</v>
      </c>
    </row>
    <row r="2608" spans="1:4" x14ac:dyDescent="0.2">
      <c r="A2608" s="5">
        <v>2547</v>
      </c>
      <c r="B2608" s="1831">
        <f>'Acct Summary 7-8'!G13</f>
        <v>164693</v>
      </c>
      <c r="C2608" s="2" t="s">
        <v>569</v>
      </c>
      <c r="D2608" s="2" t="str">
        <f t="shared" si="39"/>
        <v>Error?</v>
      </c>
    </row>
    <row r="2609" spans="1:4" x14ac:dyDescent="0.2">
      <c r="A2609" s="5">
        <v>2548</v>
      </c>
      <c r="B2609" s="1831">
        <f>'Acct Summary 7-8'!G14</f>
        <v>18226</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298153</v>
      </c>
      <c r="C2612" s="2" t="s">
        <v>569</v>
      </c>
      <c r="D2612" s="2" t="str">
        <f t="shared" si="39"/>
        <v>Error?</v>
      </c>
    </row>
    <row r="2613" spans="1:4" x14ac:dyDescent="0.2">
      <c r="A2613" s="5">
        <v>2552</v>
      </c>
      <c r="B2613" s="1831">
        <f>'Acct Summary 7-8'!G20</f>
        <v>196936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836003</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883147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1037055</v>
      </c>
      <c r="C2634" s="2" t="s">
        <v>569</v>
      </c>
      <c r="D2634" s="2" t="str">
        <f t="shared" si="40"/>
        <v>Error?</v>
      </c>
    </row>
    <row r="2635" spans="1:4" x14ac:dyDescent="0.2">
      <c r="A2635" s="5">
        <v>2574</v>
      </c>
      <c r="B2635" s="1831">
        <f>'Acct Summary 7-8'!E17</f>
        <v>1037055</v>
      </c>
      <c r="C2635" s="2" t="s">
        <v>569</v>
      </c>
      <c r="D2635" s="2" t="str">
        <f t="shared" si="40"/>
        <v>Error?</v>
      </c>
    </row>
    <row r="2636" spans="1:4" x14ac:dyDescent="0.2">
      <c r="A2636" s="5">
        <v>2575</v>
      </c>
      <c r="B2636" s="1831">
        <f>'Acct Summary 7-8'!E20</f>
        <v>-153908</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107203</v>
      </c>
      <c r="C2789" s="2" t="s">
        <v>569</v>
      </c>
      <c r="D2789" s="2" t="str">
        <f t="shared" si="42"/>
        <v>Error?</v>
      </c>
    </row>
    <row r="2790" spans="1:4" x14ac:dyDescent="0.2">
      <c r="A2790" s="5">
        <v>2729</v>
      </c>
      <c r="B2790" s="1831">
        <f>'Expenditures 15-22'!E102</f>
        <v>107203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87709</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233914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87709</v>
      </c>
      <c r="D2912" s="2" t="str">
        <f t="shared" si="44"/>
        <v>Error?</v>
      </c>
    </row>
    <row r="2913" spans="1:4" x14ac:dyDescent="0.2">
      <c r="A2913" s="5">
        <v>2852</v>
      </c>
      <c r="B2913" s="1831">
        <f>'Assets-Liab 5-6'!I41</f>
        <v>87709</v>
      </c>
      <c r="C2913" s="2" t="s">
        <v>569</v>
      </c>
      <c r="D2913" s="2" t="str">
        <f t="shared" si="44"/>
        <v>Error?</v>
      </c>
    </row>
    <row r="2914" spans="1:4" x14ac:dyDescent="0.2">
      <c r="A2914" s="5">
        <v>2853</v>
      </c>
      <c r="B2914" s="1831">
        <f>'Assets-Liab 5-6'!L33</f>
        <v>233914</v>
      </c>
      <c r="D2914" s="2" t="str">
        <f t="shared" si="44"/>
        <v>Error?</v>
      </c>
    </row>
    <row r="2915" spans="1:4" x14ac:dyDescent="0.2">
      <c r="A2915" s="10">
        <v>2854</v>
      </c>
      <c r="B2915" s="1831"/>
      <c r="D2915" s="2" t="str">
        <f t="shared" si="44"/>
        <v>OK</v>
      </c>
    </row>
    <row r="2916" spans="1:4" x14ac:dyDescent="0.2">
      <c r="A2916" s="5">
        <v>2855</v>
      </c>
      <c r="B2916" s="1831">
        <f>'Assets-Liab 5-6'!L34</f>
        <v>233914</v>
      </c>
      <c r="C2916" s="2" t="s">
        <v>569</v>
      </c>
      <c r="D2916" s="2" t="str">
        <f t="shared" si="44"/>
        <v>Error?</v>
      </c>
    </row>
    <row r="2917" spans="1:4" x14ac:dyDescent="0.2">
      <c r="A2917" s="5">
        <v>2856</v>
      </c>
      <c r="B2917" s="1831">
        <f>'Assets-Liab 5-6'!L41</f>
        <v>233914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107203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26399</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133602</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210557</v>
      </c>
      <c r="D3055" s="2" t="str">
        <f t="shared" si="46"/>
        <v>Error?</v>
      </c>
    </row>
    <row r="3056" spans="1:4" x14ac:dyDescent="0.2">
      <c r="A3056" s="5">
        <v>2995</v>
      </c>
      <c r="B3056" s="1831">
        <f>'Expenditures 15-22'!D10</f>
        <v>54847</v>
      </c>
      <c r="D3056" s="2" t="str">
        <f t="shared" si="46"/>
        <v>Error?</v>
      </c>
    </row>
    <row r="3057" spans="1:4" x14ac:dyDescent="0.2">
      <c r="A3057" s="5">
        <v>2996</v>
      </c>
      <c r="B3057" s="1831">
        <f>'Expenditures 15-22'!E10</f>
        <v>18657</v>
      </c>
      <c r="D3057" s="2" t="str">
        <f t="shared" si="46"/>
        <v>Error?</v>
      </c>
    </row>
    <row r="3058" spans="1:4" x14ac:dyDescent="0.2">
      <c r="A3058" s="5">
        <v>2997</v>
      </c>
      <c r="B3058" s="1831">
        <f>'Expenditures 15-22'!F10</f>
        <v>2645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286706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43473</v>
      </c>
      <c r="C3225" s="2" t="s">
        <v>569</v>
      </c>
      <c r="D3225" s="2" t="str">
        <f t="shared" si="49"/>
        <v>Error?</v>
      </c>
    </row>
    <row r="3226" spans="1:4" x14ac:dyDescent="0.2">
      <c r="A3226" s="5">
        <v>3165</v>
      </c>
      <c r="B3226" s="1831">
        <f>'Acct Summary 7-8'!I8</f>
        <v>43473</v>
      </c>
      <c r="C3226" s="2" t="s">
        <v>569</v>
      </c>
      <c r="D3226" s="2" t="str">
        <f t="shared" si="49"/>
        <v>Error?</v>
      </c>
    </row>
    <row r="3227" spans="1:4" x14ac:dyDescent="0.2">
      <c r="A3227" s="5">
        <v>3166</v>
      </c>
      <c r="B3227" s="1831">
        <f>'Acct Summary 7-8'!I20</f>
        <v>43473</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182595</v>
      </c>
      <c r="C3231" s="2" t="s">
        <v>569</v>
      </c>
      <c r="D3231" s="2" t="str">
        <f t="shared" si="49"/>
        <v>Error?</v>
      </c>
    </row>
    <row r="3232" spans="1:4" x14ac:dyDescent="0.2">
      <c r="A3232" s="5">
        <v>3171</v>
      </c>
      <c r="B3232" s="1831">
        <f>'Acct Summary 7-8'!C77</f>
        <v>-182595</v>
      </c>
      <c r="C3232" s="2" t="s">
        <v>569</v>
      </c>
      <c r="D3232" s="2" t="str">
        <f t="shared" si="49"/>
        <v>Error?</v>
      </c>
    </row>
    <row r="3233" spans="1:4" x14ac:dyDescent="0.2">
      <c r="A3233" s="5">
        <v>3172</v>
      </c>
      <c r="B3233" s="1831">
        <f>'Acct Summary 7-8'!C78</f>
        <v>1035538</v>
      </c>
      <c r="C3233" s="2" t="s">
        <v>569</v>
      </c>
      <c r="D3233" s="2" t="str">
        <f t="shared" si="49"/>
        <v>Error?</v>
      </c>
    </row>
    <row r="3234" spans="1:4" x14ac:dyDescent="0.2">
      <c r="A3234" s="5">
        <v>3173</v>
      </c>
      <c r="B3234" s="1831">
        <f>'Acct Summary 7-8'!D43</f>
        <v>400000</v>
      </c>
      <c r="D3234" s="2" t="str">
        <f t="shared" si="49"/>
        <v>Error?</v>
      </c>
    </row>
    <row r="3235" spans="1:4" x14ac:dyDescent="0.2">
      <c r="A3235" s="5">
        <v>3174</v>
      </c>
      <c r="B3235" s="1831">
        <f>'Acct Summary 7-8'!D44</f>
        <v>400000</v>
      </c>
      <c r="C3235" s="2" t="s">
        <v>569</v>
      </c>
      <c r="D3235" s="2" t="str">
        <f t="shared" si="49"/>
        <v>Error?</v>
      </c>
    </row>
    <row r="3236" spans="1:4" x14ac:dyDescent="0.2">
      <c r="A3236" s="5">
        <v>3175</v>
      </c>
      <c r="B3236" s="1831">
        <f>'Acct Summary 7-8'!D75</f>
        <v>200000</v>
      </c>
      <c r="D3236" s="2" t="str">
        <f t="shared" si="49"/>
        <v>Error?</v>
      </c>
    </row>
    <row r="3237" spans="1:4" x14ac:dyDescent="0.2">
      <c r="A3237" s="5">
        <v>3176</v>
      </c>
      <c r="B3237" s="1831">
        <f>'Acct Summary 7-8'!D76</f>
        <v>200000</v>
      </c>
      <c r="C3237" s="2" t="s">
        <v>569</v>
      </c>
      <c r="D3237" s="2" t="str">
        <f t="shared" si="49"/>
        <v>Error?</v>
      </c>
    </row>
    <row r="3238" spans="1:4" x14ac:dyDescent="0.2">
      <c r="A3238" s="5">
        <v>3177</v>
      </c>
      <c r="B3238" s="1831">
        <f>'Acct Summary 7-8'!D77</f>
        <v>200000</v>
      </c>
      <c r="C3238" s="2" t="s">
        <v>569</v>
      </c>
      <c r="D3238" s="2" t="str">
        <f t="shared" si="49"/>
        <v>Error?</v>
      </c>
    </row>
    <row r="3239" spans="1:4" x14ac:dyDescent="0.2">
      <c r="A3239" s="5">
        <v>3178</v>
      </c>
      <c r="B3239" s="1831">
        <f>'Acct Summary 7-8'!D78</f>
        <v>-329574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200000</v>
      </c>
      <c r="D3251" s="2" t="str">
        <f t="shared" si="49"/>
        <v>Error?</v>
      </c>
    </row>
    <row r="3252" spans="1:4" x14ac:dyDescent="0.2">
      <c r="A3252" s="5">
        <v>3191</v>
      </c>
      <c r="B3252" s="1831">
        <f>'Acct Summary 7-8'!F44</f>
        <v>200000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200000</v>
      </c>
      <c r="C3255" s="2" t="s">
        <v>569</v>
      </c>
      <c r="D3255" s="2" t="str">
        <f t="shared" si="49"/>
        <v>Error?</v>
      </c>
    </row>
    <row r="3256" spans="1:4" x14ac:dyDescent="0.2">
      <c r="A3256" s="5">
        <v>3195</v>
      </c>
      <c r="B3256" s="1831">
        <f>'Acct Summary 7-8'!F78</f>
        <v>76950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196936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182595</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182595</v>
      </c>
      <c r="C3277" s="2" t="s">
        <v>569</v>
      </c>
      <c r="D3277" s="2" t="str">
        <f t="shared" si="50"/>
        <v>Error?</v>
      </c>
    </row>
    <row r="3278" spans="1:4" x14ac:dyDescent="0.2">
      <c r="A3278" s="5">
        <v>3217</v>
      </c>
      <c r="B3278" s="1831">
        <f>'Acct Summary 7-8'!E78</f>
        <v>28687</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43473</v>
      </c>
      <c r="C3320" s="2" t="s">
        <v>569</v>
      </c>
      <c r="D3320" s="2" t="str">
        <f t="shared" si="50"/>
        <v>Error?</v>
      </c>
    </row>
    <row r="3321" spans="1:4" x14ac:dyDescent="0.2">
      <c r="A3321" s="5">
        <v>3260</v>
      </c>
      <c r="B3321" s="1831">
        <f>'Acct Summary 7-8'!I79</f>
        <v>44236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87709</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849996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157583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9926</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2261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83729</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1103495</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46267</v>
      </c>
      <c r="D3387" s="2" t="str">
        <f t="shared" si="51"/>
        <v>Error?</v>
      </c>
    </row>
    <row r="3388" spans="1:4" x14ac:dyDescent="0.2">
      <c r="A3388" s="5">
        <v>3327</v>
      </c>
      <c r="B3388" s="1831">
        <f>'Expenditures 15-22'!D217</f>
        <v>63008</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46267</v>
      </c>
      <c r="C3390" s="2" t="s">
        <v>569</v>
      </c>
      <c r="D3390" s="2" t="str">
        <f t="shared" si="51"/>
        <v>Error?</v>
      </c>
    </row>
    <row r="3391" spans="1:4" x14ac:dyDescent="0.2">
      <c r="A3391" s="5">
        <v>3330</v>
      </c>
      <c r="B3391" s="1831">
        <f>'Expenditures 15-22'!K217</f>
        <v>63008</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3157655</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965594</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1060062</v>
      </c>
      <c r="D3417" s="2" t="str">
        <f t="shared" si="52"/>
        <v>Error?</v>
      </c>
    </row>
    <row r="3418" spans="1:4" x14ac:dyDescent="0.2">
      <c r="A3418" s="10">
        <v>3357</v>
      </c>
      <c r="B3418" s="1831"/>
      <c r="D3418" s="2" t="str">
        <f t="shared" si="52"/>
        <v>OK</v>
      </c>
    </row>
    <row r="3419" spans="1:4" x14ac:dyDescent="0.2">
      <c r="A3419" s="5">
        <v>3358</v>
      </c>
      <c r="B3419" s="1831">
        <f>'Assets-Liab 5-6'!F4</f>
        <v>840652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798061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8</v>
      </c>
      <c r="D3425" s="2" t="str">
        <f t="shared" si="52"/>
        <v>Error?</v>
      </c>
    </row>
    <row r="3426" spans="1:4" x14ac:dyDescent="0.2">
      <c r="A3426" s="10">
        <v>3365</v>
      </c>
      <c r="B3426" s="1831"/>
      <c r="D3426" s="2" t="str">
        <f t="shared" si="52"/>
        <v>OK</v>
      </c>
    </row>
    <row r="3427" spans="1:4" x14ac:dyDescent="0.2">
      <c r="A3427" s="5">
        <v>3366</v>
      </c>
      <c r="B3427" s="1831">
        <f>'Assets-Liab 5-6'!I4</f>
        <v>87709</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233914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189065</v>
      </c>
      <c r="C3446" s="2" t="s">
        <v>569</v>
      </c>
      <c r="D3446" s="2" t="str">
        <f t="shared" si="52"/>
        <v>Error?</v>
      </c>
    </row>
    <row r="3447" spans="1:4" x14ac:dyDescent="0.2">
      <c r="A3447" s="5">
        <v>3386</v>
      </c>
      <c r="B3447" s="1831">
        <f>'Tax Sched 23'!D16</f>
        <v>189065</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195831</v>
      </c>
      <c r="C3449" s="2" t="s">
        <v>569</v>
      </c>
      <c r="D3449" s="2" t="str">
        <f t="shared" si="52"/>
        <v>Error?</v>
      </c>
    </row>
    <row r="3450" spans="1:4" x14ac:dyDescent="0.2">
      <c r="A3450" s="5">
        <v>3389</v>
      </c>
      <c r="B3450" s="1831">
        <f>'Tax Sched 23'!E16</f>
        <v>195831</v>
      </c>
      <c r="D3450" s="2" t="str">
        <f t="shared" si="52"/>
        <v>Error?</v>
      </c>
    </row>
    <row r="3451" spans="1:4" x14ac:dyDescent="0.2">
      <c r="A3451" s="5">
        <v>3390</v>
      </c>
      <c r="B3451" s="1831">
        <f>'Cap Outlay Deprec 26'!C15</f>
        <v>579218</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579218</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48843</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48843</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48843</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48843</v>
      </c>
      <c r="C3568" s="2" t="s">
        <v>569</v>
      </c>
      <c r="D3568" s="2" t="str">
        <f t="shared" si="54"/>
        <v>Error?</v>
      </c>
    </row>
    <row r="3569" spans="1:4" x14ac:dyDescent="0.2">
      <c r="A3569" s="5">
        <v>3508</v>
      </c>
      <c r="B3569" s="1831">
        <f>'Acct Summary 7-8'!K4</f>
        <v>45401</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45401</v>
      </c>
      <c r="C3571" s="2" t="s">
        <v>569</v>
      </c>
      <c r="D3571" s="2" t="str">
        <f t="shared" si="54"/>
        <v>Error?</v>
      </c>
    </row>
    <row r="3572" spans="1:4" x14ac:dyDescent="0.2">
      <c r="A3572" s="5">
        <v>3511</v>
      </c>
      <c r="B3572" s="1831">
        <f>'Acct Summary 7-8'!K13</f>
        <v>2213606</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2213606</v>
      </c>
      <c r="C3575" s="2" t="s">
        <v>569</v>
      </c>
      <c r="D3575" s="2" t="str">
        <f t="shared" si="54"/>
        <v>Error?</v>
      </c>
    </row>
    <row r="3576" spans="1:4" x14ac:dyDescent="0.2">
      <c r="A3576" s="5">
        <v>3515</v>
      </c>
      <c r="B3576" s="1831">
        <f>'Acct Summary 7-8'!K20</f>
        <v>-2168205</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-2168205</v>
      </c>
      <c r="C3588" s="2" t="s">
        <v>569</v>
      </c>
      <c r="D3588" s="2" t="str">
        <f t="shared" si="55"/>
        <v>Error?</v>
      </c>
    </row>
    <row r="3589" spans="1:4" x14ac:dyDescent="0.2">
      <c r="A3589" s="5">
        <v>3528</v>
      </c>
      <c r="B3589" s="1831">
        <f>'Acct Summary 7-8'!K79</f>
        <v>2217048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48843</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14881</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14881</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14881</v>
      </c>
      <c r="C3635" s="2" t="s">
        <v>569</v>
      </c>
      <c r="D3635" s="2" t="str">
        <f t="shared" si="55"/>
        <v>Error?</v>
      </c>
    </row>
    <row r="3636" spans="1:4" x14ac:dyDescent="0.2">
      <c r="A3636" s="5">
        <v>3575</v>
      </c>
      <c r="B3636" s="1831">
        <f>'Expenditures 15-22'!E367</f>
        <v>14881</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2198725</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2198725</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2198725</v>
      </c>
      <c r="C3649" s="2" t="s">
        <v>569</v>
      </c>
      <c r="D3649" s="2" t="str">
        <f t="shared" si="56"/>
        <v>Error?</v>
      </c>
    </row>
    <row r="3650" spans="1:4" x14ac:dyDescent="0.2">
      <c r="A3650" s="5">
        <v>3589</v>
      </c>
      <c r="B3650" s="1831">
        <f>'Expenditures 15-22'!G367</f>
        <v>2198725</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2213606</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2213606</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2213606</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2213606</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-2168205</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43068</v>
      </c>
      <c r="C3725" s="2" t="s">
        <v>569</v>
      </c>
      <c r="D3725" s="2" t="str">
        <f t="shared" si="57"/>
        <v>Error?</v>
      </c>
    </row>
    <row r="3726" spans="1:4" x14ac:dyDescent="0.2">
      <c r="A3726" s="5">
        <v>3665</v>
      </c>
      <c r="B3726" s="1831">
        <f>'Tax Sched 23'!D13</f>
        <v>43068</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43987</v>
      </c>
      <c r="C3728" s="2" t="s">
        <v>569</v>
      </c>
      <c r="D3728" s="2" t="str">
        <f t="shared" si="57"/>
        <v>Error?</v>
      </c>
    </row>
    <row r="3729" spans="1:4" x14ac:dyDescent="0.2">
      <c r="A3729" s="5">
        <v>3668</v>
      </c>
      <c r="B3729" s="1831">
        <f>'Tax Sched 23'!E13</f>
        <v>43987</v>
      </c>
      <c r="D3729" s="2" t="str">
        <f t="shared" si="57"/>
        <v>Error?</v>
      </c>
    </row>
    <row r="3730" spans="1:4" x14ac:dyDescent="0.2">
      <c r="A3730" s="5">
        <v>3669</v>
      </c>
      <c r="B3730" s="1831">
        <f>'ICR Computation 30'!E10</f>
        <v>285725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3535784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11978515</v>
      </c>
      <c r="C4122" s="2" t="s">
        <v>569</v>
      </c>
      <c r="D4122" s="2" t="str">
        <f t="shared" si="63"/>
        <v>Error?</v>
      </c>
    </row>
    <row r="4123" spans="1:4" x14ac:dyDescent="0.2">
      <c r="A4123" s="5">
        <v>4062</v>
      </c>
      <c r="B4123" s="1831">
        <f>'Acct Summary 7-8'!D10</f>
        <v>493538</v>
      </c>
      <c r="C4123" s="2" t="s">
        <v>569</v>
      </c>
      <c r="D4123" s="2" t="str">
        <f t="shared" si="63"/>
        <v>Error?</v>
      </c>
    </row>
    <row r="4124" spans="1:4" x14ac:dyDescent="0.2">
      <c r="A4124" s="5">
        <v>4063</v>
      </c>
      <c r="B4124" s="1831">
        <f>'Acct Summary 7-8'!E10</f>
        <v>883147</v>
      </c>
      <c r="C4124" s="2" t="s">
        <v>569</v>
      </c>
      <c r="D4124" s="2" t="str">
        <f t="shared" si="63"/>
        <v>Error?</v>
      </c>
    </row>
    <row r="4125" spans="1:4" x14ac:dyDescent="0.2">
      <c r="A4125" s="5">
        <v>4064</v>
      </c>
      <c r="B4125" s="1831">
        <f>'Acct Summary 7-8'!F10</f>
        <v>399859</v>
      </c>
      <c r="C4125" s="2" t="s">
        <v>569</v>
      </c>
      <c r="D4125" s="2" t="str">
        <f t="shared" si="63"/>
        <v>Error?</v>
      </c>
    </row>
    <row r="4126" spans="1:4" x14ac:dyDescent="0.2">
      <c r="A4126" s="5">
        <v>4065</v>
      </c>
      <c r="B4126" s="1831">
        <f>'Acct Summary 7-8'!G10</f>
        <v>495089</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43473</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45401</v>
      </c>
      <c r="C4130" s="2" t="s">
        <v>569</v>
      </c>
      <c r="D4130" s="2" t="str">
        <f t="shared" si="63"/>
        <v>Error?</v>
      </c>
    </row>
    <row r="4131" spans="1:4" x14ac:dyDescent="0.2">
      <c r="A4131" s="5">
        <v>4070</v>
      </c>
      <c r="B4131" s="1831">
        <f>'Acct Summary 7-8'!C18</f>
        <v>3535784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10760382</v>
      </c>
      <c r="C4136" s="2" t="s">
        <v>569</v>
      </c>
      <c r="D4136" s="2" t="str">
        <f t="shared" si="63"/>
        <v>Error?</v>
      </c>
    </row>
    <row r="4137" spans="1:4" x14ac:dyDescent="0.2">
      <c r="A4137" s="5">
        <v>4076</v>
      </c>
      <c r="B4137" s="1831">
        <f>'Acct Summary 7-8'!D19</f>
        <v>1023112</v>
      </c>
      <c r="C4137" s="2" t="s">
        <v>569</v>
      </c>
      <c r="D4137" s="2" t="str">
        <f t="shared" si="63"/>
        <v>Error?</v>
      </c>
    </row>
    <row r="4138" spans="1:4" x14ac:dyDescent="0.2">
      <c r="A4138" s="5">
        <v>4077</v>
      </c>
      <c r="B4138" s="1831">
        <f>'Acct Summary 7-8'!E19</f>
        <v>1037055</v>
      </c>
      <c r="C4138" s="2" t="s">
        <v>569</v>
      </c>
      <c r="D4138" s="2" t="str">
        <f t="shared" si="63"/>
        <v>Error?</v>
      </c>
    </row>
    <row r="4139" spans="1:4" x14ac:dyDescent="0.2">
      <c r="A4139" s="5">
        <v>4078</v>
      </c>
      <c r="B4139" s="1831">
        <f>'Acct Summary 7-8'!F19</f>
        <v>522909</v>
      </c>
      <c r="C4139" s="2" t="s">
        <v>569</v>
      </c>
      <c r="D4139" s="2" t="str">
        <f t="shared" si="63"/>
        <v>Error?</v>
      </c>
    </row>
    <row r="4140" spans="1:4" x14ac:dyDescent="0.2">
      <c r="A4140" s="5">
        <v>4079</v>
      </c>
      <c r="B4140" s="1831">
        <f>'Acct Summary 7-8'!G19</f>
        <v>298153</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2213606</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7570481</v>
      </c>
      <c r="C4171" s="2" t="s">
        <v>569</v>
      </c>
      <c r="D4171" s="2" t="str">
        <f t="shared" si="64"/>
        <v>Error?</v>
      </c>
    </row>
    <row r="4172" spans="1:4" x14ac:dyDescent="0.2">
      <c r="A4172" s="5">
        <v>4111</v>
      </c>
      <c r="B4172" s="1831">
        <f>'Short-Term Long-Term Debt 24'!J49</f>
        <v>5998819</v>
      </c>
      <c r="C4172" s="2" t="s">
        <v>569</v>
      </c>
      <c r="D4172" s="2" t="str">
        <f t="shared" si="64"/>
        <v>Error?</v>
      </c>
    </row>
    <row r="4173" spans="1:4" x14ac:dyDescent="0.2">
      <c r="A4173" s="5">
        <v>4112</v>
      </c>
      <c r="B4173" s="1831">
        <f>'Short-Term Long-Term Debt 24'!H49</f>
        <v>794939</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1840</v>
      </c>
      <c r="C4265" s="2" t="s">
        <v>569</v>
      </c>
      <c r="D4265" s="2" t="str">
        <f t="shared" si="65"/>
        <v>Error?</v>
      </c>
      <c r="E4265" s="125"/>
    </row>
    <row r="4266" spans="1:5" x14ac:dyDescent="0.2">
      <c r="A4266" s="12">
        <v>4205</v>
      </c>
      <c r="B4266" s="1831">
        <f>('FP Info 3'!F10)*100000</f>
        <v>500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2540</v>
      </c>
      <c r="C4268" s="2" t="s">
        <v>569</v>
      </c>
      <c r="D4268" s="2" t="str">
        <f t="shared" si="65"/>
        <v>Error?</v>
      </c>
    </row>
    <row r="4269" spans="1:5" x14ac:dyDescent="0.2">
      <c r="A4269" s="12">
        <v>4208</v>
      </c>
      <c r="B4269" s="1831">
        <f>'FP Info 3'!J16</f>
        <v>7789310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6266</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23235</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68870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17533</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17533</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60901</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47144</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47144</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43465</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1101</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87974186</v>
      </c>
      <c r="D4995" s="2" t="str">
        <f t="shared" si="77"/>
        <v>Error?</v>
      </c>
    </row>
    <row r="4996" spans="1:4" x14ac:dyDescent="0.2">
      <c r="A4996" s="12">
        <v>4935</v>
      </c>
      <c r="B4996" s="1831">
        <f>'FP Info 3'!H31</f>
        <v>12140437.668000001</v>
      </c>
      <c r="D4996" s="2" t="str">
        <f t="shared" si="77"/>
        <v>Error?</v>
      </c>
    </row>
    <row r="4997" spans="1:4" x14ac:dyDescent="0.2">
      <c r="A4997" s="12">
        <v>4936</v>
      </c>
      <c r="B4997" s="1831">
        <f>'FP Info 3'!H37</f>
        <v>7570481</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43068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1584880</v>
      </c>
      <c r="D5061" s="2" t="str">
        <f t="shared" si="78"/>
        <v>Error?</v>
      </c>
    </row>
    <row r="5062" spans="1:4" x14ac:dyDescent="0.2">
      <c r="A5062" s="10">
        <v>5001</v>
      </c>
      <c r="B5062" s="1831"/>
      <c r="D5062" s="2" t="str">
        <f t="shared" si="78"/>
        <v>OK</v>
      </c>
    </row>
    <row r="5063" spans="1:4" x14ac:dyDescent="0.2">
      <c r="A5063" s="5">
        <v>5002</v>
      </c>
      <c r="B5063" s="1831">
        <f>'Revenues 9-14'!C7</f>
        <v>34452</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1662400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1632493</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1632493</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55091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55091</v>
      </c>
      <c r="C5090" s="2" t="s">
        <v>569</v>
      </c>
      <c r="D5090" s="2" t="str">
        <f t="shared" si="78"/>
        <v>Error?</v>
      </c>
    </row>
    <row r="5091" spans="1:4" x14ac:dyDescent="0.2">
      <c r="A5091" s="5">
        <v>5030</v>
      </c>
      <c r="B5091" s="1831">
        <f>'Revenues 9-14'!C70</f>
        <v>2945</v>
      </c>
      <c r="D5091" s="2" t="str">
        <f t="shared" si="78"/>
        <v>Error?</v>
      </c>
    </row>
    <row r="5092" spans="1:4" x14ac:dyDescent="0.2">
      <c r="A5092" s="5">
        <v>5031</v>
      </c>
      <c r="B5092" s="1831">
        <f>'Revenues 9-14'!C71</f>
        <v>5857</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868</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64207</v>
      </c>
      <c r="C5096" s="2" t="s">
        <v>569</v>
      </c>
      <c r="D5096" s="2" t="str">
        <f t="shared" si="78"/>
        <v>Error?</v>
      </c>
    </row>
    <row r="5097" spans="1:4" x14ac:dyDescent="0.2">
      <c r="A5097" s="5">
        <v>5036</v>
      </c>
      <c r="B5097" s="1831">
        <f>'Revenues 9-14'!C77</f>
        <v>28236</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8238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36474</v>
      </c>
      <c r="C5102" s="2" t="s">
        <v>569</v>
      </c>
      <c r="D5102" s="2" t="str">
        <f t="shared" si="78"/>
        <v>Error?</v>
      </c>
    </row>
    <row r="5103" spans="1:4" x14ac:dyDescent="0.2">
      <c r="A5103" s="5">
        <v>5042</v>
      </c>
      <c r="B5103" s="1831">
        <f>'Revenues 9-14'!C84</f>
        <v>39390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39390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700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133514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78254</v>
      </c>
      <c r="D5119" s="2" t="str">
        <f t="shared" ref="D5119:D5182" si="79">IF(ISBLANK(B5119),"OK",IF(A5119-B5119=0,"OK","Error?"))</f>
        <v>Error?</v>
      </c>
    </row>
    <row r="5120" spans="1:4" x14ac:dyDescent="0.2">
      <c r="A5120" s="5">
        <v>5059</v>
      </c>
      <c r="B5120" s="1831">
        <f>'Revenues 9-14'!C108</f>
        <v>216073</v>
      </c>
      <c r="C5120" s="2" t="s">
        <v>569</v>
      </c>
      <c r="D5120" s="2" t="str">
        <f t="shared" si="79"/>
        <v>Error?</v>
      </c>
    </row>
    <row r="5121" spans="1:4" x14ac:dyDescent="0.2">
      <c r="A5121" s="5">
        <v>5060</v>
      </c>
      <c r="B5121" s="1831">
        <f>'Revenues 9-14'!C109</f>
        <v>3706128</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3046047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3046047</v>
      </c>
      <c r="C5132" s="2" t="s">
        <v>569</v>
      </c>
      <c r="D5132" s="2" t="str">
        <f t="shared" si="79"/>
        <v>Error?</v>
      </c>
    </row>
    <row r="5133" spans="1:4" x14ac:dyDescent="0.2">
      <c r="A5133" s="5">
        <v>5072</v>
      </c>
      <c r="B5133" s="1831">
        <f>'Revenues 9-14'!C125</f>
        <v>39463</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12125</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51588</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8349</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11172</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4228</v>
      </c>
      <c r="D5167" s="2" t="str">
        <f t="shared" si="79"/>
        <v>Error?</v>
      </c>
    </row>
    <row r="5168" spans="1:4" x14ac:dyDescent="0.2">
      <c r="A5168" s="5">
        <v>5107</v>
      </c>
      <c r="B5168" s="1831">
        <f>'Revenues 9-14'!C148</f>
        <v>8426</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548794</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624958</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3671005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218638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90823</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15605</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325066</v>
      </c>
      <c r="C5246" s="2" t="s">
        <v>569</v>
      </c>
      <c r="D5246" s="2" t="str">
        <f t="shared" si="80"/>
        <v>Error?</v>
      </c>
    </row>
    <row r="5247" spans="1:4" x14ac:dyDescent="0.2">
      <c r="A5247" s="5">
        <v>5186</v>
      </c>
      <c r="B5247" s="1831">
        <f>'Revenues 9-14'!C200</f>
        <v>362662</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362662</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157600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157600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6266</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1065598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1065598</v>
      </c>
      <c r="C5326" s="2" t="s">
        <v>569</v>
      </c>
      <c r="D5326" s="2" t="str">
        <f t="shared" si="82"/>
        <v>Error?</v>
      </c>
    </row>
    <row r="5327" spans="1:5" x14ac:dyDescent="0.2">
      <c r="A5327" s="5">
        <v>5266</v>
      </c>
      <c r="B5327" s="1831">
        <f>'Revenues 9-14'!C268</f>
        <v>8442731</v>
      </c>
      <c r="C5327" s="2" t="s">
        <v>569</v>
      </c>
      <c r="D5327" s="2" t="str">
        <f t="shared" si="82"/>
        <v>Error?</v>
      </c>
    </row>
    <row r="5328" spans="1:5" x14ac:dyDescent="0.2">
      <c r="A5328" s="5">
        <v>5267</v>
      </c>
      <c r="B5328" s="1831">
        <f>'Revenues 9-14'!D5</f>
        <v>430673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430673</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3449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3449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9000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416</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9416</v>
      </c>
      <c r="C5355" s="2" t="s">
        <v>569</v>
      </c>
      <c r="D5355" s="2" t="str">
        <f t="shared" si="82"/>
        <v>Error?</v>
      </c>
    </row>
    <row r="5356" spans="1:4" x14ac:dyDescent="0.2">
      <c r="A5356" s="5">
        <v>5295</v>
      </c>
      <c r="B5356" s="1831">
        <f>'Revenues 9-14'!D109</f>
        <v>443538</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493538</v>
      </c>
      <c r="C5508" s="2" t="s">
        <v>569</v>
      </c>
      <c r="D5508" s="2" t="str">
        <f t="shared" si="85"/>
        <v>Error?</v>
      </c>
    </row>
    <row r="5509" spans="1:4" x14ac:dyDescent="0.2">
      <c r="A5509" s="5">
        <v>5448</v>
      </c>
      <c r="B5509" s="1831">
        <f>'Revenues 9-14'!E5</f>
        <v>444886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444886</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15192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15192</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375925</v>
      </c>
      <c r="C5526" s="2" t="s">
        <v>569</v>
      </c>
      <c r="D5526" s="2" t="str">
        <f t="shared" si="85"/>
        <v>Error?</v>
      </c>
    </row>
    <row r="5527" spans="1:4" x14ac:dyDescent="0.2">
      <c r="A5527" s="5">
        <v>5466</v>
      </c>
      <c r="B5527" s="1831">
        <f>'Revenues 9-14'!E109</f>
        <v>836003</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883147</v>
      </c>
      <c r="C5552" s="2" t="s">
        <v>569</v>
      </c>
      <c r="D5552" s="2" t="str">
        <f t="shared" si="85"/>
        <v>Error?</v>
      </c>
    </row>
    <row r="5553" spans="1:4" x14ac:dyDescent="0.2">
      <c r="A5553" s="5">
        <v>5492</v>
      </c>
      <c r="B5553" s="1831">
        <f>'Revenues 9-14'!F5</f>
        <v>164774</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164774</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788</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788</v>
      </c>
      <c r="C5579" s="2" t="s">
        <v>569</v>
      </c>
      <c r="D5579" s="2" t="str">
        <f t="shared" si="86"/>
        <v>Error?</v>
      </c>
    </row>
    <row r="5580" spans="1:4" x14ac:dyDescent="0.2">
      <c r="A5580" s="5">
        <v>5519</v>
      </c>
      <c r="B5580" s="1831">
        <f>'Revenues 9-14'!F65</f>
        <v>6462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6462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172024</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120188</v>
      </c>
      <c r="D5615" s="2" t="str">
        <f t="shared" si="86"/>
        <v>Error?</v>
      </c>
    </row>
    <row r="5616" spans="1:4" x14ac:dyDescent="0.2">
      <c r="A5616" s="10">
        <v>5555</v>
      </c>
      <c r="B5616" s="1831"/>
      <c r="D5616" s="2" t="str">
        <f t="shared" si="86"/>
        <v>OK</v>
      </c>
    </row>
    <row r="5617" spans="1:5" x14ac:dyDescent="0.2">
      <c r="A5617" s="5">
        <v>5556</v>
      </c>
      <c r="B5617" s="1831">
        <f>'Revenues 9-14'!F153</f>
        <v>107647</v>
      </c>
      <c r="D5617" s="2" t="str">
        <f t="shared" si="86"/>
        <v>Error?</v>
      </c>
    </row>
    <row r="5618" spans="1:5" x14ac:dyDescent="0.2">
      <c r="A5618" s="5">
        <v>5557</v>
      </c>
      <c r="B5618" s="1831">
        <f>'Revenues 9-14'!F155</f>
        <v>227835</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227835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227835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399859</v>
      </c>
      <c r="C5720" s="2" t="s">
        <v>569</v>
      </c>
      <c r="D5720" s="2" t="str">
        <f t="shared" si="88"/>
        <v>Error?</v>
      </c>
    </row>
    <row r="5721" spans="1:4" x14ac:dyDescent="0.2">
      <c r="A5721" s="5">
        <v>5660</v>
      </c>
      <c r="B5721" s="1831">
        <f>'Revenues 9-14'!G5</f>
        <v>138761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189065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327826</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122994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122994</v>
      </c>
      <c r="C5730" s="2" t="s">
        <v>569</v>
      </c>
      <c r="D5730" s="2" t="str">
        <f t="shared" si="88"/>
        <v>Error?</v>
      </c>
    </row>
    <row r="5731" spans="1:4" x14ac:dyDescent="0.2">
      <c r="A5731" s="5">
        <v>5670</v>
      </c>
      <c r="B5731" s="1831">
        <f>'Revenues 9-14'!G65</f>
        <v>5061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5061</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22544</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22544</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22544</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6091</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6091</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9472</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9472</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16664</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16664</v>
      </c>
      <c r="C5869" s="2" t="s">
        <v>569</v>
      </c>
      <c r="D5869" s="2" t="str">
        <f t="shared" si="90"/>
        <v>Error?</v>
      </c>
    </row>
    <row r="5870" spans="1:4" x14ac:dyDescent="0.2">
      <c r="A5870" s="5">
        <v>5809</v>
      </c>
      <c r="B5870" s="1831">
        <f>'Revenues 9-14'!G268</f>
        <v>495089</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43068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43068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405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405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43473</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43068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43068</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2333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2333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45401</v>
      </c>
      <c r="C6023" s="2" t="s">
        <v>569</v>
      </c>
      <c r="D6023" s="2" t="str">
        <f t="shared" si="93"/>
        <v>Error?</v>
      </c>
    </row>
    <row r="6024" spans="1:5" x14ac:dyDescent="0.2">
      <c r="A6024" s="5">
        <v>5963</v>
      </c>
      <c r="B6024" s="1831">
        <f>'Revenues 9-14'!G109</f>
        <v>455881</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43473</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45401</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54537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25172</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866.9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283791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283791</v>
      </c>
      <c r="D6215" s="2" t="str">
        <f t="shared" si="96"/>
        <v>Error?</v>
      </c>
      <c r="E6215" s="2" t="s">
        <v>189</v>
      </c>
    </row>
    <row r="6216" spans="1:5" x14ac:dyDescent="0.2">
      <c r="A6216">
        <v>6155</v>
      </c>
      <c r="B6216" s="1831">
        <f>'Assets-Liab 5-6'!J41</f>
        <v>283791</v>
      </c>
      <c r="D6216" s="2" t="str">
        <f t="shared" si="96"/>
        <v>Error?</v>
      </c>
      <c r="E6216" s="2" t="s">
        <v>189</v>
      </c>
    </row>
    <row r="6217" spans="1:5" x14ac:dyDescent="0.2">
      <c r="A6217">
        <v>6156</v>
      </c>
      <c r="B6217" s="1831">
        <f>'Assets-Liab 5-6'!J4</f>
        <v>283791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1081594</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1081594</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1081594</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854349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854349</v>
      </c>
      <c r="D6229" s="2" t="str">
        <f t="shared" si="96"/>
        <v>Error?</v>
      </c>
      <c r="E6229" s="2" t="s">
        <v>189</v>
      </c>
    </row>
    <row r="6230" spans="1:5" x14ac:dyDescent="0.2">
      <c r="A6230">
        <v>6169</v>
      </c>
      <c r="B6230" s="1831">
        <f>'Acct Summary 7-8'!J20</f>
        <v>227245</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400000</v>
      </c>
      <c r="D6260" s="2" t="str">
        <f t="shared" si="96"/>
        <v>Error?</v>
      </c>
      <c r="E6260" s="2" t="s">
        <v>189</v>
      </c>
    </row>
    <row r="6261" spans="1:5" x14ac:dyDescent="0.2">
      <c r="A6261">
        <v>6200</v>
      </c>
      <c r="B6261" s="1831">
        <f>'Acct Summary 7-8'!J76</f>
        <v>400000</v>
      </c>
      <c r="D6261" s="2" t="str">
        <f t="shared" si="96"/>
        <v>Error?</v>
      </c>
      <c r="E6261" s="2" t="s">
        <v>189</v>
      </c>
    </row>
    <row r="6262" spans="1:5" x14ac:dyDescent="0.2">
      <c r="A6262">
        <v>6201</v>
      </c>
      <c r="B6262" s="1831">
        <f>'Acct Summary 7-8'!J77</f>
        <v>-400000</v>
      </c>
      <c r="D6262" s="2" t="str">
        <f t="shared" si="96"/>
        <v>Error?</v>
      </c>
      <c r="E6262" s="2" t="s">
        <v>189</v>
      </c>
    </row>
    <row r="6263" spans="1:5" x14ac:dyDescent="0.2">
      <c r="A6263">
        <v>6202</v>
      </c>
      <c r="B6263" s="1831">
        <f>'Acct Summary 7-8'!J78</f>
        <v>-172755</v>
      </c>
      <c r="D6263" s="2" t="str">
        <f t="shared" si="96"/>
        <v>Error?</v>
      </c>
      <c r="E6263" s="2" t="s">
        <v>189</v>
      </c>
    </row>
    <row r="6264" spans="1:5" x14ac:dyDescent="0.2">
      <c r="A6264">
        <v>6203</v>
      </c>
      <c r="B6264" s="1831">
        <f>'Acct Summary 7-8'!J79</f>
        <v>456546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283791</v>
      </c>
      <c r="D6266" s="2" t="str">
        <f t="shared" si="96"/>
        <v>Error?</v>
      </c>
      <c r="E6266" s="2" t="s">
        <v>189</v>
      </c>
    </row>
    <row r="6267" spans="1:5" x14ac:dyDescent="0.2">
      <c r="A6267">
        <v>6206</v>
      </c>
      <c r="B6267" s="1831">
        <f>'Acct Summary 7-8'!C82</f>
        <v>1035538</v>
      </c>
      <c r="D6267" s="2" t="str">
        <f t="shared" si="96"/>
        <v>Error?</v>
      </c>
      <c r="E6267" s="2" t="s">
        <v>189</v>
      </c>
    </row>
    <row r="6268" spans="1:5" x14ac:dyDescent="0.2">
      <c r="A6268">
        <v>6207</v>
      </c>
      <c r="B6268" s="1831">
        <f>'Acct Summary 7-8'!D82</f>
        <v>-329574</v>
      </c>
      <c r="D6268" s="2" t="str">
        <f t="shared" si="96"/>
        <v>Error?</v>
      </c>
      <c r="E6268" s="2" t="s">
        <v>189</v>
      </c>
    </row>
    <row r="6269" spans="1:5" x14ac:dyDescent="0.2">
      <c r="A6269">
        <v>6208</v>
      </c>
      <c r="B6269" s="1831">
        <f>'Acct Summary 7-8'!E82</f>
        <v>28687</v>
      </c>
      <c r="D6269" s="2" t="str">
        <f t="shared" si="96"/>
        <v>Error?</v>
      </c>
      <c r="E6269" s="2" t="s">
        <v>189</v>
      </c>
    </row>
    <row r="6270" spans="1:5" x14ac:dyDescent="0.2">
      <c r="A6270">
        <v>6209</v>
      </c>
      <c r="B6270" s="1831">
        <f>'Acct Summary 7-8'!F82</f>
        <v>76950</v>
      </c>
      <c r="D6270" s="2" t="str">
        <f t="shared" si="96"/>
        <v>Error?</v>
      </c>
      <c r="E6270" s="2" t="s">
        <v>189</v>
      </c>
    </row>
    <row r="6271" spans="1:5" x14ac:dyDescent="0.2">
      <c r="A6271">
        <v>6210</v>
      </c>
      <c r="B6271" s="1831">
        <f>'Acct Summary 7-8'!G82</f>
        <v>196936</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43473</v>
      </c>
      <c r="D6273" s="2" t="str">
        <f t="shared" si="97"/>
        <v>Error?</v>
      </c>
      <c r="E6273" s="2" t="s">
        <v>189</v>
      </c>
    </row>
    <row r="6274" spans="1:5" x14ac:dyDescent="0.2">
      <c r="A6274">
        <v>6213</v>
      </c>
      <c r="B6274" s="1831">
        <f>'Acct Summary 7-8'!J82</f>
        <v>-172755</v>
      </c>
      <c r="D6274" s="2" t="str">
        <f t="shared" si="97"/>
        <v>Error?</v>
      </c>
      <c r="E6274" s="2" t="s">
        <v>189</v>
      </c>
    </row>
    <row r="6275" spans="1:5" x14ac:dyDescent="0.2">
      <c r="A6275">
        <v>6214</v>
      </c>
      <c r="B6275" s="1831">
        <f>'Acct Summary 7-8'!K82</f>
        <v>-2168205</v>
      </c>
      <c r="D6275" s="2" t="str">
        <f t="shared" si="97"/>
        <v>Error?</v>
      </c>
      <c r="E6275" s="2" t="s">
        <v>189</v>
      </c>
    </row>
    <row r="6276" spans="1:5" x14ac:dyDescent="0.2">
      <c r="A6276">
        <v>6215</v>
      </c>
      <c r="B6276" s="1831">
        <f>'Acct Summary 7-8'!C83</f>
        <v>0.17565320493846426</v>
      </c>
      <c r="D6276" s="2" t="str">
        <f t="shared" si="97"/>
        <v>Error?</v>
      </c>
      <c r="E6276" s="2" t="s">
        <v>189</v>
      </c>
    </row>
    <row r="6277" spans="1:5" x14ac:dyDescent="0.2">
      <c r="A6277">
        <v>6216</v>
      </c>
      <c r="B6277" s="1831">
        <f>'Acct Summary 7-8'!D83</f>
        <v>-0.3413173652694611</v>
      </c>
      <c r="D6277" s="2" t="str">
        <f t="shared" si="97"/>
        <v>Error?</v>
      </c>
      <c r="E6277" s="2" t="s">
        <v>189</v>
      </c>
    </row>
    <row r="6278" spans="1:5" x14ac:dyDescent="0.2">
      <c r="A6278">
        <v>6217</v>
      </c>
      <c r="B6278" s="1831">
        <f>'Acct Summary 7-8'!E83</f>
        <v>1.825265228783288E-2</v>
      </c>
      <c r="D6278" s="2" t="str">
        <f t="shared" si="97"/>
        <v>Error?</v>
      </c>
      <c r="E6278" s="2" t="s">
        <v>189</v>
      </c>
    </row>
    <row r="6279" spans="1:5" x14ac:dyDescent="0.2">
      <c r="A6279">
        <v>6218</v>
      </c>
      <c r="B6279" s="1831">
        <f>'Acct Summary 7-8'!F83</f>
        <v>9.1536093413207842E-2</v>
      </c>
      <c r="D6279" s="2" t="str">
        <f t="shared" si="97"/>
        <v>Error?</v>
      </c>
      <c r="E6279" s="2" t="s">
        <v>189</v>
      </c>
    </row>
    <row r="6280" spans="1:5" x14ac:dyDescent="0.2">
      <c r="A6280">
        <v>6219</v>
      </c>
      <c r="B6280" s="1831">
        <f>'Acct Summary 7-8'!G83</f>
        <v>0.24676810419253667</v>
      </c>
      <c r="D6280" s="2" t="str">
        <f t="shared" si="97"/>
        <v>Error?</v>
      </c>
      <c r="E6280" s="2" t="s">
        <v>189</v>
      </c>
    </row>
    <row r="6281" spans="1:5" x14ac:dyDescent="0.2">
      <c r="A6281">
        <v>6220</v>
      </c>
      <c r="B6281" s="1831">
        <f>'Acct Summary 7-8'!H83</f>
        <v>0</v>
      </c>
      <c r="D6281" s="2" t="str">
        <f t="shared" si="97"/>
        <v>Error?</v>
      </c>
      <c r="E6281" s="2" t="s">
        <v>189</v>
      </c>
    </row>
    <row r="6282" spans="1:5" x14ac:dyDescent="0.2">
      <c r="A6282">
        <v>6221</v>
      </c>
      <c r="B6282" s="1831">
        <f>'Acct Summary 7-8'!I83</f>
        <v>0.49565038935571037</v>
      </c>
      <c r="D6282" s="2" t="str">
        <f t="shared" si="97"/>
        <v>Error?</v>
      </c>
      <c r="E6282" s="2" t="s">
        <v>189</v>
      </c>
    </row>
    <row r="6283" spans="1:5" x14ac:dyDescent="0.2">
      <c r="A6283">
        <v>6222</v>
      </c>
      <c r="B6283" s="1831">
        <f>'Acct Summary 7-8'!J83</f>
        <v>-0.60874023489116991</v>
      </c>
      <c r="D6283" s="2" t="str">
        <f t="shared" si="97"/>
        <v>Error?</v>
      </c>
      <c r="E6283" s="2" t="s">
        <v>189</v>
      </c>
    </row>
    <row r="6284" spans="1:5" x14ac:dyDescent="0.2">
      <c r="A6284">
        <v>6223</v>
      </c>
      <c r="B6284" s="1831">
        <f>'Acct Summary 7-8'!K83</f>
        <v>-44.391315029789325</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135000</v>
      </c>
      <c r="D6287" s="2" t="str">
        <f t="shared" si="97"/>
        <v>Error?</v>
      </c>
      <c r="E6287" s="2" t="s">
        <v>189</v>
      </c>
    </row>
    <row r="6288" spans="1:5" x14ac:dyDescent="0.2">
      <c r="A6288">
        <v>6227</v>
      </c>
      <c r="B6288" s="1831">
        <f>'Acct Summary 7-8'!E40</f>
        <v>47595</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1073583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1073583</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8011</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8011</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3605</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1081594</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2823</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47144</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136977</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47144</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189017</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42480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8789</v>
      </c>
      <c r="D6983" s="2" t="str">
        <f t="shared" si="108"/>
        <v>Error?</v>
      </c>
    </row>
    <row r="6984" spans="1:4" x14ac:dyDescent="0.2">
      <c r="A6984">
        <v>6923</v>
      </c>
      <c r="B6984" s="1831">
        <f>'Expenditures 15-22'!K86</f>
        <v>8789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8789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854349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1081594</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590</v>
      </c>
      <c r="D7079" s="2" t="str">
        <f t="shared" si="109"/>
        <v>Error?</v>
      </c>
    </row>
    <row r="7080" spans="1:4" x14ac:dyDescent="0.2">
      <c r="A7080">
        <v>7019</v>
      </c>
      <c r="B7080" s="1831">
        <f>'Expenditures 15-22'!K226</f>
        <v>590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5388</v>
      </c>
      <c r="D7093" s="2" t="str">
        <f t="shared" si="109"/>
        <v>Error?</v>
      </c>
    </row>
    <row r="7094" spans="1:4" x14ac:dyDescent="0.2">
      <c r="A7094">
        <v>7033</v>
      </c>
      <c r="B7094" s="1831">
        <f>'Expenditures 15-22'!K254</f>
        <v>5388</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34479</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34479</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402</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402</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50315</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50315</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71677</v>
      </c>
      <c r="D7156" s="2" t="str">
        <f t="shared" si="110"/>
        <v>Error?</v>
      </c>
    </row>
    <row r="7157" spans="1:4" x14ac:dyDescent="0.2">
      <c r="A7157">
        <v>7096</v>
      </c>
      <c r="B7157" s="1831">
        <f>'Expenditures 15-22'!F323</f>
        <v>692</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72369</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696734</v>
      </c>
      <c r="D7172" s="2" t="str">
        <f t="shared" si="111"/>
        <v>Error?</v>
      </c>
    </row>
    <row r="7173" spans="1:4" x14ac:dyDescent="0.2">
      <c r="A7173">
        <v>7112</v>
      </c>
      <c r="B7173" s="1831">
        <f>'Expenditures 15-22'!D325</f>
        <v>50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696784</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696734</v>
      </c>
      <c r="D7199" s="2" t="str">
        <f t="shared" si="111"/>
        <v>Error?</v>
      </c>
    </row>
    <row r="7200" spans="1:4" x14ac:dyDescent="0.2">
      <c r="A7200">
        <v>7139</v>
      </c>
      <c r="B7200" s="1831">
        <f>'Expenditures 15-22'!D330</f>
        <v>50</v>
      </c>
      <c r="D7200" s="2" t="str">
        <f t="shared" si="111"/>
        <v>Error?</v>
      </c>
    </row>
    <row r="7201" spans="1:4" x14ac:dyDescent="0.2">
      <c r="A7201">
        <v>7140</v>
      </c>
      <c r="B7201" s="1831">
        <f>'Expenditures 15-22'!E330</f>
        <v>156873</v>
      </c>
      <c r="D7201" s="2" t="str">
        <f t="shared" si="111"/>
        <v>Error?</v>
      </c>
    </row>
    <row r="7202" spans="1:4" x14ac:dyDescent="0.2">
      <c r="A7202">
        <v>7141</v>
      </c>
      <c r="B7202" s="1831">
        <f>'Expenditures 15-22'!F330</f>
        <v>692</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854349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696734</v>
      </c>
      <c r="D7216" s="2" t="str">
        <f t="shared" si="111"/>
        <v>Error?</v>
      </c>
    </row>
    <row r="7217" spans="1:4" x14ac:dyDescent="0.2">
      <c r="A7217">
        <v>7156</v>
      </c>
      <c r="B7217" s="1831">
        <f>'Expenditures 15-22'!D342</f>
        <v>50</v>
      </c>
      <c r="D7217" s="2" t="str">
        <f t="shared" si="111"/>
        <v>Error?</v>
      </c>
    </row>
    <row r="7218" spans="1:4" x14ac:dyDescent="0.2">
      <c r="A7218">
        <v>7157</v>
      </c>
      <c r="B7218" s="1831">
        <f>'Expenditures 15-22'!E342</f>
        <v>156873</v>
      </c>
      <c r="D7218" s="2" t="str">
        <f t="shared" si="111"/>
        <v>Error?</v>
      </c>
    </row>
    <row r="7219" spans="1:4" x14ac:dyDescent="0.2">
      <c r="A7219">
        <v>7158</v>
      </c>
      <c r="B7219" s="1831">
        <f>'Expenditures 15-22'!F342</f>
        <v>692</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854349</v>
      </c>
      <c r="D7224" s="2" t="str">
        <f t="shared" si="111"/>
        <v>Error?</v>
      </c>
    </row>
    <row r="7225" spans="1:4" x14ac:dyDescent="0.2">
      <c r="A7225">
        <v>7164</v>
      </c>
      <c r="B7225" s="1831">
        <f>'Expenditures 15-22'!K343</f>
        <v>227245</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11288</v>
      </c>
      <c r="D7246" s="2" t="str">
        <f t="shared" si="112"/>
        <v>Error?</v>
      </c>
    </row>
    <row r="7247" spans="1:4" x14ac:dyDescent="0.2">
      <c r="A7247">
        <f t="shared" si="113"/>
        <v>7186</v>
      </c>
      <c r="B7247" s="1831">
        <f>'Expenditures 15-22'!E7</f>
        <v>9420</v>
      </c>
      <c r="D7247" s="2" t="str">
        <f t="shared" si="112"/>
        <v>Error?</v>
      </c>
    </row>
    <row r="7248" spans="1:4" x14ac:dyDescent="0.2">
      <c r="A7248">
        <f t="shared" si="113"/>
        <v>7187</v>
      </c>
      <c r="B7248" s="1831">
        <f>'Expenditures 15-22'!F7</f>
        <v>25620</v>
      </c>
      <c r="D7248" s="2" t="str">
        <f t="shared" si="112"/>
        <v>Error?</v>
      </c>
    </row>
    <row r="7249" spans="1:4" x14ac:dyDescent="0.2">
      <c r="A7249">
        <f t="shared" si="113"/>
        <v>7188</v>
      </c>
      <c r="B7249" s="1831">
        <f>'Expenditures 15-22'!G7</f>
        <v>5712</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34633</v>
      </c>
      <c r="D7263" s="2" t="str">
        <f t="shared" si="112"/>
        <v>Error?</v>
      </c>
    </row>
    <row r="7264" spans="1:4" x14ac:dyDescent="0.2">
      <c r="A7264">
        <f t="shared" si="113"/>
        <v>7203</v>
      </c>
      <c r="B7264" s="1831">
        <f>'Expenditures 15-22'!D17</f>
        <v>7308</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539</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2630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2630</v>
      </c>
      <c r="D7609" s="2" t="str">
        <f t="shared" si="122"/>
        <v>Error?</v>
      </c>
      <c r="E7609" s="2" t="s">
        <v>19</v>
      </c>
    </row>
    <row r="7610" spans="1:5" x14ac:dyDescent="0.2">
      <c r="A7610">
        <f t="shared" si="123"/>
        <v>7549</v>
      </c>
      <c r="B7610" s="1831">
        <f>'Cap Outlay Deprec 26'!H9</f>
        <v>396</v>
      </c>
      <c r="D7610" s="2" t="str">
        <f t="shared" si="122"/>
        <v>Error?</v>
      </c>
      <c r="E7610" s="2" t="s">
        <v>19</v>
      </c>
    </row>
    <row r="7611" spans="1:5" x14ac:dyDescent="0.2">
      <c r="A7611">
        <f t="shared" si="123"/>
        <v>7550</v>
      </c>
      <c r="B7611" s="1831">
        <f>'Cap Outlay Deprec 26'!I9</f>
        <v>130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526</v>
      </c>
      <c r="D7613" s="2" t="str">
        <f t="shared" si="122"/>
        <v>Error?</v>
      </c>
      <c r="E7613" s="2" t="s">
        <v>19</v>
      </c>
    </row>
    <row r="7614" spans="1:5" x14ac:dyDescent="0.2">
      <c r="A7614">
        <f t="shared" si="123"/>
        <v>7553</v>
      </c>
      <c r="B7614" s="1831">
        <f>'Cap Outlay Deprec 26'!L9</f>
        <v>2104</v>
      </c>
      <c r="D7614" s="2" t="str">
        <f t="shared" si="122"/>
        <v>Error?</v>
      </c>
      <c r="E7614" s="2" t="s">
        <v>19</v>
      </c>
    </row>
    <row r="7615" spans="1:5" x14ac:dyDescent="0.2">
      <c r="A7615">
        <f t="shared" si="123"/>
        <v>7554</v>
      </c>
      <c r="B7615" s="1831">
        <f>'Cap Outlay Deprec 26'!C14</f>
        <v>1193</v>
      </c>
      <c r="D7615" s="2" t="str">
        <f t="shared" ref="D7615:D7678" si="124">IF(ISBLANK(B7615),"OK",IF(A7615-B7615=0,"OK","Error?"))</f>
        <v>Error?</v>
      </c>
      <c r="E7615" s="2" t="s">
        <v>19</v>
      </c>
    </row>
    <row r="7616" spans="1:5" x14ac:dyDescent="0.2">
      <c r="A7616">
        <f t="shared" si="123"/>
        <v>7555</v>
      </c>
      <c r="B7616" s="1831">
        <f>'Cap Outlay Deprec 26'!D14</f>
        <v>1848</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3041</v>
      </c>
      <c r="D7618" s="2" t="str">
        <f t="shared" si="124"/>
        <v>Error?</v>
      </c>
      <c r="E7618" s="2" t="s">
        <v>19</v>
      </c>
    </row>
    <row r="7619" spans="1:5" x14ac:dyDescent="0.2">
      <c r="A7619">
        <f t="shared" si="123"/>
        <v>7558</v>
      </c>
      <c r="B7619" s="1831">
        <f>'Cap Outlay Deprec 26'!H14</f>
        <v>1193</v>
      </c>
      <c r="D7619" s="2" t="str">
        <f t="shared" si="124"/>
        <v>Error?</v>
      </c>
      <c r="E7619" s="2" t="s">
        <v>19</v>
      </c>
    </row>
    <row r="7620" spans="1:5" x14ac:dyDescent="0.2">
      <c r="A7620">
        <f t="shared" si="123"/>
        <v>7559</v>
      </c>
      <c r="B7620" s="1831">
        <f>'Cap Outlay Deprec 26'!I14</f>
        <v>616</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1809</v>
      </c>
      <c r="D7622" s="2" t="str">
        <f t="shared" si="124"/>
        <v>Error?</v>
      </c>
      <c r="E7622" s="2" t="s">
        <v>19</v>
      </c>
    </row>
    <row r="7623" spans="1:5" x14ac:dyDescent="0.2">
      <c r="A7623">
        <f t="shared" si="123"/>
        <v>7562</v>
      </c>
      <c r="B7623" s="1831">
        <f>'Cap Outlay Deprec 26'!L14</f>
        <v>1232</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648699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135000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47595</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630806</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3605</v>
      </c>
      <c r="D7712" s="2" t="str">
        <f t="shared" si="126"/>
        <v>Error?</v>
      </c>
      <c r="E7712" s="2" t="s">
        <v>822</v>
      </c>
    </row>
    <row r="7713" spans="1:6" x14ac:dyDescent="0.2">
      <c r="A7713">
        <v>7652</v>
      </c>
      <c r="B7713" s="1831">
        <f>'Rest Tax Levies-Tort Im 25'!J8</f>
        <v>375925</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375925</v>
      </c>
      <c r="D7718" s="2" t="str">
        <f t="shared" si="126"/>
        <v>Error?</v>
      </c>
      <c r="E7718" s="2" t="s">
        <v>822</v>
      </c>
    </row>
    <row r="7719" spans="1:6" x14ac:dyDescent="0.2">
      <c r="A7719">
        <v>7658</v>
      </c>
      <c r="B7719" s="1831">
        <f>'Rest Tax Levies-Tort Im 25'!K12</f>
        <v>3605</v>
      </c>
      <c r="D7719" s="2" t="str">
        <f t="shared" si="126"/>
        <v>Error?</v>
      </c>
      <c r="E7719" s="2" t="s">
        <v>822</v>
      </c>
    </row>
    <row r="7720" spans="1:6" x14ac:dyDescent="0.2">
      <c r="A7720">
        <v>7659</v>
      </c>
      <c r="B7720" s="1831">
        <f>'Rest Tax Levies-Tort Im 25'!H14</f>
        <v>34452</v>
      </c>
      <c r="D7720" s="2" t="str">
        <f t="shared" si="126"/>
        <v>Error?</v>
      </c>
      <c r="E7720" s="2" t="s">
        <v>822</v>
      </c>
    </row>
    <row r="7721" spans="1:6" x14ac:dyDescent="0.2">
      <c r="A7721">
        <v>7660</v>
      </c>
      <c r="B7721" s="1831">
        <f>'Rest Tax Levies-Tort Im 25'!K14</f>
        <v>3605</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129357</v>
      </c>
      <c r="D7724" s="2" t="str">
        <f t="shared" si="126"/>
        <v>Error?</v>
      </c>
      <c r="E7724" s="2" t="s">
        <v>822</v>
      </c>
      <c r="F7724" s="2"/>
    </row>
    <row r="7725" spans="1:6" x14ac:dyDescent="0.2">
      <c r="A7725">
        <v>7664</v>
      </c>
      <c r="B7725" s="1831">
        <f>'Rest Tax Levies-Tort Im 25'!J19</f>
        <v>205000</v>
      </c>
      <c r="D7725" s="2" t="str">
        <f t="shared" si="126"/>
        <v>Error?</v>
      </c>
      <c r="E7725" s="2" t="s">
        <v>822</v>
      </c>
    </row>
    <row r="7726" spans="1:6" x14ac:dyDescent="0.2">
      <c r="A7726">
        <v>7665</v>
      </c>
      <c r="B7726" s="1831">
        <f>'Rest Tax Levies-Tort Im 25'!J20</f>
        <v>375</v>
      </c>
      <c r="D7726" s="2" t="str">
        <f t="shared" si="126"/>
        <v>Error?</v>
      </c>
      <c r="E7726" s="2" t="s">
        <v>822</v>
      </c>
    </row>
    <row r="7727" spans="1:6" x14ac:dyDescent="0.2">
      <c r="A7727">
        <v>7666</v>
      </c>
      <c r="B7727" s="1831">
        <f>'Rest Tax Levies-Tort Im 25'!J21</f>
        <v>334732</v>
      </c>
      <c r="D7727" s="2" t="str">
        <f t="shared" si="126"/>
        <v>Error?</v>
      </c>
      <c r="E7727" s="2" t="s">
        <v>822</v>
      </c>
    </row>
    <row r="7728" spans="1:6" x14ac:dyDescent="0.2">
      <c r="A7728">
        <v>7667</v>
      </c>
      <c r="B7728" s="1831">
        <f>'Revenues 9-14'!E103</f>
        <v>375925</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334732</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671999</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671999</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47144</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1995</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3605</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11595380</v>
      </c>
      <c r="D7817" s="2" t="str">
        <f t="shared" si="128"/>
        <v>Error?</v>
      </c>
      <c r="E7817" s="4" t="s">
        <v>1964</v>
      </c>
    </row>
    <row r="7818" spans="1:5" x14ac:dyDescent="0.2">
      <c r="A7818">
        <v>7757</v>
      </c>
      <c r="B7818" s="1831">
        <f>'PCTC-OEPP 27-28'!F172</f>
        <v>391877</v>
      </c>
      <c r="D7818" s="2" t="str">
        <f t="shared" si="128"/>
        <v>Error?</v>
      </c>
      <c r="E7818" s="4" t="s">
        <v>1978</v>
      </c>
    </row>
    <row r="7819" spans="1:5" x14ac:dyDescent="0.2">
      <c r="A7819">
        <v>7758</v>
      </c>
      <c r="B7819" s="1831">
        <f>'PCTC-OEPP 27-28'!F173</f>
        <v>383265</v>
      </c>
      <c r="D7819" s="2" t="str">
        <f t="shared" si="128"/>
        <v>Error?</v>
      </c>
      <c r="E7819" s="4" t="s">
        <v>1978</v>
      </c>
    </row>
    <row r="7820" spans="1:5" x14ac:dyDescent="0.2">
      <c r="A7820">
        <v>7759</v>
      </c>
      <c r="B7820" s="1831">
        <f>'ICR Computation 30'!E40</f>
        <v>-130533</v>
      </c>
      <c r="D7820" s="2" t="str">
        <f t="shared" si="128"/>
        <v>Error?</v>
      </c>
    </row>
    <row r="7821" spans="1:5" x14ac:dyDescent="0.2">
      <c r="A7821">
        <v>7760</v>
      </c>
      <c r="B7821" s="1831">
        <f>'ICR Computation 30'!G40</f>
        <v>-130533</v>
      </c>
      <c r="D7821" s="2" t="str">
        <f t="shared" si="128"/>
        <v>Error?</v>
      </c>
    </row>
    <row r="7822" spans="1:5" x14ac:dyDescent="0.2">
      <c r="A7822" s="1">
        <v>7761</v>
      </c>
      <c r="B7822" s="1831">
        <f>'PCTC-OEPP 27-28'!F14</f>
        <v>10960176</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183305</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149</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1845745</v>
      </c>
      <c r="D7834" s="2" t="str">
        <f t="shared" si="129"/>
        <v>Error?</v>
      </c>
      <c r="E7834" s="4" t="s">
        <v>1996</v>
      </c>
    </row>
    <row r="7835" spans="1:5" x14ac:dyDescent="0.2">
      <c r="A7835">
        <v>7774</v>
      </c>
      <c r="B7835" s="1831">
        <f>'PCTC-OEPP 27-28'!F78</f>
        <v>9114431</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10513.82050986273</v>
      </c>
      <c r="D7837" s="2" t="str">
        <f t="shared" si="129"/>
        <v>Error?</v>
      </c>
      <c r="E7837" s="4" t="s">
        <v>1996</v>
      </c>
    </row>
    <row r="7838" spans="1:5" x14ac:dyDescent="0.2">
      <c r="A7838">
        <v>7777</v>
      </c>
      <c r="B7838" s="1831">
        <f>'PCTC-OEPP 27-28'!F96</f>
        <v>36474</v>
      </c>
      <c r="D7838" s="2" t="str">
        <f t="shared" si="129"/>
        <v>Error?</v>
      </c>
      <c r="E7838" s="4" t="s">
        <v>1996</v>
      </c>
    </row>
    <row r="7839" spans="1:5" x14ac:dyDescent="0.2">
      <c r="A7839">
        <v>7778</v>
      </c>
      <c r="B7839" s="1831">
        <f>'PCTC-OEPP 27-28'!F102</f>
        <v>0</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51588</v>
      </c>
      <c r="D7842" s="2" t="str">
        <f t="shared" si="129"/>
        <v>Error?</v>
      </c>
      <c r="E7842" s="4" t="s">
        <v>1996</v>
      </c>
    </row>
    <row r="7843" spans="1:5" x14ac:dyDescent="0.2">
      <c r="A7843">
        <v>7782</v>
      </c>
      <c r="B7843" s="1831">
        <f>'PCTC-OEPP 27-28'!F107</f>
        <v>11172</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8426</v>
      </c>
      <c r="D7846" s="2" t="str">
        <f t="shared" si="129"/>
        <v>Error?</v>
      </c>
      <c r="E7846" s="4" t="s">
        <v>1996</v>
      </c>
    </row>
    <row r="7847" spans="1:5" x14ac:dyDescent="0.2">
      <c r="A7847">
        <v>7786</v>
      </c>
      <c r="B7847" s="1831">
        <f>'PCTC-OEPP 27-28'!F112</f>
        <v>227835</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750</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17533</v>
      </c>
      <c r="D7857" s="2" t="str">
        <f t="shared" si="129"/>
        <v>Error?</v>
      </c>
      <c r="E7857" s="4" t="s">
        <v>1996</v>
      </c>
    </row>
    <row r="7858" spans="1:5" x14ac:dyDescent="0.2">
      <c r="A7858">
        <v>7797</v>
      </c>
      <c r="B7858" s="1831">
        <f>'PCTC-OEPP 27-28'!F126</f>
        <v>325066</v>
      </c>
      <c r="D7858" s="2" t="str">
        <f t="shared" si="129"/>
        <v>Error?</v>
      </c>
      <c r="E7858" s="4" t="s">
        <v>1996</v>
      </c>
    </row>
    <row r="7859" spans="1:5" x14ac:dyDescent="0.2">
      <c r="A7859">
        <v>7798</v>
      </c>
      <c r="B7859" s="1831">
        <f>'PCTC-OEPP 27-28'!F127</f>
        <v>368753</v>
      </c>
      <c r="D7859" s="2" t="str">
        <f t="shared" si="129"/>
        <v>Error?</v>
      </c>
      <c r="E7859" s="4" t="s">
        <v>1996</v>
      </c>
    </row>
    <row r="7860" spans="1:5" x14ac:dyDescent="0.2">
      <c r="A7860">
        <v>7799</v>
      </c>
      <c r="B7860" s="1831">
        <f>'PCTC-OEPP 27-28'!F128</f>
        <v>0</v>
      </c>
      <c r="D7860" s="2" t="str">
        <f t="shared" si="129"/>
        <v>Error?</v>
      </c>
      <c r="E7860" s="4" t="s">
        <v>1996</v>
      </c>
    </row>
    <row r="7861" spans="1:5" x14ac:dyDescent="0.2">
      <c r="A7861">
        <v>7800</v>
      </c>
      <c r="B7861" s="1831">
        <f>'PCTC-OEPP 27-28'!F129</f>
        <v>167072</v>
      </c>
      <c r="D7861" s="2" t="str">
        <f t="shared" si="129"/>
        <v>Error?</v>
      </c>
      <c r="E7861" s="4" t="s">
        <v>1996</v>
      </c>
    </row>
    <row r="7862" spans="1:5" x14ac:dyDescent="0.2">
      <c r="A7862">
        <v>7801</v>
      </c>
      <c r="B7862" s="1831">
        <f>'PCTC-OEPP 27-28'!F130</f>
        <v>0</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6266</v>
      </c>
      <c r="D7865" s="2" t="str">
        <f t="shared" si="129"/>
        <v>Error?</v>
      </c>
      <c r="E7865" s="4" t="s">
        <v>1996</v>
      </c>
    </row>
    <row r="7866" spans="1:5" x14ac:dyDescent="0.2">
      <c r="A7866">
        <v>7805</v>
      </c>
      <c r="B7866" s="1831">
        <f>'PCTC-OEPP 27-28'!F158</f>
        <v>47144</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60901</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23235</v>
      </c>
      <c r="D7874" s="2" t="str">
        <f t="shared" si="129"/>
        <v>Error?</v>
      </c>
      <c r="E7874" s="4" t="s">
        <v>1996</v>
      </c>
    </row>
    <row r="7875" spans="1:5" x14ac:dyDescent="0.2">
      <c r="A7875">
        <v>7814</v>
      </c>
      <c r="B7875" s="1831">
        <f>'PCTC-OEPP 27-28'!F170</f>
        <v>68870</v>
      </c>
      <c r="D7875" s="2" t="str">
        <f t="shared" si="129"/>
        <v>Error?</v>
      </c>
      <c r="E7875" s="4" t="s">
        <v>1996</v>
      </c>
    </row>
    <row r="7876" spans="1:5" x14ac:dyDescent="0.2">
      <c r="A7876">
        <v>7815</v>
      </c>
      <c r="B7876" s="1831">
        <f>'PCTC-OEPP 27-28'!F171</f>
        <v>44566</v>
      </c>
      <c r="D7876" s="2" t="str">
        <f t="shared" si="129"/>
        <v>Error?</v>
      </c>
      <c r="E7876" s="4" t="s">
        <v>1996</v>
      </c>
    </row>
    <row r="7877" spans="1:5" x14ac:dyDescent="0.2">
      <c r="A7877">
        <v>7816</v>
      </c>
      <c r="B7877" s="1831">
        <f>'PCTC-OEPP 27-28'!F175</f>
        <v>2399406</v>
      </c>
      <c r="D7877" s="2" t="str">
        <f t="shared" si="129"/>
        <v>Error?</v>
      </c>
      <c r="E7877" s="4" t="s">
        <v>1996</v>
      </c>
    </row>
    <row r="7878" spans="1:5" x14ac:dyDescent="0.2">
      <c r="A7878">
        <v>7817</v>
      </c>
      <c r="B7878" s="1831">
        <f>'PCTC-OEPP 27-28'!F176</f>
        <v>6715025</v>
      </c>
      <c r="D7878" s="2" t="str">
        <f t="shared" si="129"/>
        <v>Error?</v>
      </c>
      <c r="E7878" s="4" t="s">
        <v>1996</v>
      </c>
    </row>
    <row r="7879" spans="1:5" x14ac:dyDescent="0.2">
      <c r="A7879">
        <v>7818</v>
      </c>
      <c r="B7879" s="1831">
        <f>'PCTC-OEPP 27-28'!F178</f>
        <v>7363724</v>
      </c>
      <c r="D7879" s="2" t="str">
        <f t="shared" si="129"/>
        <v>Error?</v>
      </c>
      <c r="E7879" s="4" t="s">
        <v>1996</v>
      </c>
    </row>
    <row r="7880" spans="1:5" x14ac:dyDescent="0.2">
      <c r="A7880">
        <v>7819</v>
      </c>
      <c r="B7880" s="1831">
        <f>'PCTC-OEPP 27-28'!F180</f>
        <v>8494.3176837005431</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3" sqref="A13:F1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1181</v>
      </c>
      <c r="B2" s="2543"/>
      <c r="C2" s="2543"/>
      <c r="D2" s="2543"/>
      <c r="E2" s="2543"/>
      <c r="F2" s="2543"/>
      <c r="G2" s="2543"/>
      <c r="H2" s="2543"/>
      <c r="I2" s="2543"/>
      <c r="J2" s="2543"/>
      <c r="K2" s="2543"/>
      <c r="L2" s="2543"/>
    </row>
    <row r="3" spans="1:29" ht="13.5" customHeight="1" x14ac:dyDescent="0.2">
      <c r="A3" s="2529" t="s">
        <v>1180</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3" t="str">
        <f>COVER!A17</f>
        <v xml:space="preserve">  Havana CUSD 126</v>
      </c>
      <c r="B7" s="2524"/>
      <c r="C7" s="2524"/>
      <c r="D7" s="2562"/>
      <c r="E7" s="2563">
        <f>COVER!A13</f>
        <v>53060126026</v>
      </c>
      <c r="F7" s="2564"/>
      <c r="G7" s="2530" t="str">
        <f>COVER!T23</f>
        <v>066-005243</v>
      </c>
      <c r="H7" s="2531"/>
      <c r="I7" s="2531"/>
      <c r="J7" s="2531"/>
      <c r="K7" s="2531"/>
      <c r="L7" s="253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3"/>
      <c r="B9" s="2534"/>
      <c r="C9" s="2534"/>
      <c r="D9" s="2534"/>
      <c r="E9" s="2534"/>
      <c r="F9" s="2535"/>
      <c r="G9" s="2536" t="str">
        <f>COVER!T13</f>
        <v>J.M. ABBOTT &amp; ASSOCIATES, LTD.</v>
      </c>
      <c r="H9" s="2537"/>
      <c r="I9" s="2537"/>
      <c r="J9" s="2537"/>
      <c r="K9" s="2537"/>
      <c r="L9" s="2538"/>
    </row>
    <row r="10" spans="1:29" ht="13.5" customHeight="1" x14ac:dyDescent="0.2">
      <c r="A10" s="2520" t="str">
        <f>COVER!A38</f>
        <v>R. MATTHEW PLATER</v>
      </c>
      <c r="B10" s="2521"/>
      <c r="C10" s="2521"/>
      <c r="D10" s="2521"/>
      <c r="E10" s="2521"/>
      <c r="F10" s="2522"/>
      <c r="G10" s="2536" t="str">
        <f>COVER!T17</f>
        <v>207 S. MCLEAN ST</v>
      </c>
      <c r="H10" s="2549"/>
      <c r="I10" s="2549"/>
      <c r="J10" s="2549"/>
      <c r="K10" s="2549"/>
      <c r="L10" s="2550"/>
    </row>
    <row r="11" spans="1:29" ht="13.5" customHeight="1" x14ac:dyDescent="0.2">
      <c r="A11" s="963" t="s">
        <v>1502</v>
      </c>
      <c r="B11" s="964"/>
      <c r="C11" s="965"/>
      <c r="D11" s="970"/>
      <c r="E11" s="965"/>
      <c r="F11" s="969"/>
      <c r="G11" s="2536" t="str">
        <f>COVER!T19</f>
        <v>LINCOLN</v>
      </c>
      <c r="H11" s="2549"/>
      <c r="I11" s="2549"/>
      <c r="J11" s="2549"/>
      <c r="K11" s="2549"/>
      <c r="L11" s="2550"/>
    </row>
    <row r="12" spans="1:29" ht="13.5" customHeight="1" x14ac:dyDescent="0.2">
      <c r="A12" s="2554" t="s">
        <v>1501</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1503</v>
      </c>
      <c r="H13" s="2545"/>
      <c r="I13" s="2557" t="str">
        <f>COVER!T25</f>
        <v>deb@jmabbott.com</v>
      </c>
      <c r="J13" s="2558"/>
      <c r="K13" s="2558"/>
      <c r="L13" s="2559"/>
    </row>
    <row r="14" spans="1:29" ht="13.5" customHeight="1" x14ac:dyDescent="0.2">
      <c r="A14" s="2536" t="str">
        <f>COVER!A19</f>
        <v>501 SOUTH MCKINLEY</v>
      </c>
      <c r="B14" s="2549"/>
      <c r="C14" s="2549"/>
      <c r="D14" s="2549"/>
      <c r="E14" s="2549"/>
      <c r="F14" s="2550"/>
      <c r="G14" s="974" t="s">
        <v>1175</v>
      </c>
      <c r="H14" s="972"/>
      <c r="I14" s="972"/>
      <c r="J14" s="972"/>
      <c r="K14" s="972"/>
      <c r="L14" s="973"/>
    </row>
    <row r="15" spans="1:29" ht="13.5" customHeight="1" x14ac:dyDescent="0.2">
      <c r="A15" s="2536" t="str">
        <f>COVER!A21</f>
        <v>HAVANA</v>
      </c>
      <c r="B15" s="2549"/>
      <c r="C15" s="2549"/>
      <c r="D15" s="2549"/>
      <c r="E15" s="2549"/>
      <c r="F15" s="2550"/>
      <c r="G15" s="2546" t="str">
        <f>COVER!T15</f>
        <v>DEBRA CURRY</v>
      </c>
      <c r="H15" s="2547"/>
      <c r="I15" s="2547"/>
      <c r="J15" s="2547"/>
      <c r="K15" s="2547"/>
      <c r="L15" s="2548"/>
    </row>
    <row r="16" spans="1:29" ht="12.2" customHeight="1" x14ac:dyDescent="0.2">
      <c r="A16" s="2526">
        <f>COVER!A25</f>
        <v>62644</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1174</v>
      </c>
      <c r="H17" s="972"/>
      <c r="I17" s="972"/>
      <c r="J17" s="972"/>
      <c r="K17" s="976" t="s">
        <v>1173</v>
      </c>
      <c r="L17" s="969"/>
      <c r="M17" s="962"/>
    </row>
    <row r="18" spans="1:13" ht="12.2" customHeight="1" x14ac:dyDescent="0.2">
      <c r="A18" s="2520"/>
      <c r="B18" s="2521"/>
      <c r="C18" s="2521"/>
      <c r="D18" s="2521"/>
      <c r="E18" s="2521"/>
      <c r="F18" s="2522"/>
      <c r="G18" s="2523" t="str">
        <f>COVER!T21</f>
        <v>217-735-1576</v>
      </c>
      <c r="H18" s="2524"/>
      <c r="I18" s="2524"/>
      <c r="J18" s="2524"/>
      <c r="K18" s="2523" t="str">
        <f>COVER!X21</f>
        <v>217-735-5866</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2049</v>
      </c>
      <c r="C26" s="981" t="s">
        <v>1677</v>
      </c>
    </row>
    <row r="27" spans="1:13" s="977" customFormat="1" ht="9" customHeight="1" x14ac:dyDescent="0.2">
      <c r="B27" s="982"/>
      <c r="C27" s="981"/>
    </row>
    <row r="28" spans="1:13" s="977" customFormat="1" ht="12.2" customHeight="1" x14ac:dyDescent="0.2">
      <c r="A28" s="984"/>
      <c r="B28" s="980" t="s">
        <v>2049</v>
      </c>
      <c r="C28" s="981" t="s">
        <v>1678</v>
      </c>
    </row>
    <row r="29" spans="1:13" s="977" customFormat="1" ht="9" customHeight="1" x14ac:dyDescent="0.2">
      <c r="A29" s="984"/>
      <c r="B29" s="982"/>
      <c r="C29" s="981"/>
    </row>
    <row r="30" spans="1:13" s="977" customFormat="1" ht="12.2" customHeight="1" x14ac:dyDescent="0.2">
      <c r="B30" s="980" t="s">
        <v>2049</v>
      </c>
      <c r="C30" s="981" t="s">
        <v>1545</v>
      </c>
      <c r="D30" s="975"/>
      <c r="E30" s="975"/>
    </row>
    <row r="31" spans="1:13" s="977" customFormat="1" ht="9" customHeight="1" x14ac:dyDescent="0.2">
      <c r="B31" s="982"/>
      <c r="C31" s="981"/>
      <c r="D31" s="975"/>
      <c r="E31" s="975"/>
    </row>
    <row r="32" spans="1:13" s="977" customFormat="1" ht="12.2" customHeight="1" x14ac:dyDescent="0.2">
      <c r="B32" s="980" t="s">
        <v>2049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2049</v>
      </c>
      <c r="C38" s="981" t="s">
        <v>1549</v>
      </c>
    </row>
    <row r="39" spans="1:8" ht="9" customHeight="1" x14ac:dyDescent="0.2">
      <c r="B39" s="982"/>
      <c r="C39" s="985"/>
    </row>
    <row r="40" spans="1:8" s="977" customFormat="1" ht="13.5" customHeight="1" x14ac:dyDescent="0.2">
      <c r="B40" s="980" t="s">
        <v>2049</v>
      </c>
      <c r="C40" s="981" t="s">
        <v>1550</v>
      </c>
    </row>
    <row r="41" spans="1:8" ht="9" customHeight="1" x14ac:dyDescent="0.2">
      <c r="A41" s="986"/>
      <c r="B41" s="982"/>
      <c r="C41" s="985"/>
    </row>
    <row r="42" spans="1:8" s="977" customFormat="1" ht="13.5" customHeight="1" x14ac:dyDescent="0.2">
      <c r="B42" s="980" t="s">
        <v>2049</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t="s">
        <v>2049</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7"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6" zoomScale="125" zoomScaleNormal="125" workbookViewId="0">
      <selection activeCell="A13" sqref="A13:F1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Havana CUSD 126</v>
      </c>
      <c r="B1" s="2566"/>
      <c r="C1" s="2566"/>
      <c r="D1" s="2566"/>
    </row>
    <row r="2" spans="1:11" s="991" customFormat="1" ht="12.75" x14ac:dyDescent="0.2">
      <c r="A2" s="2567">
        <f>'Single Audit Cover'!E7</f>
        <v>53060126026</v>
      </c>
      <c r="B2" s="2568"/>
      <c r="C2" s="2568"/>
      <c r="D2" s="2568"/>
    </row>
    <row r="3" spans="1:11" s="991" customFormat="1" ht="12.75" x14ac:dyDescent="0.2">
      <c r="A3" s="2565" t="s">
        <v>1496</v>
      </c>
      <c r="B3" s="2566"/>
      <c r="C3" s="2566"/>
      <c r="D3" s="256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2049</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2049</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2049</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2049</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2049</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2049</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2049</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2049</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2049</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2049</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2103</v>
      </c>
      <c r="C42" s="1008">
        <v>11</v>
      </c>
      <c r="D42" s="1019" t="s">
        <v>1557</v>
      </c>
      <c r="E42" s="290"/>
    </row>
    <row r="43" spans="1:5" ht="3" customHeight="1" x14ac:dyDescent="0.2">
      <c r="A43" s="998"/>
      <c r="B43" s="1015"/>
      <c r="C43" s="1016"/>
      <c r="D43" s="997"/>
    </row>
    <row r="44" spans="1:5" x14ac:dyDescent="0.2">
      <c r="A44" s="998"/>
      <c r="B44" s="1001" t="s">
        <v>2049</v>
      </c>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2049</v>
      </c>
      <c r="C48" s="1002">
        <f>C44+1</f>
        <v>13</v>
      </c>
      <c r="D48" s="1013" t="s">
        <v>1558</v>
      </c>
    </row>
    <row r="49" spans="1:4" ht="3" customHeight="1" x14ac:dyDescent="0.2">
      <c r="A49" s="998"/>
      <c r="B49" s="1005"/>
      <c r="C49" s="1002"/>
      <c r="D49" s="1013"/>
    </row>
    <row r="50" spans="1:4" x14ac:dyDescent="0.2">
      <c r="A50" s="998"/>
      <c r="B50" s="1001" t="s">
        <v>2049</v>
      </c>
      <c r="C50" s="1002">
        <f>C48+1</f>
        <v>14</v>
      </c>
      <c r="D50" s="1013" t="s">
        <v>1202</v>
      </c>
    </row>
    <row r="51" spans="1:4" ht="3" customHeight="1" x14ac:dyDescent="0.2">
      <c r="A51" s="998"/>
      <c r="B51" s="1005"/>
      <c r="C51" s="1002"/>
      <c r="D51" s="1013"/>
    </row>
    <row r="52" spans="1:4" x14ac:dyDescent="0.2">
      <c r="A52" s="998"/>
      <c r="B52" s="1001" t="s">
        <v>2049</v>
      </c>
      <c r="C52" s="1002">
        <f>C50+1</f>
        <v>15</v>
      </c>
      <c r="D52" s="1013" t="s">
        <v>1201</v>
      </c>
    </row>
    <row r="53" spans="1:4" ht="3" customHeight="1" x14ac:dyDescent="0.2">
      <c r="A53" s="998"/>
      <c r="B53" s="1005"/>
      <c r="C53" s="1002"/>
      <c r="D53" s="1013"/>
    </row>
    <row r="54" spans="1:4" x14ac:dyDescent="0.2">
      <c r="A54" s="998"/>
      <c r="B54" s="1001" t="s">
        <v>2103</v>
      </c>
      <c r="C54" s="1002">
        <f>C52+1</f>
        <v>16</v>
      </c>
      <c r="D54" s="1013" t="s">
        <v>1200</v>
      </c>
    </row>
    <row r="55" spans="1:4" ht="3" customHeight="1" x14ac:dyDescent="0.2">
      <c r="A55" s="998"/>
      <c r="B55" s="1005"/>
      <c r="C55" s="1002"/>
      <c r="D55" s="1013"/>
    </row>
    <row r="56" spans="1:4" x14ac:dyDescent="0.2">
      <c r="A56" s="998"/>
      <c r="B56" s="1001" t="s">
        <v>2049</v>
      </c>
      <c r="C56" s="1002">
        <f>C54+1</f>
        <v>17</v>
      </c>
      <c r="D56" s="997" t="s">
        <v>1686</v>
      </c>
    </row>
    <row r="57" spans="1:4" ht="10.5" customHeight="1" x14ac:dyDescent="0.2">
      <c r="A57" s="998"/>
      <c r="D57" s="1013" t="s">
        <v>1687</v>
      </c>
    </row>
    <row r="58" spans="1:4" x14ac:dyDescent="0.2">
      <c r="A58" s="998"/>
      <c r="C58" s="1020" t="s">
        <v>2049</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2103</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2049</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2103</v>
      </c>
      <c r="D69" s="1013" t="s">
        <v>1691</v>
      </c>
    </row>
    <row r="70" spans="1:4" x14ac:dyDescent="0.2">
      <c r="A70" s="998"/>
      <c r="D70" s="1022" t="s">
        <v>1196</v>
      </c>
    </row>
    <row r="71" spans="1:4" ht="3" customHeight="1" x14ac:dyDescent="0.2">
      <c r="A71" s="998"/>
      <c r="D71" s="997"/>
    </row>
    <row r="72" spans="1:4" x14ac:dyDescent="0.2">
      <c r="A72" s="998"/>
      <c r="B72" s="1001" t="s">
        <v>2049</v>
      </c>
      <c r="C72" s="1002">
        <f>C56+1</f>
        <v>18</v>
      </c>
      <c r="D72" s="1023" t="s">
        <v>1692</v>
      </c>
    </row>
    <row r="73" spans="1:4" ht="3" customHeight="1" x14ac:dyDescent="0.2">
      <c r="A73" s="998"/>
      <c r="B73" s="1005"/>
      <c r="C73" s="1002"/>
      <c r="D73" s="1023"/>
    </row>
    <row r="74" spans="1:4" x14ac:dyDescent="0.2">
      <c r="A74" s="998"/>
      <c r="B74" s="1001" t="s">
        <v>2049</v>
      </c>
      <c r="C74" s="1002">
        <f>C72+1</f>
        <v>19</v>
      </c>
      <c r="D74" s="1013" t="s">
        <v>1195</v>
      </c>
    </row>
    <row r="75" spans="1:4" ht="3" customHeight="1" x14ac:dyDescent="0.2">
      <c r="A75" s="998"/>
      <c r="B75" s="1005"/>
      <c r="C75" s="1002"/>
      <c r="D75" s="1013"/>
    </row>
    <row r="76" spans="1:4" x14ac:dyDescent="0.2">
      <c r="A76" s="998"/>
      <c r="B76" s="1001" t="s">
        <v>2049</v>
      </c>
      <c r="C76" s="1002">
        <f>C74+1</f>
        <v>20</v>
      </c>
      <c r="D76" s="1024" t="s">
        <v>1693</v>
      </c>
    </row>
    <row r="77" spans="1:4" ht="3" customHeight="1" x14ac:dyDescent="0.2">
      <c r="A77" s="998"/>
      <c r="B77" s="1005"/>
      <c r="C77" s="1002"/>
      <c r="D77" s="1024"/>
    </row>
    <row r="78" spans="1:4" x14ac:dyDescent="0.2">
      <c r="A78" s="998"/>
      <c r="B78" s="1001" t="s">
        <v>2049</v>
      </c>
      <c r="C78" s="1002">
        <f>C76+1</f>
        <v>21</v>
      </c>
      <c r="D78" s="997" t="s">
        <v>1694</v>
      </c>
    </row>
    <row r="79" spans="1:4" ht="3" customHeight="1" x14ac:dyDescent="0.2">
      <c r="A79" s="998"/>
      <c r="B79" s="1005"/>
      <c r="C79" s="1002"/>
      <c r="D79" s="997"/>
    </row>
    <row r="80" spans="1:4" x14ac:dyDescent="0.2">
      <c r="A80" s="998"/>
      <c r="B80" s="1001" t="s">
        <v>2049</v>
      </c>
      <c r="C80" s="1002">
        <f>C78+1</f>
        <v>22</v>
      </c>
      <c r="D80" s="1025" t="s">
        <v>1695</v>
      </c>
    </row>
    <row r="81" spans="1:4" ht="3" customHeight="1" x14ac:dyDescent="0.2">
      <c r="A81" s="998"/>
      <c r="B81" s="1005"/>
      <c r="C81" s="1002"/>
      <c r="D81" s="1025"/>
    </row>
    <row r="82" spans="1:4" x14ac:dyDescent="0.2">
      <c r="A82" s="998"/>
      <c r="B82" s="1001" t="s">
        <v>2049</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2049</v>
      </c>
      <c r="C85" s="1002">
        <f>C82+1</f>
        <v>24</v>
      </c>
      <c r="D85" s="1013" t="s">
        <v>1193</v>
      </c>
    </row>
    <row r="86" spans="1:4" ht="3" customHeight="1" x14ac:dyDescent="0.2">
      <c r="A86" s="998"/>
      <c r="B86" s="1005"/>
      <c r="C86" s="1002"/>
      <c r="D86" s="1013"/>
    </row>
    <row r="87" spans="1:4" x14ac:dyDescent="0.2">
      <c r="A87" s="998"/>
      <c r="B87" s="1001" t="s">
        <v>2049</v>
      </c>
      <c r="C87" s="1002">
        <f>C85+1</f>
        <v>25</v>
      </c>
      <c r="D87" s="1013" t="s">
        <v>1192</v>
      </c>
    </row>
    <row r="88" spans="1:4" ht="3" customHeight="1" x14ac:dyDescent="0.2">
      <c r="A88" s="998"/>
      <c r="B88" s="1005"/>
      <c r="C88" s="1002"/>
      <c r="D88" s="1013"/>
    </row>
    <row r="89" spans="1:4" x14ac:dyDescent="0.2">
      <c r="A89" s="998"/>
      <c r="B89" s="1001" t="s">
        <v>2049</v>
      </c>
      <c r="C89" s="1002">
        <f>C87+1</f>
        <v>26</v>
      </c>
      <c r="D89" s="1013" t="s">
        <v>1191</v>
      </c>
    </row>
    <row r="90" spans="1:4" ht="3" customHeight="1" x14ac:dyDescent="0.2">
      <c r="A90" s="998"/>
      <c r="B90" s="1005"/>
      <c r="C90" s="1002"/>
      <c r="D90" s="1013"/>
    </row>
    <row r="91" spans="1:4" x14ac:dyDescent="0.2">
      <c r="A91" s="998"/>
      <c r="B91" s="1001" t="s">
        <v>2103</v>
      </c>
      <c r="C91" s="1002">
        <f>C89+1</f>
        <v>27</v>
      </c>
      <c r="D91" s="1013" t="s">
        <v>1697</v>
      </c>
    </row>
    <row r="92" spans="1:4" x14ac:dyDescent="0.2">
      <c r="A92" s="998"/>
      <c r="B92" s="1026"/>
      <c r="C92" s="1020" t="s">
        <v>2103</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2049</v>
      </c>
      <c r="C96" s="1002">
        <f>C91+1</f>
        <v>28</v>
      </c>
      <c r="D96" s="1013" t="s">
        <v>1698</v>
      </c>
    </row>
    <row r="97" spans="1:4" ht="3" customHeight="1" x14ac:dyDescent="0.2">
      <c r="A97" s="998"/>
      <c r="B97" s="1005"/>
      <c r="C97" s="1002"/>
      <c r="D97" s="1013"/>
    </row>
    <row r="98" spans="1:4" x14ac:dyDescent="0.2">
      <c r="A98" s="998"/>
      <c r="B98" s="1001" t="s">
        <v>2049</v>
      </c>
      <c r="C98" s="1002">
        <f>C96+1</f>
        <v>29</v>
      </c>
      <c r="D98" s="1027" t="s">
        <v>1699</v>
      </c>
    </row>
    <row r="99" spans="1:4" ht="3" customHeight="1" x14ac:dyDescent="0.2">
      <c r="A99" s="998"/>
      <c r="B99" s="1005"/>
      <c r="C99" s="1002"/>
      <c r="D99" s="1027"/>
    </row>
    <row r="100" spans="1:4" x14ac:dyDescent="0.2">
      <c r="A100" s="998"/>
      <c r="B100" s="1001" t="s">
        <v>2049</v>
      </c>
      <c r="C100" s="1002">
        <f>C98+1</f>
        <v>30</v>
      </c>
      <c r="D100" s="1013" t="s">
        <v>1700</v>
      </c>
    </row>
    <row r="101" spans="1:4" ht="3" customHeight="1" x14ac:dyDescent="0.2">
      <c r="A101" s="998"/>
      <c r="B101" s="1005"/>
      <c r="C101" s="1002"/>
      <c r="D101" s="1028"/>
    </row>
    <row r="102" spans="1:4" x14ac:dyDescent="0.2">
      <c r="A102" s="998"/>
      <c r="B102" s="1001" t="s">
        <v>2049</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2049</v>
      </c>
      <c r="C106" s="1002">
        <f>C102+1</f>
        <v>32</v>
      </c>
      <c r="D106" s="997" t="s">
        <v>1563</v>
      </c>
    </row>
    <row r="107" spans="1:4" ht="3" customHeight="1" x14ac:dyDescent="0.2">
      <c r="A107" s="998"/>
      <c r="B107" s="1005"/>
      <c r="C107" s="1002"/>
      <c r="D107" s="997"/>
    </row>
    <row r="108" spans="1:4" x14ac:dyDescent="0.2">
      <c r="A108" s="998"/>
      <c r="B108" s="1001" t="s">
        <v>2049</v>
      </c>
      <c r="C108" s="1002">
        <v>33</v>
      </c>
      <c r="D108" s="997" t="s">
        <v>1701</v>
      </c>
    </row>
    <row r="109" spans="1:4" ht="3" customHeight="1" x14ac:dyDescent="0.2">
      <c r="A109" s="998"/>
      <c r="B109" s="1005"/>
      <c r="C109" s="1002"/>
      <c r="D109" s="997"/>
    </row>
    <row r="110" spans="1:4" x14ac:dyDescent="0.2">
      <c r="A110" s="998"/>
      <c r="B110" s="1001" t="s">
        <v>2103</v>
      </c>
      <c r="C110" s="1002">
        <f>C108+1</f>
        <v>34</v>
      </c>
      <c r="D110" s="997" t="s">
        <v>1188</v>
      </c>
    </row>
    <row r="111" spans="1:4" ht="3" customHeight="1" x14ac:dyDescent="0.2">
      <c r="A111" s="998"/>
      <c r="B111" s="1005"/>
      <c r="C111" s="1002"/>
      <c r="D111" s="997"/>
    </row>
    <row r="112" spans="1:4" x14ac:dyDescent="0.2">
      <c r="A112" s="998"/>
      <c r="B112" s="1001" t="s">
        <v>2103</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2103</v>
      </c>
      <c r="C115" s="1002">
        <f>C112+1</f>
        <v>36</v>
      </c>
      <c r="D115" s="1013" t="s">
        <v>1185</v>
      </c>
    </row>
    <row r="116" spans="1:4" ht="3" customHeight="1" x14ac:dyDescent="0.2">
      <c r="A116" s="998"/>
      <c r="B116" s="1005"/>
      <c r="C116" s="1002"/>
      <c r="D116" s="1013"/>
    </row>
    <row r="117" spans="1:4" x14ac:dyDescent="0.2">
      <c r="A117" s="998"/>
      <c r="B117" s="1001" t="s">
        <v>2103</v>
      </c>
      <c r="C117" s="1002">
        <f>C115+1</f>
        <v>37</v>
      </c>
      <c r="D117" s="1013" t="s">
        <v>1702</v>
      </c>
    </row>
    <row r="118" spans="1:4" ht="3" customHeight="1" x14ac:dyDescent="0.2">
      <c r="A118" s="998"/>
      <c r="B118" s="1005"/>
      <c r="C118" s="1002"/>
      <c r="D118" s="1013"/>
    </row>
    <row r="119" spans="1:4" x14ac:dyDescent="0.2">
      <c r="A119" s="998"/>
      <c r="B119" s="1001" t="s">
        <v>2103</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2049</v>
      </c>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Havana CUSD 126</v>
      </c>
      <c r="B1" s="2570"/>
      <c r="C1" s="2570"/>
      <c r="D1" s="2570"/>
      <c r="E1" s="2570"/>
    </row>
    <row r="2" spans="1:5" x14ac:dyDescent="0.2">
      <c r="A2" s="2571">
        <f>'Single Audit Cover'!E7</f>
        <v>53060126026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1129406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25172</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-68870</v>
      </c>
    </row>
    <row r="19" spans="1:4" ht="13.5" thickBot="1" x14ac:dyDescent="0.25">
      <c r="A19" s="1041" t="s">
        <v>1224</v>
      </c>
      <c r="D19" s="1042">
        <f>SUM(D10:D17)</f>
        <v>1085708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t="s">
        <v>2072</v>
      </c>
      <c r="B24" s="2572"/>
      <c r="D24" s="1044">
        <v>-47144</v>
      </c>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1038564</v>
      </c>
    </row>
    <row r="33" spans="1:4" x14ac:dyDescent="0.2">
      <c r="D33" s="1045"/>
    </row>
    <row r="34" spans="1:4" x14ac:dyDescent="0.2">
      <c r="A34" s="295" t="s">
        <v>1221</v>
      </c>
    </row>
    <row r="35" spans="1:4" x14ac:dyDescent="0.2">
      <c r="A35" s="295" t="s">
        <v>1220</v>
      </c>
      <c r="B35" s="1034" t="s">
        <v>1219</v>
      </c>
      <c r="D35" s="1046">
        <v>1039532</v>
      </c>
    </row>
    <row r="37" spans="1:4" x14ac:dyDescent="0.2">
      <c r="A37" s="1036" t="s">
        <v>1218</v>
      </c>
    </row>
    <row r="39" spans="1:4" ht="13.35" customHeight="1" x14ac:dyDescent="0.2">
      <c r="A39" s="1043" t="s">
        <v>1217</v>
      </c>
    </row>
    <row r="40" spans="1:4" x14ac:dyDescent="0.2">
      <c r="A40" s="2574" t="s">
        <v>2070</v>
      </c>
      <c r="B40" s="2569"/>
      <c r="D40" s="1044"/>
    </row>
    <row r="41" spans="1:4" x14ac:dyDescent="0.2">
      <c r="A41" s="2569" t="s">
        <v>2071</v>
      </c>
      <c r="B41" s="2569"/>
      <c r="D41" s="1047">
        <v>-968</v>
      </c>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f>SUM(D35:D45)</f>
        <v>1038564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4" zoomScaleNormal="100" workbookViewId="0">
      <selection activeCell="A13" sqref="A13:F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Havana CUSD 126</v>
      </c>
      <c r="C1" s="2575"/>
      <c r="D1" s="2575"/>
      <c r="E1" s="2575"/>
      <c r="F1" s="2575"/>
      <c r="G1" s="2575"/>
      <c r="H1" s="2575"/>
      <c r="I1" s="2575"/>
      <c r="J1" s="2575"/>
      <c r="K1" s="2575"/>
      <c r="L1" s="2575"/>
      <c r="M1" s="2575"/>
    </row>
    <row r="2" spans="2:14" ht="15" x14ac:dyDescent="0.2">
      <c r="B2" s="2576">
        <f>'Single Audit Cover'!E7</f>
        <v>53060126026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3"/>
      <c r="J5" s="1913"/>
    </row>
    <row r="6" spans="2:14" x14ac:dyDescent="0.2">
      <c r="B6" s="1079"/>
      <c r="C6" s="1080"/>
      <c r="D6" s="1081" t="s">
        <v>1254</v>
      </c>
      <c r="E6" s="1082" t="s">
        <v>524</v>
      </c>
      <c r="F6" s="1083"/>
      <c r="G6" s="1084" t="s">
        <v>1709</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2093</v>
      </c>
      <c r="C11" s="1820"/>
      <c r="D11" s="1821"/>
      <c r="E11" s="1822"/>
      <c r="F11" s="1822"/>
      <c r="G11" s="1822"/>
      <c r="H11" s="1822"/>
      <c r="I11" s="1822"/>
      <c r="J11" s="1822"/>
      <c r="K11" s="1822"/>
      <c r="L11" s="1822">
        <f>+G11+I11+K11</f>
        <v>0</v>
      </c>
      <c r="M11" s="1822"/>
    </row>
    <row r="12" spans="2:14" ht="20.100000000000001" customHeight="1" x14ac:dyDescent="0.2">
      <c r="B12" s="2036" t="s">
        <v>2094</v>
      </c>
      <c r="C12" s="1823"/>
      <c r="D12" s="1824"/>
      <c r="E12" s="1825"/>
      <c r="F12" s="1825"/>
      <c r="G12" s="1825"/>
      <c r="H12" s="1825"/>
      <c r="I12" s="1825"/>
      <c r="J12" s="1825"/>
      <c r="K12" s="1825"/>
      <c r="L12" s="1822">
        <f t="shared" ref="L12:L27" si="0">+G12+I12+K12</f>
        <v>0</v>
      </c>
      <c r="M12" s="1825"/>
    </row>
    <row r="13" spans="2:14" ht="20.100000000000001" customHeight="1" x14ac:dyDescent="0.2">
      <c r="B13" s="2037" t="s">
        <v>2095</v>
      </c>
      <c r="C13" s="1823"/>
      <c r="D13" s="1824"/>
      <c r="E13" s="1825"/>
      <c r="F13" s="1825"/>
      <c r="G13" s="1825"/>
      <c r="H13" s="1825"/>
      <c r="I13" s="1825"/>
      <c r="J13" s="1825"/>
      <c r="K13" s="1825"/>
      <c r="L13" s="1822">
        <f t="shared" si="0"/>
        <v>0</v>
      </c>
      <c r="M13" s="1825"/>
    </row>
    <row r="14" spans="2:14" ht="20.100000000000001" customHeight="1" x14ac:dyDescent="0.2">
      <c r="B14" s="2038" t="s">
        <v>1049</v>
      </c>
      <c r="C14" s="1823">
        <v>10.555</v>
      </c>
      <c r="D14" s="1824" t="s">
        <v>2099</v>
      </c>
      <c r="E14" s="1825">
        <v>163541</v>
      </c>
      <c r="F14" s="1825">
        <v>29269</v>
      </c>
      <c r="G14" s="1825">
        <v>163541</v>
      </c>
      <c r="H14" s="1825">
        <v>0</v>
      </c>
      <c r="I14" s="1825">
        <v>29269</v>
      </c>
      <c r="J14" s="1825">
        <v>0</v>
      </c>
      <c r="K14" s="1825">
        <v>0</v>
      </c>
      <c r="L14" s="1822">
        <f t="shared" si="0"/>
        <v>192810</v>
      </c>
      <c r="M14" s="1825" t="s">
        <v>2103</v>
      </c>
    </row>
    <row r="15" spans="2:14" ht="20.100000000000001" customHeight="1" x14ac:dyDescent="0.2">
      <c r="B15" s="2038" t="s">
        <v>1049</v>
      </c>
      <c r="C15" s="1823">
        <v>10.555</v>
      </c>
      <c r="D15" s="1824" t="s">
        <v>2100</v>
      </c>
      <c r="E15" s="1825">
        <v>0</v>
      </c>
      <c r="F15" s="1825">
        <v>189369</v>
      </c>
      <c r="G15" s="1825">
        <v>0</v>
      </c>
      <c r="H15" s="1825">
        <v>0</v>
      </c>
      <c r="I15" s="1825">
        <v>189369</v>
      </c>
      <c r="J15" s="1825">
        <v>0</v>
      </c>
      <c r="K15" s="1825">
        <v>0</v>
      </c>
      <c r="L15" s="1822">
        <f t="shared" si="0"/>
        <v>189369</v>
      </c>
      <c r="M15" s="1825" t="s">
        <v>2103</v>
      </c>
    </row>
    <row r="16" spans="2:14" ht="20.100000000000001" customHeight="1" x14ac:dyDescent="0.2">
      <c r="B16" s="2038" t="s">
        <v>2096</v>
      </c>
      <c r="C16" s="1823">
        <v>10.553000000000001</v>
      </c>
      <c r="D16" s="1824" t="s">
        <v>2101</v>
      </c>
      <c r="E16" s="1825">
        <v>52690</v>
      </c>
      <c r="F16" s="1825">
        <v>8700</v>
      </c>
      <c r="G16" s="1825">
        <v>52690</v>
      </c>
      <c r="H16" s="1825">
        <v>0</v>
      </c>
      <c r="I16" s="1825">
        <v>8700</v>
      </c>
      <c r="J16" s="1825">
        <v>0</v>
      </c>
      <c r="K16" s="1825">
        <v>0</v>
      </c>
      <c r="L16" s="1822">
        <f t="shared" si="0"/>
        <v>61390</v>
      </c>
      <c r="M16" s="1825" t="s">
        <v>2103</v>
      </c>
    </row>
    <row r="17" spans="2:14" ht="20.100000000000001" customHeight="1" x14ac:dyDescent="0.2">
      <c r="B17" s="2038" t="s">
        <v>2096</v>
      </c>
      <c r="C17" s="1823">
        <v>10.553000000000001</v>
      </c>
      <c r="D17" s="1824" t="s">
        <v>2102</v>
      </c>
      <c r="E17" s="1825">
        <v>0</v>
      </c>
      <c r="F17" s="1825">
        <v>82123</v>
      </c>
      <c r="G17" s="1825">
        <v>0</v>
      </c>
      <c r="H17" s="1825">
        <v>0</v>
      </c>
      <c r="I17" s="1825">
        <v>82123</v>
      </c>
      <c r="J17" s="1825">
        <v>0</v>
      </c>
      <c r="K17" s="1825">
        <v>0</v>
      </c>
      <c r="L17" s="1822">
        <f t="shared" si="0"/>
        <v>82123</v>
      </c>
      <c r="M17" s="1825" t="s">
        <v>2103</v>
      </c>
    </row>
    <row r="18" spans="2:14" ht="20.100000000000001" customHeight="1" x14ac:dyDescent="0.2">
      <c r="B18" s="2038" t="s">
        <v>2097</v>
      </c>
      <c r="C18" s="1823">
        <v>10.555</v>
      </c>
      <c r="D18" s="1824" t="s">
        <v>2103</v>
      </c>
      <c r="E18" s="1825">
        <v>0</v>
      </c>
      <c r="F18" s="1825">
        <v>21027</v>
      </c>
      <c r="G18" s="1825">
        <v>0</v>
      </c>
      <c r="H18" s="1825">
        <v>0</v>
      </c>
      <c r="I18" s="1825">
        <v>21027</v>
      </c>
      <c r="J18" s="1825">
        <v>0</v>
      </c>
      <c r="K18" s="1825">
        <v>0</v>
      </c>
      <c r="L18" s="1822">
        <f t="shared" si="0"/>
        <v>21027</v>
      </c>
      <c r="M18" s="1825" t="s">
        <v>2103</v>
      </c>
    </row>
    <row r="19" spans="2:14" ht="20.100000000000001" customHeight="1" x14ac:dyDescent="0.2">
      <c r="B19" s="2038" t="s">
        <v>2098</v>
      </c>
      <c r="C19" s="1823">
        <v>10.555</v>
      </c>
      <c r="D19" s="1824" t="s">
        <v>2103</v>
      </c>
      <c r="E19" s="1825">
        <v>0</v>
      </c>
      <c r="F19" s="1825">
        <v>4145</v>
      </c>
      <c r="G19" s="1825">
        <v>0</v>
      </c>
      <c r="H19" s="1825">
        <v>0</v>
      </c>
      <c r="I19" s="1825">
        <v>4145</v>
      </c>
      <c r="J19" s="1825">
        <v>0</v>
      </c>
      <c r="K19" s="1825">
        <v>0</v>
      </c>
      <c r="L19" s="1822">
        <f t="shared" si="0"/>
        <v>4145</v>
      </c>
      <c r="M19" s="1825" t="s">
        <v>2103</v>
      </c>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2040" t="s">
        <v>2104</v>
      </c>
      <c r="C21" s="1823"/>
      <c r="D21" s="1824"/>
      <c r="E21" s="1825">
        <f t="shared" ref="E21:K21" si="1">SUM(E14:E20)</f>
        <v>216231</v>
      </c>
      <c r="F21" s="1825">
        <f t="shared" si="1"/>
        <v>334633</v>
      </c>
      <c r="G21" s="1825">
        <f t="shared" si="1"/>
        <v>216231</v>
      </c>
      <c r="H21" s="1825">
        <f t="shared" si="1"/>
        <v>0</v>
      </c>
      <c r="I21" s="1825">
        <f t="shared" si="1"/>
        <v>334633</v>
      </c>
      <c r="J21" s="1825">
        <f t="shared" si="1"/>
        <v>0</v>
      </c>
      <c r="K21" s="1825">
        <f t="shared" si="1"/>
        <v>0</v>
      </c>
      <c r="L21" s="1822">
        <f t="shared" si="0"/>
        <v>550864</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2037" t="s">
        <v>2105</v>
      </c>
      <c r="C23" s="1823">
        <v>10.558</v>
      </c>
      <c r="D23" s="1824" t="s">
        <v>2106</v>
      </c>
      <c r="E23" s="1825">
        <v>0</v>
      </c>
      <c r="F23" s="1825">
        <v>15605</v>
      </c>
      <c r="G23" s="1825">
        <v>0</v>
      </c>
      <c r="H23" s="1825">
        <v>0</v>
      </c>
      <c r="I23" s="1825">
        <v>15605</v>
      </c>
      <c r="J23" s="1825">
        <v>0</v>
      </c>
      <c r="K23" s="1825">
        <v>0</v>
      </c>
      <c r="L23" s="1822">
        <f t="shared" si="0"/>
        <v>15605</v>
      </c>
      <c r="M23" s="1825" t="s">
        <v>2103</v>
      </c>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2035" t="s">
        <v>2107</v>
      </c>
      <c r="C25" s="1823"/>
      <c r="D25" s="1824"/>
      <c r="E25" s="1825">
        <f t="shared" ref="E25:K25" si="2">+E23+E21</f>
        <v>216231</v>
      </c>
      <c r="F25" s="1825">
        <f t="shared" si="2"/>
        <v>350238</v>
      </c>
      <c r="G25" s="1825">
        <f t="shared" si="2"/>
        <v>216231</v>
      </c>
      <c r="H25" s="1825">
        <f t="shared" si="2"/>
        <v>0</v>
      </c>
      <c r="I25" s="1825">
        <f t="shared" si="2"/>
        <v>350238</v>
      </c>
      <c r="J25" s="1825">
        <f t="shared" si="2"/>
        <v>0</v>
      </c>
      <c r="K25" s="1825">
        <f t="shared" si="2"/>
        <v>0</v>
      </c>
      <c r="L25" s="1822">
        <f t="shared" si="0"/>
        <v>566469</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A13" sqref="A13:F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Havana CUSD 126</v>
      </c>
      <c r="C1" s="2575"/>
      <c r="D1" s="2575"/>
      <c r="E1" s="2575"/>
      <c r="F1" s="2575"/>
      <c r="G1" s="2575"/>
      <c r="H1" s="2575"/>
      <c r="I1" s="2575"/>
      <c r="J1" s="2575"/>
      <c r="K1" s="2575"/>
      <c r="L1" s="2575"/>
      <c r="M1" s="2575"/>
    </row>
    <row r="2" spans="2:14" ht="15" x14ac:dyDescent="0.2">
      <c r="B2" s="2576">
        <f>'Single Audit Cover'!E7</f>
        <v>53060126026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3"/>
      <c r="J5" s="1913"/>
    </row>
    <row r="6" spans="2:14" x14ac:dyDescent="0.2">
      <c r="B6" s="1079"/>
      <c r="C6" s="1080"/>
      <c r="D6" s="1081" t="s">
        <v>1254</v>
      </c>
      <c r="E6" s="1082" t="s">
        <v>524</v>
      </c>
      <c r="F6" s="1083"/>
      <c r="G6" s="1084" t="s">
        <v>1709</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2108</v>
      </c>
      <c r="C11" s="1820"/>
      <c r="D11" s="1821"/>
      <c r="E11" s="1822"/>
      <c r="F11" s="1822"/>
      <c r="G11" s="1822"/>
      <c r="H11" s="1822"/>
      <c r="I11" s="1822"/>
      <c r="J11" s="1822"/>
      <c r="K11" s="1822"/>
      <c r="L11" s="1822">
        <f>+G11+I11+K11</f>
        <v>0</v>
      </c>
      <c r="M11" s="1822"/>
    </row>
    <row r="12" spans="2:14" ht="20.100000000000001" customHeight="1" x14ac:dyDescent="0.2">
      <c r="B12" s="2036" t="s">
        <v>2094</v>
      </c>
      <c r="C12" s="1823"/>
      <c r="D12" s="1824"/>
      <c r="E12" s="1825"/>
      <c r="F12" s="1825"/>
      <c r="G12" s="1825"/>
      <c r="H12" s="1825"/>
      <c r="I12" s="1825"/>
      <c r="J12" s="1825"/>
      <c r="K12" s="1825"/>
      <c r="L12" s="1822">
        <f t="shared" ref="L12:L27" si="0">+G12+I12+K12</f>
        <v>0</v>
      </c>
      <c r="M12" s="1825"/>
    </row>
    <row r="13" spans="2:14" ht="20.100000000000001" customHeight="1" x14ac:dyDescent="0.2">
      <c r="B13" s="2037" t="s">
        <v>2147</v>
      </c>
      <c r="C13" s="1823">
        <v>84.01</v>
      </c>
      <c r="D13" s="1824" t="s">
        <v>2112</v>
      </c>
      <c r="E13" s="1825">
        <v>160668</v>
      </c>
      <c r="F13" s="1825">
        <v>136830</v>
      </c>
      <c r="G13" s="1825">
        <v>247005</v>
      </c>
      <c r="H13" s="1825">
        <v>0</v>
      </c>
      <c r="I13" s="1825">
        <v>50493</v>
      </c>
      <c r="J13" s="1825">
        <v>0</v>
      </c>
      <c r="K13" s="1825">
        <v>0</v>
      </c>
      <c r="L13" s="1822">
        <f t="shared" si="0"/>
        <v>297498</v>
      </c>
      <c r="M13" s="1825">
        <v>324685</v>
      </c>
    </row>
    <row r="14" spans="2:14" ht="20.100000000000001" customHeight="1" x14ac:dyDescent="0.2">
      <c r="B14" s="2037" t="s">
        <v>2147</v>
      </c>
      <c r="C14" s="1823">
        <v>84.01</v>
      </c>
      <c r="D14" s="1824" t="s">
        <v>2113</v>
      </c>
      <c r="E14" s="1825">
        <v>0</v>
      </c>
      <c r="F14" s="1825">
        <v>231923</v>
      </c>
      <c r="G14" s="1825">
        <v>0</v>
      </c>
      <c r="H14" s="1825">
        <v>0</v>
      </c>
      <c r="I14" s="1825">
        <v>261164</v>
      </c>
      <c r="J14" s="1825">
        <v>0</v>
      </c>
      <c r="K14" s="1825">
        <v>0</v>
      </c>
      <c r="L14" s="1822">
        <f t="shared" si="0"/>
        <v>261164</v>
      </c>
      <c r="M14" s="1825">
        <v>312659</v>
      </c>
    </row>
    <row r="15" spans="2:14" ht="20.100000000000001" customHeight="1" x14ac:dyDescent="0.2">
      <c r="B15" s="2037" t="s">
        <v>2148</v>
      </c>
      <c r="C15" s="1823">
        <v>84.367000000000004</v>
      </c>
      <c r="D15" s="1824" t="s">
        <v>2114</v>
      </c>
      <c r="E15" s="1825">
        <v>24974</v>
      </c>
      <c r="F15" s="1825">
        <v>17604</v>
      </c>
      <c r="G15" s="1825">
        <v>35677</v>
      </c>
      <c r="H15" s="1825">
        <v>0</v>
      </c>
      <c r="I15" s="1825">
        <v>6901</v>
      </c>
      <c r="J15" s="1825">
        <v>0</v>
      </c>
      <c r="K15" s="1825">
        <v>0</v>
      </c>
      <c r="L15" s="1822">
        <f t="shared" si="0"/>
        <v>42578</v>
      </c>
      <c r="M15" s="1825">
        <v>49628</v>
      </c>
    </row>
    <row r="16" spans="2:14" ht="20.100000000000001" customHeight="1" x14ac:dyDescent="0.2">
      <c r="B16" s="2037" t="s">
        <v>2148</v>
      </c>
      <c r="C16" s="1823">
        <v>84.367000000000004</v>
      </c>
      <c r="D16" s="1824" t="s">
        <v>2115</v>
      </c>
      <c r="E16" s="1825">
        <v>0</v>
      </c>
      <c r="F16" s="1825">
        <v>43297</v>
      </c>
      <c r="G16" s="1825">
        <v>0</v>
      </c>
      <c r="H16" s="1825">
        <v>0</v>
      </c>
      <c r="I16" s="1825">
        <v>48108</v>
      </c>
      <c r="J16" s="1825">
        <v>0</v>
      </c>
      <c r="K16" s="1825">
        <v>8587</v>
      </c>
      <c r="L16" s="1822">
        <f t="shared" si="0"/>
        <v>56695</v>
      </c>
      <c r="M16" s="1825">
        <v>56695</v>
      </c>
    </row>
    <row r="17" spans="2:14" ht="20.100000000000001" customHeight="1" x14ac:dyDescent="0.2">
      <c r="B17" s="2037" t="s">
        <v>2111</v>
      </c>
      <c r="C17" s="1823">
        <v>84.358000000000004</v>
      </c>
      <c r="D17" s="1824" t="s">
        <v>2116</v>
      </c>
      <c r="E17" s="1825">
        <v>14419</v>
      </c>
      <c r="F17" s="1825">
        <v>1200</v>
      </c>
      <c r="G17" s="1825">
        <v>15616</v>
      </c>
      <c r="H17" s="1825">
        <v>0</v>
      </c>
      <c r="I17" s="1825">
        <v>0</v>
      </c>
      <c r="J17" s="1825">
        <v>0</v>
      </c>
      <c r="K17" s="1825">
        <v>0</v>
      </c>
      <c r="L17" s="1822">
        <f t="shared" si="0"/>
        <v>15616</v>
      </c>
      <c r="M17" s="1825">
        <v>15698</v>
      </c>
    </row>
    <row r="18" spans="2:14" ht="20.100000000000001" customHeight="1" x14ac:dyDescent="0.2">
      <c r="B18" s="2037" t="s">
        <v>2111</v>
      </c>
      <c r="C18" s="1823">
        <v>84.358000000000004</v>
      </c>
      <c r="D18" s="1824" t="s">
        <v>2117</v>
      </c>
      <c r="E18" s="1825">
        <v>0</v>
      </c>
      <c r="F18" s="1825">
        <v>16333</v>
      </c>
      <c r="G18" s="1825">
        <v>0</v>
      </c>
      <c r="H18" s="1825">
        <v>0</v>
      </c>
      <c r="I18" s="1825">
        <v>16333</v>
      </c>
      <c r="J18" s="1825">
        <v>0</v>
      </c>
      <c r="K18" s="1825">
        <v>0</v>
      </c>
      <c r="L18" s="1822">
        <f t="shared" si="0"/>
        <v>16333</v>
      </c>
      <c r="M18" s="1825">
        <v>16333</v>
      </c>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2036" t="s">
        <v>2118</v>
      </c>
      <c r="C20" s="1823"/>
      <c r="D20" s="1824"/>
      <c r="E20" s="1825"/>
      <c r="F20" s="1825"/>
      <c r="G20" s="1825"/>
      <c r="H20" s="1825"/>
      <c r="I20" s="1825"/>
      <c r="J20" s="1825"/>
      <c r="K20" s="1825"/>
      <c r="L20" s="1822">
        <f t="shared" si="0"/>
        <v>0</v>
      </c>
      <c r="M20" s="1825"/>
    </row>
    <row r="21" spans="2:14" ht="20.100000000000001" customHeight="1" x14ac:dyDescent="0.2">
      <c r="B21" s="2037" t="s">
        <v>2119</v>
      </c>
      <c r="C21" s="1823">
        <v>84.126000000000005</v>
      </c>
      <c r="D21" s="1824" t="s">
        <v>2120</v>
      </c>
      <c r="E21" s="1825">
        <v>0</v>
      </c>
      <c r="F21" s="1825">
        <v>2018</v>
      </c>
      <c r="G21" s="1825">
        <v>0</v>
      </c>
      <c r="H21" s="1825">
        <v>0</v>
      </c>
      <c r="I21" s="1825">
        <v>2018</v>
      </c>
      <c r="J21" s="1825">
        <v>0</v>
      </c>
      <c r="K21" s="1825">
        <v>0</v>
      </c>
      <c r="L21" s="1822">
        <f t="shared" si="0"/>
        <v>2018</v>
      </c>
      <c r="M21" s="1825">
        <v>4888</v>
      </c>
    </row>
    <row r="22" spans="2:14" ht="20.100000000000001" customHeight="1" x14ac:dyDescent="0.2">
      <c r="B22" s="2039" t="s">
        <v>2121</v>
      </c>
      <c r="C22" s="1823"/>
      <c r="D22" s="1824"/>
      <c r="E22" s="1825"/>
      <c r="F22" s="1825"/>
      <c r="G22" s="1825"/>
      <c r="H22" s="1825"/>
      <c r="I22" s="1825"/>
      <c r="J22" s="1825"/>
      <c r="K22" s="1825"/>
      <c r="L22" s="1822">
        <f t="shared" si="0"/>
        <v>0</v>
      </c>
      <c r="M22" s="1825"/>
    </row>
    <row r="23" spans="2:14" ht="20.100000000000001" customHeight="1" x14ac:dyDescent="0.2">
      <c r="B23" s="2037" t="s">
        <v>2122</v>
      </c>
      <c r="C23" s="1823">
        <v>84.027000000000001</v>
      </c>
      <c r="D23" s="1824" t="s">
        <v>2123</v>
      </c>
      <c r="E23" s="1825">
        <v>100000</v>
      </c>
      <c r="F23" s="1825">
        <v>43748</v>
      </c>
      <c r="G23" s="1825">
        <v>140958</v>
      </c>
      <c r="H23" s="1825">
        <v>0</v>
      </c>
      <c r="I23" s="1825">
        <v>2790</v>
      </c>
      <c r="J23" s="1825">
        <v>0</v>
      </c>
      <c r="K23" s="1825">
        <v>0</v>
      </c>
      <c r="L23" s="1822">
        <f t="shared" si="0"/>
        <v>143748</v>
      </c>
      <c r="M23" s="1825">
        <v>143750</v>
      </c>
    </row>
    <row r="24" spans="2:14" ht="20.100000000000001" customHeight="1" x14ac:dyDescent="0.2">
      <c r="B24" s="2037" t="s">
        <v>2122</v>
      </c>
      <c r="C24" s="1823">
        <v>84.027000000000001</v>
      </c>
      <c r="D24" s="1824" t="s">
        <v>2124</v>
      </c>
      <c r="E24" s="1825">
        <v>0</v>
      </c>
      <c r="F24" s="1825">
        <v>123324</v>
      </c>
      <c r="G24" s="1825">
        <v>0</v>
      </c>
      <c r="H24" s="1825">
        <v>0</v>
      </c>
      <c r="I24" s="1825">
        <v>123324</v>
      </c>
      <c r="J24" s="1825">
        <v>0</v>
      </c>
      <c r="K24" s="1825">
        <v>15236</v>
      </c>
      <c r="L24" s="1822">
        <f t="shared" si="0"/>
        <v>138560</v>
      </c>
      <c r="M24" s="1825">
        <v>138560</v>
      </c>
    </row>
    <row r="25" spans="2:14" ht="20.100000000000001" customHeight="1" x14ac:dyDescent="0.2">
      <c r="B25" s="2039" t="s">
        <v>2125</v>
      </c>
      <c r="C25" s="1823"/>
      <c r="D25" s="1824"/>
      <c r="E25" s="1825">
        <f>+E23+E24</f>
        <v>100000</v>
      </c>
      <c r="F25" s="1825">
        <f t="shared" ref="F25:K25" si="1">+F24+F23</f>
        <v>167072</v>
      </c>
      <c r="G25" s="1825">
        <f t="shared" si="1"/>
        <v>140958</v>
      </c>
      <c r="H25" s="1825">
        <f t="shared" si="1"/>
        <v>0</v>
      </c>
      <c r="I25" s="1825">
        <f t="shared" si="1"/>
        <v>126114</v>
      </c>
      <c r="J25" s="1825">
        <f t="shared" si="1"/>
        <v>0</v>
      </c>
      <c r="K25" s="1825">
        <f t="shared" si="1"/>
        <v>15236</v>
      </c>
      <c r="L25" s="1822">
        <f t="shared" si="0"/>
        <v>282308</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2049</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2168</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1987</v>
      </c>
      <c r="B85" s="2192"/>
      <c r="C85" s="2192"/>
      <c r="D85" s="2193"/>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4" t="s">
        <v>1987</v>
      </c>
      <c r="B88" s="2195"/>
      <c r="C88" s="2195"/>
      <c r="D88" s="2196"/>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2057</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topLeftCell="A7" zoomScaleNormal="100" workbookViewId="0">
      <selection activeCell="A13" sqref="A13:F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Havana CUSD 126</v>
      </c>
      <c r="C1" s="2575"/>
      <c r="D1" s="2575"/>
      <c r="E1" s="2575"/>
      <c r="F1" s="2575"/>
      <c r="G1" s="2575"/>
      <c r="H1" s="2575"/>
      <c r="I1" s="2575"/>
      <c r="J1" s="2575"/>
      <c r="K1" s="2575"/>
      <c r="L1" s="2575"/>
      <c r="M1" s="2575"/>
    </row>
    <row r="2" spans="2:14" ht="15" x14ac:dyDescent="0.2">
      <c r="B2" s="2576">
        <f>'Single Audit Cover'!E7</f>
        <v>53060126026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3"/>
      <c r="J5" s="1913"/>
    </row>
    <row r="6" spans="2:14" x14ac:dyDescent="0.2">
      <c r="B6" s="1079"/>
      <c r="C6" s="1080"/>
      <c r="D6" s="1081" t="s">
        <v>1254</v>
      </c>
      <c r="E6" s="1082" t="s">
        <v>524</v>
      </c>
      <c r="F6" s="1083"/>
      <c r="G6" s="1084" t="s">
        <v>1709</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2126</v>
      </c>
      <c r="C11" s="1820"/>
      <c r="D11" s="1821"/>
      <c r="E11" s="1822"/>
      <c r="F11" s="1822"/>
      <c r="G11" s="1822"/>
      <c r="H11" s="1822"/>
      <c r="I11" s="1822"/>
      <c r="J11" s="1822"/>
      <c r="K11" s="1822"/>
      <c r="L11" s="1822">
        <f>+G11+I11+K11</f>
        <v>0</v>
      </c>
      <c r="M11" s="1822"/>
    </row>
    <row r="12" spans="2:14" ht="20.100000000000001" customHeight="1" x14ac:dyDescent="0.2">
      <c r="B12" s="2036" t="s">
        <v>2127</v>
      </c>
      <c r="C12" s="1823">
        <v>84.048000000000002</v>
      </c>
      <c r="D12" s="1824" t="s">
        <v>2128</v>
      </c>
      <c r="E12" s="1825">
        <v>0</v>
      </c>
      <c r="F12" s="1825">
        <v>6266</v>
      </c>
      <c r="G12" s="1825">
        <v>0</v>
      </c>
      <c r="H12" s="1825">
        <v>0</v>
      </c>
      <c r="I12" s="1825">
        <v>7280</v>
      </c>
      <c r="J12" s="1825">
        <v>0</v>
      </c>
      <c r="K12" s="1825">
        <v>0</v>
      </c>
      <c r="L12" s="1822">
        <f t="shared" ref="L12:L27" si="0">+G12+I12+K12</f>
        <v>7280</v>
      </c>
      <c r="M12" s="1825" t="s">
        <v>2103</v>
      </c>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2035" t="s">
        <v>2129</v>
      </c>
      <c r="C15" s="1823"/>
      <c r="D15" s="1824"/>
      <c r="E15" s="1825">
        <f>+E13+E12+' SEFA A'!E25+' SEFA A'!E21+' SEFA A'!E18+' SEFA A'!E17+' SEFA A'!E16+' SEFA A'!E15+' SEFA A'!E14+' SEFA A'!E13</f>
        <v>300061</v>
      </c>
      <c r="F15" s="1825">
        <f>+F12+' SEFA A'!F25+' SEFA A'!F21+' SEFA A'!F18+' SEFA A'!F17+' SEFA A'!F16+' SEFA A'!F15+' SEFA A'!F14+' SEFA A'!F13</f>
        <v>622543</v>
      </c>
      <c r="G15" s="1825">
        <f>+G13+G12+' SEFA A'!G25+' SEFA A'!G21+' SEFA A'!G18+' SEFA A'!G17+' SEFA A'!G16+' SEFA A'!G15+' SEFA A'!G14+' SEFA A'!G13</f>
        <v>439256</v>
      </c>
      <c r="H15" s="1825">
        <f>+H13+H12+' SEFA A'!H25+' SEFA A'!H21+' SEFA A'!H13:H18</f>
        <v>0</v>
      </c>
      <c r="I15" s="1825">
        <f>+I13+I12+' SEFA A'!I25+' SEFA A'!I21+' SEFA A'!I18+' SEFA A'!I17+' SEFA A'!I16+' SEFA A'!I15+' SEFA A'!I14+' SEFA A'!I13</f>
        <v>518411</v>
      </c>
      <c r="J15" s="1825">
        <f>+J13+J12+' SEFA A'!J25+' SEFA A'!J21+' SEFA A'!J18+' SEFA A'!J17+' SEFA A'!J16+' SEFA A'!J15+' SEFA A'!J14+' SEFA A'!J13</f>
        <v>0</v>
      </c>
      <c r="K15" s="1825">
        <f>+K13+K12+' SEFA A'!K25+' SEFA A'!K21+' SEFA A'!K18+' SEFA A'!K17+' SEFA A'!K16+' SEFA A'!K15+' SEFA A'!K14+' SEFA A'!K13</f>
        <v>23823</v>
      </c>
      <c r="L15" s="1822">
        <f t="shared" si="0"/>
        <v>981490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2035" t="s">
        <v>2130</v>
      </c>
      <c r="C17" s="1823"/>
      <c r="D17" s="1824"/>
      <c r="E17" s="1825"/>
      <c r="F17" s="1825"/>
      <c r="G17" s="1825"/>
      <c r="H17" s="1825"/>
      <c r="I17" s="1825"/>
      <c r="J17" s="1825"/>
      <c r="K17" s="1825"/>
      <c r="L17" s="1822">
        <f t="shared" si="0"/>
        <v>0</v>
      </c>
      <c r="M17" s="1825"/>
    </row>
    <row r="18" spans="2:14" ht="20.100000000000001" customHeight="1" x14ac:dyDescent="0.2">
      <c r="B18" s="2036" t="s">
        <v>2131</v>
      </c>
      <c r="C18" s="1823"/>
      <c r="D18" s="1824"/>
      <c r="E18" s="1825"/>
      <c r="F18" s="1825"/>
      <c r="G18" s="1825"/>
      <c r="H18" s="1825"/>
      <c r="I18" s="1825"/>
      <c r="J18" s="1825"/>
      <c r="K18" s="1825"/>
      <c r="L18" s="1822">
        <f t="shared" si="0"/>
        <v>0</v>
      </c>
      <c r="M18" s="1825"/>
    </row>
    <row r="19" spans="2:14" ht="20.100000000000001" customHeight="1" x14ac:dyDescent="0.2">
      <c r="B19" s="2037" t="s">
        <v>2132</v>
      </c>
      <c r="C19" s="1823"/>
      <c r="D19" s="1824"/>
      <c r="E19" s="1825"/>
      <c r="F19" s="1825"/>
      <c r="G19" s="1825"/>
      <c r="H19" s="1825"/>
      <c r="I19" s="1825"/>
      <c r="J19" s="1825"/>
      <c r="K19" s="1825"/>
      <c r="L19" s="1822">
        <f t="shared" si="0"/>
        <v>0</v>
      </c>
      <c r="M19" s="1825"/>
    </row>
    <row r="20" spans="2:14" ht="20.100000000000001" customHeight="1" x14ac:dyDescent="0.2">
      <c r="B20" s="2038" t="s">
        <v>2149</v>
      </c>
      <c r="C20" s="1823">
        <v>17.259</v>
      </c>
      <c r="D20" s="1824" t="s">
        <v>2134</v>
      </c>
      <c r="E20" s="1825">
        <v>32359</v>
      </c>
      <c r="F20" s="1825">
        <v>7795</v>
      </c>
      <c r="G20" s="1825">
        <v>35797</v>
      </c>
      <c r="H20" s="1825">
        <v>0</v>
      </c>
      <c r="I20" s="1825">
        <f>4376-19</f>
        <v>4357</v>
      </c>
      <c r="J20" s="1825">
        <v>0</v>
      </c>
      <c r="K20" s="1825">
        <v>0</v>
      </c>
      <c r="L20" s="1822">
        <f t="shared" si="0"/>
        <v>40154</v>
      </c>
      <c r="M20" s="1825">
        <v>40453</v>
      </c>
    </row>
    <row r="21" spans="2:14" ht="20.100000000000001" customHeight="1" x14ac:dyDescent="0.2">
      <c r="B21" s="2038" t="s">
        <v>2149</v>
      </c>
      <c r="C21" s="1823">
        <v>17.259</v>
      </c>
      <c r="D21" s="1824" t="s">
        <v>2135</v>
      </c>
      <c r="E21" s="1825">
        <v>0</v>
      </c>
      <c r="F21" s="1825">
        <v>34753</v>
      </c>
      <c r="G21" s="1825">
        <v>0</v>
      </c>
      <c r="H21" s="1825">
        <v>0</v>
      </c>
      <c r="I21" s="1825">
        <v>38407</v>
      </c>
      <c r="J21" s="1825">
        <v>0</v>
      </c>
      <c r="K21" s="1825">
        <v>6633</v>
      </c>
      <c r="L21" s="1822">
        <f t="shared" si="0"/>
        <v>45040</v>
      </c>
      <c r="M21" s="1825">
        <v>45174</v>
      </c>
    </row>
    <row r="22" spans="2:14" ht="20.100000000000001" customHeight="1" x14ac:dyDescent="0.2">
      <c r="B22" s="2037" t="s">
        <v>2136</v>
      </c>
      <c r="C22" s="1823"/>
      <c r="D22" s="1824"/>
      <c r="E22" s="1825">
        <f t="shared" ref="E22:K22" si="1">SUM(E20:E21)</f>
        <v>32359</v>
      </c>
      <c r="F22" s="1825">
        <f t="shared" si="1"/>
        <v>42548</v>
      </c>
      <c r="G22" s="1825">
        <f t="shared" si="1"/>
        <v>35797</v>
      </c>
      <c r="H22" s="1825">
        <f t="shared" si="1"/>
        <v>0</v>
      </c>
      <c r="I22" s="1825">
        <f t="shared" si="1"/>
        <v>42764</v>
      </c>
      <c r="J22" s="1825">
        <f t="shared" si="1"/>
        <v>0</v>
      </c>
      <c r="K22" s="1825">
        <f t="shared" si="1"/>
        <v>6633</v>
      </c>
      <c r="L22" s="1822">
        <f t="shared" si="0"/>
        <v>85194</v>
      </c>
      <c r="M22" s="1825"/>
    </row>
    <row r="23" spans="2:14" ht="20.100000000000001" customHeight="1" x14ac:dyDescent="0.2">
      <c r="B23" s="2035" t="s">
        <v>2137</v>
      </c>
      <c r="C23" s="1823"/>
      <c r="D23" s="1824"/>
      <c r="E23" s="1825">
        <f t="shared" ref="E23:K23" si="2">+E22</f>
        <v>32359</v>
      </c>
      <c r="F23" s="1825">
        <f t="shared" si="2"/>
        <v>42548</v>
      </c>
      <c r="G23" s="1825">
        <f t="shared" si="2"/>
        <v>35797</v>
      </c>
      <c r="H23" s="1825">
        <f t="shared" si="2"/>
        <v>0</v>
      </c>
      <c r="I23" s="1825">
        <f t="shared" si="2"/>
        <v>42764</v>
      </c>
      <c r="J23" s="1825">
        <f t="shared" si="2"/>
        <v>0</v>
      </c>
      <c r="K23" s="1825">
        <f t="shared" si="2"/>
        <v>6633</v>
      </c>
      <c r="L23" s="1822">
        <f t="shared" si="0"/>
        <v>85194</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A13" sqref="A13:F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Havana CUSD 126</v>
      </c>
      <c r="C1" s="2575"/>
      <c r="D1" s="2575"/>
      <c r="E1" s="2575"/>
      <c r="F1" s="2575"/>
      <c r="G1" s="2575"/>
      <c r="H1" s="2575"/>
      <c r="I1" s="2575"/>
      <c r="J1" s="2575"/>
      <c r="K1" s="2575"/>
      <c r="L1" s="2575"/>
      <c r="M1" s="2575"/>
    </row>
    <row r="2" spans="2:14" ht="15" x14ac:dyDescent="0.2">
      <c r="B2" s="2576">
        <f>'Single Audit Cover'!E7</f>
        <v>53060126026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3"/>
      <c r="J5" s="1913"/>
    </row>
    <row r="6" spans="2:14" x14ac:dyDescent="0.2">
      <c r="B6" s="1079"/>
      <c r="C6" s="1080"/>
      <c r="D6" s="1081" t="s">
        <v>1254</v>
      </c>
      <c r="E6" s="1082" t="s">
        <v>524</v>
      </c>
      <c r="F6" s="1083"/>
      <c r="G6" s="1084" t="s">
        <v>1709</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2138</v>
      </c>
      <c r="C11" s="1820"/>
      <c r="D11" s="1821"/>
      <c r="E11" s="1822"/>
      <c r="F11" s="1822"/>
      <c r="G11" s="1822"/>
      <c r="H11" s="1822"/>
      <c r="I11" s="1822"/>
      <c r="J11" s="1822"/>
      <c r="K11" s="1822"/>
      <c r="L11" s="1822">
        <f>+G11+I11+K11</f>
        <v>0</v>
      </c>
      <c r="M11" s="1822"/>
    </row>
    <row r="12" spans="2:14" ht="20.100000000000001" customHeight="1" x14ac:dyDescent="0.2">
      <c r="B12" s="2036" t="s">
        <v>2139</v>
      </c>
      <c r="C12" s="1823"/>
      <c r="D12" s="1824"/>
      <c r="E12" s="1825"/>
      <c r="F12" s="1825"/>
      <c r="G12" s="1825"/>
      <c r="H12" s="1825"/>
      <c r="I12" s="1825"/>
      <c r="J12" s="1825"/>
      <c r="K12" s="1825"/>
      <c r="L12" s="1822">
        <f t="shared" ref="L12:L27" si="0">+G12+I12+K12</f>
        <v>0</v>
      </c>
      <c r="M12" s="1825"/>
    </row>
    <row r="13" spans="2:14" ht="20.100000000000001" customHeight="1" x14ac:dyDescent="0.2">
      <c r="B13" s="2037" t="s">
        <v>2140</v>
      </c>
      <c r="C13" s="1823"/>
      <c r="D13" s="1824"/>
      <c r="E13" s="1825"/>
      <c r="F13" s="1825"/>
      <c r="G13" s="1825"/>
      <c r="H13" s="1825"/>
      <c r="I13" s="1825"/>
      <c r="J13" s="1825"/>
      <c r="K13" s="1825"/>
      <c r="L13" s="1822">
        <f t="shared" si="0"/>
        <v>0</v>
      </c>
      <c r="M13" s="1825"/>
    </row>
    <row r="14" spans="2:14" ht="20.100000000000001" customHeight="1" x14ac:dyDescent="0.2">
      <c r="B14" s="2038" t="s">
        <v>2141</v>
      </c>
      <c r="C14" s="1823">
        <v>93.778000000000006</v>
      </c>
      <c r="D14" s="1824" t="s">
        <v>2142</v>
      </c>
      <c r="E14" s="1825">
        <v>19792</v>
      </c>
      <c r="F14" s="1825">
        <v>6844</v>
      </c>
      <c r="G14" s="1825">
        <v>26636</v>
      </c>
      <c r="H14" s="1825">
        <v>0</v>
      </c>
      <c r="I14" s="1825">
        <v>0</v>
      </c>
      <c r="J14" s="1825">
        <v>0</v>
      </c>
      <c r="K14" s="1825">
        <v>0</v>
      </c>
      <c r="L14" s="1822">
        <f t="shared" si="0"/>
        <v>26636</v>
      </c>
      <c r="M14" s="1825" t="s">
        <v>2103</v>
      </c>
    </row>
    <row r="15" spans="2:14" ht="20.100000000000001" customHeight="1" x14ac:dyDescent="0.2">
      <c r="B15" s="2038" t="s">
        <v>2141</v>
      </c>
      <c r="C15" s="1823">
        <v>93.778000000000006</v>
      </c>
      <c r="D15" s="1824" t="s">
        <v>2143</v>
      </c>
      <c r="E15" s="1825">
        <v>0</v>
      </c>
      <c r="F15" s="1825">
        <v>17359</v>
      </c>
      <c r="G15" s="1825">
        <v>0</v>
      </c>
      <c r="H15" s="1825">
        <v>0</v>
      </c>
      <c r="I15" s="1825">
        <v>25486</v>
      </c>
      <c r="J15" s="1825">
        <v>0</v>
      </c>
      <c r="K15" s="1825">
        <v>0</v>
      </c>
      <c r="L15" s="1822">
        <f t="shared" si="0"/>
        <v>25486</v>
      </c>
      <c r="M15" s="1825" t="s">
        <v>2103</v>
      </c>
    </row>
    <row r="16" spans="2:14" ht="20.100000000000001" customHeight="1" x14ac:dyDescent="0.2">
      <c r="B16" s="2037" t="s">
        <v>2144</v>
      </c>
      <c r="C16" s="1823"/>
      <c r="D16" s="1824"/>
      <c r="E16" s="1825">
        <f t="shared" ref="E16:K16" si="1">SUM(E14:E15)</f>
        <v>19792</v>
      </c>
      <c r="F16" s="1825">
        <f t="shared" si="1"/>
        <v>24203</v>
      </c>
      <c r="G16" s="1825">
        <f t="shared" si="1"/>
        <v>26636</v>
      </c>
      <c r="H16" s="1825">
        <f t="shared" si="1"/>
        <v>0</v>
      </c>
      <c r="I16" s="1825">
        <f t="shared" si="1"/>
        <v>25486</v>
      </c>
      <c r="J16" s="1825">
        <f t="shared" si="1"/>
        <v>0</v>
      </c>
      <c r="K16" s="1825">
        <f t="shared" si="1"/>
        <v>0</v>
      </c>
      <c r="L16" s="1822">
        <f t="shared" si="0"/>
        <v>52122</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2035" t="s">
        <v>2145</v>
      </c>
      <c r="C18" s="1823"/>
      <c r="D18" s="1824"/>
      <c r="E18" s="1825">
        <f t="shared" ref="E18:K18" si="2">+E16</f>
        <v>19792</v>
      </c>
      <c r="F18" s="1825">
        <f t="shared" si="2"/>
        <v>24203</v>
      </c>
      <c r="G18" s="1825">
        <f t="shared" si="2"/>
        <v>26636</v>
      </c>
      <c r="H18" s="1825">
        <f t="shared" si="2"/>
        <v>0</v>
      </c>
      <c r="I18" s="1825">
        <f t="shared" si="2"/>
        <v>25486</v>
      </c>
      <c r="J18" s="1825">
        <f t="shared" si="2"/>
        <v>0</v>
      </c>
      <c r="K18" s="1825">
        <f t="shared" si="2"/>
        <v>0</v>
      </c>
      <c r="L18" s="1822">
        <f t="shared" si="0"/>
        <v>52122</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2035" t="s">
        <v>2146</v>
      </c>
      <c r="C20" s="1823"/>
      <c r="D20" s="1824"/>
      <c r="E20" s="1825">
        <f>+E18+' SEFA B'!E23+' SEFA B'!E15+' SEFA'!E25</f>
        <v>568443</v>
      </c>
      <c r="F20" s="1825">
        <f>+F18+' SEFA B'!F23+' SEFA B'!F15+' SEFA'!F25</f>
        <v>1039532</v>
      </c>
      <c r="G20" s="1825">
        <f>+G18+' SEFA B'!G23+' SEFA B'!G15+' SEFA'!G25</f>
        <v>717920</v>
      </c>
      <c r="H20" s="1825">
        <f>+H18+' SEFA B'!H23+' SEFA B'!H15+' SEFA'!H25</f>
        <v>0</v>
      </c>
      <c r="I20" s="1825">
        <f>+I18+' SEFA B'!I23+' SEFA B'!I15+' SEFA'!I25</f>
        <v>936899</v>
      </c>
      <c r="J20" s="1825">
        <f>+J18+' SEFA B'!J23+' SEFA B'!J15+' SEFA'!J25</f>
        <v>0</v>
      </c>
      <c r="K20" s="1825">
        <f>+K18+' SEFA B'!K23+' SEFA B'!K15+' SEFA'!K25</f>
        <v>30456</v>
      </c>
      <c r="L20" s="1822">
        <f t="shared" si="0"/>
        <v>1685275</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4"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Havana CUSD 126</v>
      </c>
      <c r="B1" s="2580"/>
      <c r="C1" s="2580"/>
      <c r="D1" s="2580"/>
      <c r="E1" s="2580"/>
      <c r="F1" s="2580"/>
    </row>
    <row r="2" spans="1:7" ht="13.5" customHeight="1" x14ac:dyDescent="0.2">
      <c r="A2" s="2576">
        <f>'Single Audit Cover'!E7</f>
        <v>53060126026</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2150</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2073</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579" t="s">
        <v>2152</v>
      </c>
      <c r="B13" s="2579"/>
      <c r="C13" s="2579"/>
      <c r="D13" s="2579"/>
      <c r="E13" s="2579"/>
      <c r="F13" s="2579"/>
    </row>
    <row r="14" spans="1:7" ht="9.75" customHeight="1" x14ac:dyDescent="0.2">
      <c r="C14" s="1036"/>
      <c r="D14" s="1036"/>
    </row>
    <row r="15" spans="1:7" ht="13.5" customHeight="1" x14ac:dyDescent="0.2">
      <c r="C15" s="1475" t="s">
        <v>1259</v>
      </c>
      <c r="D15" s="2584" t="s">
        <v>1258</v>
      </c>
      <c r="E15" s="2584"/>
      <c r="F15" s="2584"/>
    </row>
    <row r="16" spans="1:7" ht="13.5" customHeight="1" x14ac:dyDescent="0.2">
      <c r="A16" s="1058"/>
      <c r="B16" s="1052" t="s">
        <v>1257</v>
      </c>
      <c r="C16" s="1475" t="s">
        <v>1256</v>
      </c>
      <c r="D16" s="2585" t="s">
        <v>1571</v>
      </c>
      <c r="E16" s="2585"/>
      <c r="F16" s="2585"/>
    </row>
    <row r="17" spans="1:6" ht="20.45" customHeight="1" x14ac:dyDescent="0.2">
      <c r="A17" s="1059"/>
      <c r="B17" s="1060" t="s">
        <v>2151</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587" t="s">
        <v>1707</v>
      </c>
      <c r="B32" s="2587"/>
      <c r="C32" s="2587"/>
      <c r="D32" s="2587"/>
      <c r="E32" s="2587"/>
      <c r="F32" s="2587"/>
    </row>
    <row r="33" spans="1:6" ht="13.5" customHeight="1" x14ac:dyDescent="0.2">
      <c r="A33" s="306" t="s">
        <v>1417</v>
      </c>
      <c r="B33" s="306"/>
      <c r="C33" s="1064">
        <v>21027</v>
      </c>
      <c r="D33" s="1525"/>
      <c r="E33" s="1062"/>
    </row>
    <row r="34" spans="1:6" ht="13.5" customHeight="1" x14ac:dyDescent="0.2">
      <c r="A34" s="306" t="s">
        <v>1809</v>
      </c>
      <c r="B34" s="306"/>
      <c r="C34" s="1065">
        <v>4145</v>
      </c>
      <c r="D34" s="1525" t="s">
        <v>1572</v>
      </c>
      <c r="E34" s="2588">
        <f>+C33+C34</f>
        <v>25172</v>
      </c>
      <c r="F34" s="2589"/>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c r="D38" s="1525"/>
      <c r="E38" s="1062"/>
    </row>
    <row r="39" spans="1:6" ht="14.25" customHeight="1" x14ac:dyDescent="0.2">
      <c r="A39" s="306"/>
      <c r="B39" s="306" t="s">
        <v>1419</v>
      </c>
      <c r="C39" s="1068"/>
      <c r="D39" s="1525"/>
      <c r="E39" s="1062"/>
    </row>
    <row r="40" spans="1:6" ht="14.25" customHeight="1" x14ac:dyDescent="0.2">
      <c r="A40" s="306"/>
      <c r="B40" s="306" t="s">
        <v>1420</v>
      </c>
      <c r="C40" s="1068"/>
      <c r="D40" s="1525"/>
      <c r="E40" s="1062"/>
    </row>
    <row r="41" spans="1:6" ht="14.25" customHeight="1" x14ac:dyDescent="0.2">
      <c r="A41" s="306"/>
      <c r="B41" s="306" t="s">
        <v>1421</v>
      </c>
      <c r="C41" s="1068"/>
      <c r="D41" s="1525"/>
      <c r="E41" s="1062"/>
    </row>
    <row r="42" spans="1:6" ht="14.25" customHeight="1" x14ac:dyDescent="0.2">
      <c r="A42" s="306" t="s">
        <v>1422</v>
      </c>
      <c r="B42" s="306"/>
      <c r="C42" s="1523"/>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4"/>
      <c r="C50" s="1474"/>
      <c r="D50" s="1474"/>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A13" sqref="A13:F1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Havana CUSD 126</v>
      </c>
      <c r="C1" s="2596"/>
      <c r="D1" s="2596"/>
      <c r="E1" s="2596"/>
      <c r="F1" s="2596"/>
      <c r="G1" s="2596"/>
      <c r="H1" s="2596"/>
      <c r="I1" s="2596"/>
      <c r="J1" s="1178"/>
    </row>
    <row r="2" spans="2:10" s="295" customFormat="1" ht="12.75" customHeight="1" x14ac:dyDescent="0.2">
      <c r="B2" s="2597">
        <f>'Single Audit Cover'!E7</f>
        <v>53060126026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t="s">
        <v>2153</v>
      </c>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t="s">
        <v>2154</v>
      </c>
      <c r="E29" s="2602"/>
      <c r="F29" s="2602"/>
      <c r="G29" s="2602"/>
      <c r="H29" s="2602"/>
      <c r="I29" s="260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03" t="s">
        <v>1726</v>
      </c>
      <c r="D37" s="2604"/>
      <c r="E37" s="2604"/>
      <c r="F37" s="2605"/>
      <c r="G37" s="2603" t="s">
        <v>1575</v>
      </c>
      <c r="H37" s="2604"/>
      <c r="I37" s="2605"/>
    </row>
    <row r="38" spans="2:9" ht="16.5" customHeight="1" x14ac:dyDescent="0.2">
      <c r="B38" s="1200">
        <v>17.259</v>
      </c>
      <c r="C38" s="2591" t="s">
        <v>2133</v>
      </c>
      <c r="D38" s="2592"/>
      <c r="E38" s="2592"/>
      <c r="F38" s="2593"/>
      <c r="G38" s="2606">
        <v>42764</v>
      </c>
      <c r="H38" s="2607"/>
      <c r="I38" s="2608"/>
    </row>
    <row r="39" spans="2:9" ht="16.5" customHeight="1" x14ac:dyDescent="0.2">
      <c r="B39" s="1200">
        <v>84.01</v>
      </c>
      <c r="C39" s="2591" t="s">
        <v>2109</v>
      </c>
      <c r="D39" s="2592"/>
      <c r="E39" s="2592"/>
      <c r="F39" s="2593"/>
      <c r="G39" s="2594">
        <v>311657</v>
      </c>
      <c r="H39" s="2594"/>
      <c r="I39" s="2594"/>
    </row>
    <row r="40" spans="2:9" ht="16.5" customHeight="1" x14ac:dyDescent="0.2">
      <c r="B40" s="1200">
        <v>84.367000000000004</v>
      </c>
      <c r="C40" s="2591" t="s">
        <v>2110</v>
      </c>
      <c r="D40" s="2592"/>
      <c r="E40" s="2592"/>
      <c r="F40" s="2593"/>
      <c r="G40" s="2594">
        <v>55009</v>
      </c>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1576</v>
      </c>
      <c r="D43" s="2610"/>
      <c r="E43" s="2610"/>
      <c r="F43" s="2611"/>
      <c r="G43" s="2612">
        <f>SUM(G38:I42)</f>
        <v>409430</v>
      </c>
      <c r="H43" s="2612"/>
      <c r="I43" s="2612"/>
    </row>
    <row r="44" spans="2:9" ht="12.75" customHeight="1" x14ac:dyDescent="0.2"/>
    <row r="45" spans="2:9" ht="12.75" customHeight="1" x14ac:dyDescent="0.2">
      <c r="B45" s="1915" t="str">
        <f>"Total Federal Expenditures for 7/1/"&amp;MID('AFR20'!E2,3,2)-1&amp;"-6/30/"&amp;MID('AFR20'!E2,3,2)</f>
        <v>Total Federal Expenditures for 7/1/19-6/30/20</v>
      </c>
      <c r="C45" s="1916"/>
      <c r="D45" s="2613">
        <v>929619</v>
      </c>
      <c r="E45" s="2614"/>
    </row>
    <row r="46" spans="2:9" ht="5.25" customHeight="1" x14ac:dyDescent="0.2">
      <c r="B46" s="1201"/>
      <c r="D46" s="1202"/>
      <c r="E46" s="1203"/>
    </row>
    <row r="47" spans="2:9" ht="12.75" customHeight="1" x14ac:dyDescent="0.2">
      <c r="B47" s="1076" t="s">
        <v>1577</v>
      </c>
      <c r="C47" s="1076"/>
      <c r="D47" s="1204">
        <f>+G43/D45</f>
        <v>0.44042774512999411</v>
      </c>
      <c r="E47" s="1205"/>
      <c r="F47" s="1206"/>
      <c r="I47" s="1207"/>
    </row>
    <row r="48" spans="2:9" ht="9.9499999999999993" customHeight="1" x14ac:dyDescent="0.2"/>
    <row r="49" spans="1:9" x14ac:dyDescent="0.2">
      <c r="B49" s="1138" t="s">
        <v>1262</v>
      </c>
      <c r="C49" s="1058"/>
      <c r="D49" s="1058"/>
      <c r="E49" s="2615">
        <v>750000</v>
      </c>
      <c r="F49" s="2615"/>
      <c r="G49" s="2615"/>
      <c r="H49" s="300"/>
    </row>
    <row r="51" spans="1:9" ht="13.5" customHeight="1" x14ac:dyDescent="0.2">
      <c r="B51" s="1138" t="s">
        <v>1261</v>
      </c>
      <c r="C51" s="1058"/>
      <c r="E51" s="1194"/>
      <c r="F51" s="1076" t="s">
        <v>879</v>
      </c>
      <c r="G51" s="1194" t="s">
        <v>2049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2" zoomScale="110" zoomScaleNormal="110" workbookViewId="0">
      <selection activeCell="A13" sqref="A13:F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Havana CUSD 126</v>
      </c>
      <c r="C1" s="2595"/>
      <c r="D1" s="2595"/>
      <c r="E1" s="2595"/>
      <c r="F1" s="2595"/>
      <c r="G1" s="2595"/>
      <c r="H1" s="2595"/>
      <c r="I1" s="2595"/>
      <c r="J1" s="2595"/>
      <c r="K1" s="2595"/>
      <c r="L1" s="1144"/>
      <c r="M1" s="1144"/>
    </row>
    <row r="2" spans="1:13" ht="12" customHeight="1" x14ac:dyDescent="0.2">
      <c r="B2" s="2597">
        <f>'Single Audit Cover'!E7</f>
        <v>53060126026</v>
      </c>
      <c r="C2" s="2597"/>
      <c r="D2" s="2597"/>
      <c r="E2" s="2597"/>
      <c r="F2" s="2597"/>
      <c r="G2" s="2597"/>
      <c r="H2" s="2597"/>
      <c r="I2" s="2597"/>
      <c r="J2" s="2597"/>
      <c r="K2" s="259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7" t="str">
        <f>'AFR20'!$E$2&amp;"-"</f>
        <v>2020-</v>
      </c>
      <c r="D10" s="1155">
        <v>1</v>
      </c>
      <c r="E10" s="300"/>
      <c r="F10" s="1156" t="s">
        <v>1284</v>
      </c>
      <c r="G10" s="1157"/>
      <c r="H10" s="1158" t="s">
        <v>1283</v>
      </c>
      <c r="I10" s="1157" t="s">
        <v>2073</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t="s">
        <v>2155</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t="s">
        <v>2191</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21" t="s">
        <v>2156</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t="s">
        <v>2157</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t="s">
        <v>2158</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t="s">
        <v>2159</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6" t="s">
        <v>2167</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A13" sqref="A13: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Havana CUSD 126</v>
      </c>
      <c r="C1" s="2622"/>
      <c r="D1" s="2622"/>
      <c r="E1" s="2622"/>
      <c r="F1" s="2622"/>
      <c r="G1" s="2622"/>
      <c r="H1" s="2622"/>
      <c r="I1" s="2622"/>
      <c r="J1" s="2622"/>
      <c r="K1" s="2622"/>
      <c r="L1" s="1221"/>
    </row>
    <row r="2" spans="1:12" ht="12.75" customHeight="1" x14ac:dyDescent="0.2">
      <c r="B2" s="2623">
        <f>'Single Audit Cover'!E7</f>
        <v>53060126026</v>
      </c>
      <c r="C2" s="2623"/>
      <c r="D2" s="2623"/>
      <c r="E2" s="2623"/>
      <c r="F2" s="2623"/>
      <c r="G2" s="2623"/>
      <c r="H2" s="2623"/>
      <c r="I2" s="2623"/>
      <c r="J2" s="2623"/>
      <c r="K2" s="2623"/>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F73"/>
  <sheetViews>
    <sheetView showGridLines="0" zoomScale="110" zoomScaleNormal="110" workbookViewId="0">
      <selection activeCell="A13" sqref="A13:F13"/>
    </sheetView>
  </sheetViews>
  <sheetFormatPr defaultColWidth="9.140625" defaultRowHeight="12.75" x14ac:dyDescent="0.2"/>
  <cols>
    <col min="1" max="1" width="1.5703125" style="295" customWidth="1"/>
    <col min="2" max="2" width="14.7109375" style="295" customWidth="1"/>
    <col min="3" max="3" width="40.7109375" style="295" customWidth="1"/>
    <col min="4" max="4" width="4.140625" style="295" customWidth="1"/>
    <col min="5" max="5" width="42.28515625" style="295" customWidth="1"/>
    <col min="6" max="6" width="8.140625" style="295" customWidth="1"/>
    <col min="7" max="10" width="9.140625" style="295"/>
    <col min="11" max="11" width="6.7109375" style="295" customWidth="1"/>
    <col min="12" max="16384" width="9.140625" style="295"/>
  </cols>
  <sheetData>
    <row r="1" spans="2:6" s="1058" customFormat="1" ht="12.75" customHeight="1" x14ac:dyDescent="0.2">
      <c r="B1" s="2595" t="str">
        <f>'Single Audit Cover'!A7</f>
        <v xml:space="preserve">  Havana CUSD 126</v>
      </c>
      <c r="C1" s="2595"/>
      <c r="D1" s="2595"/>
      <c r="E1" s="2595"/>
      <c r="F1" s="1240"/>
    </row>
    <row r="2" spans="2:6" s="1058" customFormat="1" ht="12.75" customHeight="1" x14ac:dyDescent="0.2">
      <c r="B2" s="2597">
        <f>'Single Audit Cover'!E7</f>
        <v>53060126026</v>
      </c>
      <c r="C2" s="2597"/>
      <c r="D2" s="2597"/>
      <c r="E2" s="2597"/>
      <c r="F2" s="1241"/>
    </row>
    <row r="3" spans="2:6" ht="12.75" customHeight="1" x14ac:dyDescent="0.2">
      <c r="B3" s="2618" t="s">
        <v>1741</v>
      </c>
      <c r="C3" s="2618"/>
      <c r="D3" s="2618"/>
      <c r="E3" s="2618"/>
      <c r="F3" s="1050"/>
    </row>
    <row r="4" spans="2:6" s="1058" customFormat="1" ht="12.75" customHeight="1" x14ac:dyDescent="0.2">
      <c r="B4" s="2628" t="str">
        <f>'Single Audit Cover'!A4</f>
        <v>Year Ending June 30, 2020</v>
      </c>
      <c r="C4" s="2628"/>
      <c r="D4" s="2628"/>
      <c r="E4" s="2628"/>
      <c r="F4" s="1242"/>
    </row>
    <row r="5" spans="2:6" s="1058" customFormat="1" ht="40.15" customHeight="1" x14ac:dyDescent="0.2">
      <c r="B5" s="1243" t="s">
        <v>1742</v>
      </c>
      <c r="C5" s="306"/>
      <c r="D5" s="306"/>
      <c r="E5" s="306"/>
      <c r="F5" s="306"/>
    </row>
    <row r="6" spans="2:6" s="1058" customFormat="1" ht="13.5" customHeight="1" x14ac:dyDescent="0.2">
      <c r="B6" s="1244" t="s">
        <v>1304</v>
      </c>
      <c r="C6" s="1244" t="s">
        <v>1303</v>
      </c>
      <c r="D6" s="1244"/>
      <c r="E6" s="1244" t="s">
        <v>1743</v>
      </c>
    </row>
    <row r="7" spans="2:6" ht="13.5" customHeight="1" x14ac:dyDescent="0.2">
      <c r="B7" s="1245"/>
      <c r="C7" s="302"/>
      <c r="D7" s="302"/>
      <c r="E7" s="302"/>
      <c r="F7" s="302"/>
    </row>
    <row r="8" spans="2:6" s="2043" customFormat="1" ht="25.5" x14ac:dyDescent="0.2">
      <c r="B8" s="2041" t="s">
        <v>2160</v>
      </c>
      <c r="C8" s="2042" t="s">
        <v>2161</v>
      </c>
      <c r="D8" s="2042"/>
      <c r="E8" s="2042" t="s">
        <v>2162</v>
      </c>
      <c r="F8" s="2042"/>
    </row>
    <row r="9" spans="2:6" s="2043" customFormat="1" ht="13.5" customHeight="1" x14ac:dyDescent="0.2">
      <c r="B9" s="2044"/>
      <c r="C9" s="2045"/>
      <c r="D9" s="2045"/>
      <c r="E9" s="2045"/>
      <c r="F9" s="2045"/>
    </row>
    <row r="10" spans="2:6" s="2043" customFormat="1" ht="38.25" x14ac:dyDescent="0.2">
      <c r="B10" s="2041" t="s">
        <v>2163</v>
      </c>
      <c r="C10" s="2045" t="s">
        <v>2164</v>
      </c>
      <c r="D10" s="2045"/>
      <c r="E10" s="2045" t="s">
        <v>2165</v>
      </c>
      <c r="F10" s="2045"/>
    </row>
    <row r="11" spans="2:6" s="2043" customFormat="1" ht="13.5" customHeight="1" x14ac:dyDescent="0.2">
      <c r="B11" s="2041"/>
      <c r="C11" s="2045"/>
      <c r="D11" s="2045"/>
      <c r="E11" s="2045"/>
      <c r="F11" s="2045"/>
    </row>
    <row r="12" spans="2:6" s="2043" customFormat="1" ht="13.5" customHeight="1" x14ac:dyDescent="0.2">
      <c r="B12" s="2041"/>
      <c r="C12" s="2045"/>
      <c r="D12" s="2045"/>
      <c r="E12" s="2045"/>
      <c r="F12" s="2045"/>
    </row>
    <row r="13" spans="2:6" s="2043" customFormat="1" ht="13.5" customHeight="1" x14ac:dyDescent="0.2">
      <c r="B13" s="2041"/>
      <c r="C13" s="2045"/>
      <c r="D13" s="2045"/>
      <c r="E13" s="2045"/>
      <c r="F13" s="2045"/>
    </row>
    <row r="14" spans="2:6" s="2043" customFormat="1" ht="13.5" customHeight="1" x14ac:dyDescent="0.2">
      <c r="B14" s="2041"/>
      <c r="C14" s="2045"/>
      <c r="D14" s="2045"/>
      <c r="E14" s="2045"/>
      <c r="F14" s="2045"/>
    </row>
    <row r="15" spans="2:6" s="2043" customFormat="1" ht="13.5" customHeight="1" x14ac:dyDescent="0.2">
      <c r="B15" s="2041"/>
      <c r="C15" s="2045"/>
      <c r="D15" s="2045"/>
      <c r="E15" s="2045"/>
      <c r="F15" s="2045"/>
    </row>
    <row r="16" spans="2:6" s="2043" customFormat="1" ht="13.5" customHeight="1" x14ac:dyDescent="0.2">
      <c r="B16" s="2041"/>
      <c r="C16" s="2045"/>
      <c r="D16" s="2045"/>
      <c r="E16" s="2045"/>
      <c r="F16" s="2045"/>
    </row>
    <row r="17" spans="2:6" s="2043" customFormat="1" ht="13.5" customHeight="1" x14ac:dyDescent="0.2">
      <c r="B17" s="2041"/>
      <c r="C17" s="2045"/>
      <c r="D17" s="2045"/>
      <c r="E17" s="2045"/>
      <c r="F17" s="2045"/>
    </row>
    <row r="18" spans="2:6" s="2043" customFormat="1" ht="13.5" customHeight="1" x14ac:dyDescent="0.2">
      <c r="B18" s="2041"/>
      <c r="C18" s="2045"/>
      <c r="D18" s="2045"/>
      <c r="E18" s="2045"/>
      <c r="F18" s="2045"/>
    </row>
    <row r="19" spans="2:6" s="2043" customFormat="1" ht="13.5" customHeight="1" x14ac:dyDescent="0.2">
      <c r="B19" s="2041"/>
      <c r="C19" s="2045"/>
      <c r="D19" s="2045"/>
      <c r="E19" s="2045"/>
      <c r="F19" s="2045"/>
    </row>
    <row r="20" spans="2:6" s="2043" customFormat="1" ht="13.5" customHeight="1" x14ac:dyDescent="0.2">
      <c r="B20" s="2041"/>
      <c r="C20" s="2045"/>
      <c r="D20" s="2045"/>
      <c r="E20" s="2045"/>
      <c r="F20" s="2045"/>
    </row>
    <row r="21" spans="2:6" s="2043" customFormat="1" ht="13.5" customHeight="1" x14ac:dyDescent="0.2">
      <c r="B21" s="2041"/>
      <c r="C21" s="2045"/>
      <c r="D21" s="2045"/>
      <c r="E21" s="2045"/>
      <c r="F21" s="2045"/>
    </row>
    <row r="22" spans="2:6" s="2043" customFormat="1" ht="13.5" customHeight="1" x14ac:dyDescent="0.2">
      <c r="B22" s="2041"/>
      <c r="C22" s="2045"/>
      <c r="D22" s="2045"/>
      <c r="E22" s="2045"/>
      <c r="F22" s="2045"/>
    </row>
    <row r="23" spans="2:6" s="2043" customFormat="1" ht="13.5" customHeight="1" x14ac:dyDescent="0.2">
      <c r="B23" s="2041"/>
      <c r="C23" s="2045"/>
      <c r="D23" s="2045"/>
      <c r="E23" s="2045"/>
      <c r="F23" s="2045"/>
    </row>
    <row r="24" spans="2:6" s="2043" customFormat="1" ht="13.5" customHeight="1" x14ac:dyDescent="0.2">
      <c r="B24" s="2041"/>
      <c r="C24" s="2045"/>
      <c r="D24" s="2045"/>
      <c r="E24" s="2045"/>
      <c r="F24" s="2045"/>
    </row>
    <row r="25" spans="2:6" s="2043" customFormat="1" ht="13.5" customHeight="1" x14ac:dyDescent="0.2">
      <c r="B25" s="2041"/>
      <c r="C25" s="2045"/>
      <c r="D25" s="2045"/>
      <c r="E25" s="2045"/>
      <c r="F25" s="2045"/>
    </row>
    <row r="26" spans="2:6" s="2043" customFormat="1" ht="13.5" customHeight="1" x14ac:dyDescent="0.2">
      <c r="B26" s="2041"/>
      <c r="C26" s="2045"/>
      <c r="D26" s="2045"/>
      <c r="E26" s="2045"/>
      <c r="F26" s="2045"/>
    </row>
    <row r="27" spans="2:6" ht="13.5" customHeight="1" x14ac:dyDescent="0.2">
      <c r="B27" s="1245"/>
      <c r="C27" s="301"/>
      <c r="D27" s="301"/>
      <c r="E27" s="301"/>
      <c r="F27" s="301"/>
    </row>
    <row r="28" spans="2:6" ht="13.5" customHeight="1" x14ac:dyDescent="0.2">
      <c r="B28" s="1245"/>
      <c r="C28" s="301"/>
      <c r="D28" s="301"/>
      <c r="E28" s="301"/>
      <c r="F28" s="301"/>
    </row>
    <row r="29" spans="2:6" ht="13.5" customHeight="1" x14ac:dyDescent="0.2">
      <c r="B29" s="1245"/>
      <c r="C29" s="301"/>
      <c r="D29" s="301"/>
      <c r="E29" s="301"/>
      <c r="F29" s="301"/>
    </row>
    <row r="30" spans="2:6" ht="13.5" customHeight="1" x14ac:dyDescent="0.2">
      <c r="B30" s="1245"/>
      <c r="C30" s="301"/>
      <c r="D30" s="301"/>
      <c r="E30" s="301"/>
      <c r="F30" s="301"/>
    </row>
    <row r="31" spans="2:6" ht="13.5" customHeight="1" x14ac:dyDescent="0.2">
      <c r="B31" s="1245"/>
      <c r="C31" s="301"/>
      <c r="D31" s="301"/>
      <c r="E31" s="301"/>
      <c r="F31" s="301"/>
    </row>
    <row r="32" spans="2:6" ht="13.5" customHeight="1" x14ac:dyDescent="0.2">
      <c r="B32" s="1246"/>
      <c r="C32" s="301"/>
      <c r="D32" s="301"/>
      <c r="E32" s="301"/>
      <c r="F32" s="301"/>
    </row>
    <row r="33" spans="2:6" ht="13.5" customHeight="1" x14ac:dyDescent="0.2">
      <c r="B33" s="1247"/>
      <c r="C33" s="301"/>
      <c r="D33" s="301"/>
      <c r="E33" s="301"/>
      <c r="F33" s="301"/>
    </row>
    <row r="34" spans="2:6" ht="13.5" customHeight="1" x14ac:dyDescent="0.2">
      <c r="B34" s="1248"/>
      <c r="C34" s="301"/>
      <c r="D34" s="301"/>
      <c r="E34" s="301"/>
      <c r="F34" s="301"/>
    </row>
    <row r="35" spans="2:6" ht="13.5" customHeight="1" x14ac:dyDescent="0.2">
      <c r="B35" s="1247"/>
      <c r="C35" s="301"/>
      <c r="D35" s="301"/>
      <c r="E35" s="301"/>
      <c r="F35" s="301"/>
    </row>
    <row r="36" spans="2:6" ht="13.5" customHeight="1" x14ac:dyDescent="0.2">
      <c r="B36" s="1248"/>
      <c r="C36" s="301"/>
      <c r="D36" s="301"/>
      <c r="E36" s="301"/>
      <c r="F36" s="301"/>
    </row>
    <row r="37" spans="2:6" ht="13.5" customHeight="1" x14ac:dyDescent="0.2">
      <c r="B37" s="1248"/>
      <c r="C37" s="301"/>
      <c r="D37" s="301"/>
      <c r="E37" s="301"/>
      <c r="F37" s="301"/>
    </row>
    <row r="38" spans="2:6" ht="13.5" customHeight="1" x14ac:dyDescent="0.2">
      <c r="B38" s="1247"/>
      <c r="C38" s="301"/>
      <c r="D38" s="301"/>
      <c r="E38" s="301"/>
      <c r="F38" s="301"/>
    </row>
    <row r="39" spans="2:6" ht="13.5" customHeight="1" x14ac:dyDescent="0.2">
      <c r="B39" s="1248"/>
      <c r="C39" s="301"/>
      <c r="D39" s="301"/>
      <c r="E39" s="301"/>
      <c r="F39" s="301"/>
    </row>
    <row r="40" spans="2:6" ht="13.5" customHeight="1" x14ac:dyDescent="0.2">
      <c r="B40" s="1247"/>
      <c r="C40" s="301"/>
      <c r="D40" s="301"/>
      <c r="E40" s="301"/>
      <c r="F40" s="301"/>
    </row>
    <row r="41" spans="2:6" ht="13.5" customHeight="1" x14ac:dyDescent="0.2">
      <c r="B41" s="1249"/>
      <c r="C41" s="301"/>
      <c r="D41" s="301"/>
      <c r="E41" s="301"/>
      <c r="F41" s="301"/>
    </row>
    <row r="42" spans="2:6" ht="13.5" customHeight="1" x14ac:dyDescent="0.2">
      <c r="B42" s="1250"/>
      <c r="C42" s="301"/>
      <c r="D42" s="301"/>
      <c r="E42" s="301"/>
      <c r="F42" s="301"/>
    </row>
    <row r="43" spans="2:6" ht="12.75" customHeight="1" x14ac:dyDescent="0.2">
      <c r="B43" s="1251"/>
      <c r="C43" s="1252"/>
      <c r="D43" s="1252"/>
      <c r="E43" s="1252"/>
      <c r="F43" s="301"/>
    </row>
    <row r="44" spans="2:6" ht="12.2" customHeight="1" x14ac:dyDescent="0.2">
      <c r="B44" s="1033" t="s">
        <v>1302</v>
      </c>
      <c r="C44" s="300"/>
      <c r="D44" s="300"/>
    </row>
    <row r="45" spans="2:6" ht="12.2" customHeight="1" x14ac:dyDescent="0.2">
      <c r="B45" s="1253" t="s">
        <v>1744</v>
      </c>
    </row>
    <row r="46" spans="2:6" ht="12.2" customHeight="1" x14ac:dyDescent="0.2">
      <c r="B46" s="1253" t="s">
        <v>1745</v>
      </c>
    </row>
    <row r="47" spans="2:6" ht="12.2" customHeight="1" x14ac:dyDescent="0.2">
      <c r="B47" s="1254" t="s">
        <v>1301</v>
      </c>
    </row>
    <row r="48" spans="2:6" ht="12.2" customHeight="1" x14ac:dyDescent="0.2">
      <c r="B48" s="1254" t="s">
        <v>1300</v>
      </c>
    </row>
    <row r="49" spans="2:6" ht="12.2" customHeight="1" x14ac:dyDescent="0.2">
      <c r="B49" s="1254" t="s">
        <v>1299</v>
      </c>
    </row>
    <row r="50" spans="2:6" ht="12.2" customHeight="1" x14ac:dyDescent="0.2">
      <c r="B50" s="1254" t="s">
        <v>1298</v>
      </c>
    </row>
    <row r="53" spans="2:6" ht="12.75" customHeight="1" x14ac:dyDescent="0.2"/>
    <row r="54" spans="2:6" ht="12.75" customHeight="1" x14ac:dyDescent="0.2">
      <c r="B54" s="1043"/>
    </row>
    <row r="55" spans="2:6" ht="12.75" customHeight="1" x14ac:dyDescent="0.2"/>
    <row r="56" spans="2:6" ht="12.75" customHeight="1" x14ac:dyDescent="0.2">
      <c r="B56" s="300"/>
      <c r="C56" s="300"/>
      <c r="D56" s="300"/>
      <c r="E56" s="300"/>
      <c r="F56" s="300"/>
    </row>
    <row r="57" spans="2:6" ht="12.75" customHeight="1" x14ac:dyDescent="0.2">
      <c r="B57" s="300"/>
      <c r="C57" s="300"/>
      <c r="D57" s="300"/>
      <c r="E57" s="300"/>
      <c r="F57" s="300"/>
    </row>
    <row r="58" spans="2:6" ht="12.75" customHeight="1" x14ac:dyDescent="0.2">
      <c r="B58" s="300"/>
      <c r="C58" s="300"/>
      <c r="D58" s="300"/>
      <c r="E58" s="300"/>
      <c r="F58" s="300"/>
    </row>
    <row r="59" spans="2:6" ht="12.75" customHeight="1" x14ac:dyDescent="0.2">
      <c r="B59" s="300"/>
      <c r="C59" s="300"/>
      <c r="D59" s="300"/>
      <c r="E59" s="300"/>
      <c r="F59" s="300"/>
    </row>
    <row r="60" spans="2:6" ht="12.75" customHeight="1" x14ac:dyDescent="0.2">
      <c r="B60" s="300"/>
      <c r="C60" s="300"/>
      <c r="D60" s="300"/>
      <c r="E60" s="300"/>
      <c r="F60" s="300"/>
    </row>
    <row r="61" spans="2:6" ht="12.75" customHeight="1" x14ac:dyDescent="0.2">
      <c r="B61" s="300"/>
      <c r="C61" s="300"/>
      <c r="D61" s="300"/>
      <c r="E61" s="300"/>
      <c r="F61" s="300"/>
    </row>
    <row r="62" spans="2:6" ht="12.75" customHeight="1" x14ac:dyDescent="0.2">
      <c r="B62" s="300"/>
      <c r="C62" s="300"/>
      <c r="D62" s="300"/>
      <c r="E62" s="300"/>
      <c r="F62" s="300"/>
    </row>
    <row r="63" spans="2:6" ht="12.75" customHeight="1" x14ac:dyDescent="0.2">
      <c r="B63" s="300"/>
      <c r="C63" s="300"/>
      <c r="D63" s="300"/>
      <c r="E63" s="300"/>
      <c r="F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E1"/>
    <mergeCell ref="B2:E2"/>
    <mergeCell ref="B3:E3"/>
    <mergeCell ref="B4:E4"/>
  </mergeCells>
  <pageMargins left="0.6" right="0.27" top="0.52" bottom="0.57999999999999996" header="0.26" footer="0.26"/>
  <pageSetup scale="96"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87974186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3">
        <f>ROUND(D10+F10+H10,5)</f>
        <v>2.5399999999999999E-2</v>
      </c>
      <c r="K10" s="217"/>
      <c r="L10" s="332">
        <v>5.0000000000000001E-4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9379601</v>
      </c>
      <c r="E16" s="1546"/>
      <c r="F16" s="1545">
        <f>SUM('Acct Summary 7-8'!C17,'Acct Summary 7-8'!D17,'Acct Summary 7-8'!F17)</f>
        <v>8770619</v>
      </c>
      <c r="G16" s="1546"/>
      <c r="H16" s="1545">
        <f>SUM(D16-F16)</f>
        <v>608982</v>
      </c>
      <c r="I16" s="1547"/>
      <c r="J16" s="1545">
        <f>SUM('Acct Summary 7-8'!C81,'Acct Summary 7-8'!D81,'Acct Summary 7-8'!F81,'Acct Summary 7-8'!I81)</f>
        <v>7789310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12140437.668000001</v>
      </c>
      <c r="I31" s="345"/>
      <c r="J31" s="217"/>
      <c r="K31" s="217"/>
      <c r="L31" s="217"/>
      <c r="M31" s="217"/>
    </row>
    <row r="32" spans="1:13" ht="13.35" customHeight="1" x14ac:dyDescent="0.2">
      <c r="B32" s="346" t="s">
        <v>2049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7570481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Havana CUSD 126</v>
      </c>
      <c r="E7" s="368"/>
      <c r="G7" s="247"/>
      <c r="H7" s="364"/>
      <c r="I7" s="364"/>
      <c r="J7" s="364"/>
      <c r="K7" s="364"/>
      <c r="L7" s="307"/>
      <c r="M7" s="307"/>
      <c r="N7" s="307"/>
      <c r="O7" s="307"/>
      <c r="P7" s="307"/>
    </row>
    <row r="8" spans="1:18" ht="12.75" x14ac:dyDescent="0.2">
      <c r="A8" s="307"/>
      <c r="B8" s="307"/>
      <c r="C8" s="366" t="s">
        <v>1115</v>
      </c>
      <c r="D8" s="369">
        <f>COVER!A13</f>
        <v>53060126026</v>
      </c>
      <c r="E8" s="370"/>
      <c r="G8" s="307"/>
      <c r="H8" s="307"/>
      <c r="I8" s="307"/>
      <c r="J8" s="307"/>
      <c r="K8" s="307"/>
      <c r="L8" s="307"/>
      <c r="M8" s="307"/>
      <c r="N8" s="307"/>
      <c r="O8" s="307"/>
      <c r="P8" s="307"/>
    </row>
    <row r="9" spans="1:18" ht="12.75" x14ac:dyDescent="0.2">
      <c r="A9" s="307"/>
      <c r="B9" s="307"/>
      <c r="C9" s="366" t="s">
        <v>708</v>
      </c>
      <c r="D9" s="371" t="str">
        <f>COVER!A15</f>
        <v>MASON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7789310</v>
      </c>
      <c r="I12" s="380"/>
      <c r="J12" s="380"/>
      <c r="K12" s="1558">
        <f>TRUNC((H12/H13*100000),5)/100000</f>
        <v>0.84693975399999999</v>
      </c>
      <c r="L12" s="381"/>
      <c r="M12" s="337" t="s">
        <v>1134</v>
      </c>
      <c r="N12" s="337"/>
      <c r="O12" s="1561">
        <v>0.35</v>
      </c>
      <c r="P12" s="213"/>
      <c r="Q12" s="213"/>
    </row>
    <row r="13" spans="1:18" s="382" customFormat="1" ht="12.75" x14ac:dyDescent="0.2">
      <c r="A13" s="213"/>
      <c r="B13" s="377"/>
      <c r="C13" s="2214" t="s">
        <v>1313</v>
      </c>
      <c r="D13" s="2215"/>
      <c r="E13" s="213"/>
      <c r="F13" s="383" t="s">
        <v>788</v>
      </c>
      <c r="G13" s="378"/>
      <c r="H13" s="1550">
        <f>SUM('Acct Summary 7-8'!C8+'Acct Summary 7-8'!D8+'Acct Summary 7-8'!F8+'Acct Summary 7-8'!I8)+H14</f>
        <v>9197006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-182595</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8770619</v>
      </c>
      <c r="I17" s="380"/>
      <c r="J17" s="389"/>
      <c r="K17" s="1558">
        <f>TRUNC((H17/H18*100000),5)/100000</f>
        <v>0.9536384993</v>
      </c>
      <c r="L17" s="381"/>
      <c r="M17" s="390" t="s">
        <v>1161</v>
      </c>
      <c r="O17" s="1564" t="str">
        <f>IF(AND(O16="2", J20 &gt; 2),"1",IF(AND(O16 = "1", J20 &gt; 2),"2",IF(AND(O16="1", J20 &gt;1),"1","0")))</f>
        <v>0</v>
      </c>
      <c r="P17" s="213"/>
    </row>
    <row r="18" spans="1:18" s="382" customFormat="1" ht="11.25" x14ac:dyDescent="0.2">
      <c r="A18" s="213"/>
      <c r="B18" s="377"/>
      <c r="C18" s="2214" t="s">
        <v>1306</v>
      </c>
      <c r="D18" s="2215"/>
      <c r="E18" s="213"/>
      <c r="F18" s="391" t="s">
        <v>789</v>
      </c>
      <c r="G18" s="378"/>
      <c r="H18" s="1550">
        <f>SUM('Acct Summary 7-8'!C8+'Acct Summary 7-8'!D8+'Acct Summary 7-8'!F8+'Acct Summary 7-8'!I8)+H19</f>
        <v>9197006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-182595</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1" t="s">
        <v>1395</v>
      </c>
      <c r="D24" s="2211"/>
      <c r="E24" s="213"/>
      <c r="F24" s="213" t="s">
        <v>442</v>
      </c>
      <c r="G24" s="378"/>
      <c r="H24" s="1550">
        <f>SUM('Assets-Liab 5-6'!C4+'Assets-Liab 5-6'!D4+'Assets-Liab 5-6'!F4+'Assets-Liab 5-6'!I4+'Assets-Liab 5-6'!C5+'Assets-Liab 5-6'!D5+'Assets-Liab 5-6'!F5+'Assets-Liab 5-6'!I5)</f>
        <v>7789310</v>
      </c>
      <c r="I24" s="394"/>
      <c r="J24" s="394"/>
      <c r="K24" s="1554">
        <f>TRUNC(((H24/H25*100000)/100000),2)</f>
        <v>319.72000000000003</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24362.830559999999</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1891</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1899362.6757400001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2</v>
      </c>
      <c r="P31" s="211"/>
    </row>
    <row r="32" spans="1:18" s="382" customFormat="1" ht="11.25" x14ac:dyDescent="0.2">
      <c r="A32" s="213"/>
      <c r="B32" s="377"/>
      <c r="C32" s="213" t="s">
        <v>842</v>
      </c>
      <c r="D32" s="213"/>
      <c r="E32" s="213"/>
      <c r="F32" s="213"/>
      <c r="G32" s="378"/>
      <c r="H32" s="1550">
        <f>'FP Info 3'!H37</f>
        <v>7570481</v>
      </c>
      <c r="I32" s="392"/>
      <c r="J32" s="392"/>
      <c r="K32" s="1554">
        <f>TRUNC(100-((((H32/H33*100))*100)/100),2)</f>
        <v>37.64</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12140437.668000001</v>
      </c>
      <c r="I33" s="392"/>
      <c r="J33" s="392"/>
      <c r="K33" s="379"/>
      <c r="L33" s="213"/>
      <c r="M33" s="401" t="s">
        <v>1135</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5"/>
      <c r="D3" s="1306"/>
      <c r="E3" s="1306"/>
      <c r="F3" s="1306"/>
      <c r="G3" s="1306"/>
      <c r="H3" s="1306"/>
      <c r="I3" s="1306"/>
      <c r="J3" s="1306"/>
      <c r="K3" s="1306"/>
      <c r="L3" s="1306"/>
      <c r="M3" s="1307"/>
      <c r="N3" s="1308"/>
    </row>
    <row r="4" spans="1:14" ht="13.5" customHeight="1" x14ac:dyDescent="0.2">
      <c r="A4" s="427" t="s">
        <v>1632</v>
      </c>
      <c r="B4" s="428"/>
      <c r="C4" s="1571">
        <v>3157655</v>
      </c>
      <c r="D4" s="1572">
        <v>965594</v>
      </c>
      <c r="E4" s="1572">
        <v>1060062</v>
      </c>
      <c r="F4" s="1572">
        <v>840652</v>
      </c>
      <c r="G4" s="1572">
        <v>798061</v>
      </c>
      <c r="H4" s="1572">
        <v>8</v>
      </c>
      <c r="I4" s="1572">
        <v>87709</v>
      </c>
      <c r="J4" s="1573">
        <v>283791</v>
      </c>
      <c r="K4" s="1572">
        <v>48843</v>
      </c>
      <c r="L4" s="1572">
        <v>233914</v>
      </c>
      <c r="M4" s="1574"/>
      <c r="N4" s="1575"/>
    </row>
    <row r="5" spans="1:14" x14ac:dyDescent="0.2">
      <c r="A5" s="427" t="s">
        <v>985</v>
      </c>
      <c r="B5" s="429">
        <v>120</v>
      </c>
      <c r="C5" s="1571">
        <v>2737700</v>
      </c>
      <c r="D5" s="1572"/>
      <c r="E5" s="1572">
        <v>511600</v>
      </c>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5895355</v>
      </c>
      <c r="D13" s="1586">
        <f t="shared" ref="D13:L13" si="0">SUM(D4:D12)</f>
        <v>965594</v>
      </c>
      <c r="E13" s="1586">
        <f t="shared" si="0"/>
        <v>1571662</v>
      </c>
      <c r="F13" s="1586">
        <f t="shared" si="0"/>
        <v>840652</v>
      </c>
      <c r="G13" s="1586">
        <f t="shared" si="0"/>
        <v>798061</v>
      </c>
      <c r="H13" s="1586">
        <f t="shared" si="0"/>
        <v>8</v>
      </c>
      <c r="I13" s="1586">
        <f t="shared" si="0"/>
        <v>87709</v>
      </c>
      <c r="J13" s="1586">
        <f t="shared" si="0"/>
        <v>283791</v>
      </c>
      <c r="K13" s="1586">
        <f t="shared" si="0"/>
        <v>48843</v>
      </c>
      <c r="L13" s="1586">
        <f t="shared" si="0"/>
        <v>233914</v>
      </c>
      <c r="M13" s="1574"/>
      <c r="N13" s="1575"/>
    </row>
    <row r="14" spans="1:14" ht="18" customHeight="1" thickTop="1" x14ac:dyDescent="0.2">
      <c r="A14" s="2223" t="s">
        <v>146</v>
      </c>
      <c r="B14" s="2224"/>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291076</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21492609</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868727</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5668377</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1571662</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5998819</v>
      </c>
    </row>
    <row r="23" spans="1:14" ht="13.5" customHeight="1" thickBot="1" x14ac:dyDescent="0.25">
      <c r="A23" s="1425" t="s">
        <v>638</v>
      </c>
      <c r="B23" s="1428"/>
      <c r="C23" s="1574"/>
      <c r="D23" s="1574"/>
      <c r="E23" s="1574"/>
      <c r="F23" s="1574"/>
      <c r="G23" s="1574"/>
      <c r="H23" s="1574"/>
      <c r="I23" s="1574"/>
      <c r="J23" s="1574"/>
      <c r="K23" s="1574"/>
      <c r="L23" s="1574"/>
      <c r="M23" s="1593">
        <f>SUM(M15:M22)</f>
        <v>28320789</v>
      </c>
      <c r="N23" s="1593">
        <f>SUM(N21:N22)</f>
        <v>7570481</v>
      </c>
    </row>
    <row r="24" spans="1:14" ht="18" customHeight="1" thickTop="1" x14ac:dyDescent="0.2">
      <c r="A24" s="2225" t="s">
        <v>594</v>
      </c>
      <c r="B24" s="2226"/>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233914</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233914</v>
      </c>
      <c r="M34" s="1574"/>
      <c r="N34" s="1584"/>
    </row>
    <row r="35" spans="1:14" ht="18" customHeight="1" thickTop="1" x14ac:dyDescent="0.2">
      <c r="A35" s="2227" t="s">
        <v>526</v>
      </c>
      <c r="B35" s="2228"/>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7570481</v>
      </c>
    </row>
    <row r="37" spans="1:14" ht="13.5" thickBot="1" x14ac:dyDescent="0.25">
      <c r="A37" s="1425" t="s">
        <v>648</v>
      </c>
      <c r="B37" s="1428"/>
      <c r="C37" s="1581"/>
      <c r="D37" s="1581"/>
      <c r="E37" s="1581"/>
      <c r="F37" s="1581"/>
      <c r="G37" s="1581"/>
      <c r="H37" s="1581"/>
      <c r="I37" s="1581"/>
      <c r="J37" s="1581"/>
      <c r="K37" s="1581"/>
      <c r="L37" s="1584"/>
      <c r="M37" s="1574"/>
      <c r="N37" s="1593">
        <f>SUM(N36:N36)</f>
        <v>7570481</v>
      </c>
    </row>
    <row r="38" spans="1:14" s="307" customFormat="1" ht="13.5" customHeight="1" thickTop="1" x14ac:dyDescent="0.2">
      <c r="A38" s="438" t="s">
        <v>417</v>
      </c>
      <c r="B38" s="432">
        <v>714</v>
      </c>
      <c r="C38" s="1572">
        <v>58901</v>
      </c>
      <c r="D38" s="1572">
        <v>50000</v>
      </c>
      <c r="E38" s="1572">
        <v>1183599</v>
      </c>
      <c r="F38" s="1572"/>
      <c r="G38" s="1572">
        <v>295170</v>
      </c>
      <c r="H38" s="1572"/>
      <c r="I38" s="1572"/>
      <c r="J38" s="1573"/>
      <c r="K38" s="1572">
        <v>48843</v>
      </c>
      <c r="L38" s="1585"/>
      <c r="M38" s="1603"/>
      <c r="N38" s="1603"/>
    </row>
    <row r="39" spans="1:14" s="307" customFormat="1" ht="13.5" customHeight="1" x14ac:dyDescent="0.2">
      <c r="A39" s="438" t="s">
        <v>339</v>
      </c>
      <c r="B39" s="432">
        <v>730</v>
      </c>
      <c r="C39" s="1572">
        <v>5836454</v>
      </c>
      <c r="D39" s="1572">
        <v>915594</v>
      </c>
      <c r="E39" s="1572">
        <v>388063</v>
      </c>
      <c r="F39" s="1572">
        <v>840652</v>
      </c>
      <c r="G39" s="1572">
        <v>502891</v>
      </c>
      <c r="H39" s="1572">
        <v>8</v>
      </c>
      <c r="I39" s="1572">
        <v>87709</v>
      </c>
      <c r="J39" s="1573">
        <v>283791</v>
      </c>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28320789</v>
      </c>
      <c r="N40" s="1603"/>
    </row>
    <row r="41" spans="1:14" ht="13.5" customHeight="1" thickBot="1" x14ac:dyDescent="0.25">
      <c r="A41" s="1425" t="s">
        <v>650</v>
      </c>
      <c r="B41" s="1404"/>
      <c r="C41" s="1593">
        <f>(SUM(C34,C37,C38,C39))</f>
        <v>5895355</v>
      </c>
      <c r="D41" s="1593">
        <f t="shared" ref="D41:L41" si="2">SUM(D34,D37,D38:D39)</f>
        <v>965594</v>
      </c>
      <c r="E41" s="1593">
        <f t="shared" si="2"/>
        <v>1571662</v>
      </c>
      <c r="F41" s="1593">
        <f t="shared" si="2"/>
        <v>840652</v>
      </c>
      <c r="G41" s="1593">
        <f t="shared" si="2"/>
        <v>798061</v>
      </c>
      <c r="H41" s="1593">
        <f t="shared" si="2"/>
        <v>8</v>
      </c>
      <c r="I41" s="1593">
        <f t="shared" si="2"/>
        <v>87709</v>
      </c>
      <c r="J41" s="1593">
        <f t="shared" si="2"/>
        <v>283791</v>
      </c>
      <c r="K41" s="1593">
        <f t="shared" si="2"/>
        <v>48843</v>
      </c>
      <c r="L41" s="1593">
        <f t="shared" si="2"/>
        <v>233914</v>
      </c>
      <c r="M41" s="1593">
        <f>SUM(M40)</f>
        <v>28320789</v>
      </c>
      <c r="N41" s="1593">
        <f>SUM(N37)</f>
        <v>7570481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0"/>
      <c r="D3" s="1311"/>
      <c r="E3" s="1311"/>
      <c r="F3" s="1311"/>
      <c r="G3" s="1311"/>
      <c r="H3" s="1311"/>
      <c r="I3" s="1311"/>
      <c r="J3" s="1311"/>
      <c r="K3" s="1312"/>
      <c r="L3" s="446"/>
    </row>
    <row r="4" spans="1:13" ht="15.75" customHeight="1" x14ac:dyDescent="0.2">
      <c r="A4" s="1536" t="s">
        <v>1482</v>
      </c>
      <c r="B4" s="1537">
        <v>1000</v>
      </c>
      <c r="C4" s="1605">
        <f>'Revenues 9-14'!C109</f>
        <v>3706128</v>
      </c>
      <c r="D4" s="1605">
        <f>'Revenues 9-14'!D109</f>
        <v>443538</v>
      </c>
      <c r="E4" s="1605">
        <f>'Revenues 9-14'!E109</f>
        <v>836003</v>
      </c>
      <c r="F4" s="1605">
        <f>'Revenues 9-14'!F109</f>
        <v>172024</v>
      </c>
      <c r="G4" s="1605">
        <f>'Revenues 9-14'!G109</f>
        <v>455881</v>
      </c>
      <c r="H4" s="1605">
        <f>'Revenues 9-14'!H109</f>
        <v>0</v>
      </c>
      <c r="I4" s="1605">
        <f>'Revenues 9-14'!I109</f>
        <v>43473</v>
      </c>
      <c r="J4" s="1605">
        <f>'Revenues 9-14'!J109</f>
        <v>1081594</v>
      </c>
      <c r="K4" s="1605">
        <f>'Revenues 9-14'!K109</f>
        <v>45401</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3671005</v>
      </c>
      <c r="D6" s="1606">
        <f>'Revenues 9-14'!D170</f>
        <v>50000</v>
      </c>
      <c r="E6" s="1606">
        <f>'Revenues 9-14'!E170</f>
        <v>0</v>
      </c>
      <c r="F6" s="1606">
        <f>'Revenues 9-14'!F170</f>
        <v>227835</v>
      </c>
      <c r="G6" s="1606">
        <f>'Revenues 9-14'!G170</f>
        <v>22544</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1065598</v>
      </c>
      <c r="D7" s="1606">
        <f>'Revenues 9-14'!D267</f>
        <v>0</v>
      </c>
      <c r="E7" s="1606">
        <f>'Revenues 9-14'!E267</f>
        <v>47144</v>
      </c>
      <c r="F7" s="1606">
        <f>'Revenues 9-14'!F267</f>
        <v>0</v>
      </c>
      <c r="G7" s="1606">
        <f>'Revenues 9-14'!G267</f>
        <v>16664</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8442731</v>
      </c>
      <c r="D8" s="1593">
        <f t="shared" ref="D8:K8" si="0">SUM(D4:D7)</f>
        <v>493538</v>
      </c>
      <c r="E8" s="1593">
        <f t="shared" si="0"/>
        <v>883147</v>
      </c>
      <c r="F8" s="1593">
        <f t="shared" si="0"/>
        <v>399859</v>
      </c>
      <c r="G8" s="1593">
        <f t="shared" si="0"/>
        <v>495089</v>
      </c>
      <c r="H8" s="1593">
        <f t="shared" si="0"/>
        <v>0</v>
      </c>
      <c r="I8" s="1593">
        <f t="shared" si="0"/>
        <v>43473</v>
      </c>
      <c r="J8" s="1593">
        <f t="shared" si="0"/>
        <v>1081594</v>
      </c>
      <c r="K8" s="1593">
        <f t="shared" si="0"/>
        <v>45401</v>
      </c>
      <c r="L8" s="325"/>
    </row>
    <row r="9" spans="1:13" ht="15.75" thickTop="1" x14ac:dyDescent="0.2">
      <c r="A9" s="449" t="s">
        <v>1634</v>
      </c>
      <c r="B9" s="450">
        <v>3998</v>
      </c>
      <c r="C9" s="1585">
        <v>3535784</v>
      </c>
      <c r="D9" s="1612"/>
      <c r="E9" s="1585"/>
      <c r="F9" s="1585"/>
      <c r="G9" s="1613"/>
      <c r="H9" s="1585"/>
      <c r="I9" s="1608" t="s">
        <v>1159</v>
      </c>
      <c r="J9" s="1582"/>
      <c r="K9" s="1585"/>
      <c r="L9" s="325"/>
    </row>
    <row r="10" spans="1:13" s="452" customFormat="1" ht="13.5" thickBot="1" x14ac:dyDescent="0.25">
      <c r="A10" s="1425" t="s">
        <v>1163</v>
      </c>
      <c r="B10" s="1406"/>
      <c r="C10" s="1593">
        <f>SUM(C8:C9)</f>
        <v>11978515</v>
      </c>
      <c r="D10" s="1593">
        <f t="shared" ref="D10:K10" si="1">SUM(D8:D9)</f>
        <v>493538</v>
      </c>
      <c r="E10" s="1593">
        <f t="shared" si="1"/>
        <v>883147</v>
      </c>
      <c r="F10" s="1593">
        <f t="shared" si="1"/>
        <v>399859</v>
      </c>
      <c r="G10" s="1593">
        <f t="shared" si="1"/>
        <v>495089</v>
      </c>
      <c r="H10" s="1593">
        <f t="shared" si="1"/>
        <v>0</v>
      </c>
      <c r="I10" s="1593">
        <f t="shared" si="1"/>
        <v>43473</v>
      </c>
      <c r="J10" s="1593">
        <f t="shared" si="1"/>
        <v>1081594</v>
      </c>
      <c r="K10" s="1593">
        <f t="shared" si="1"/>
        <v>45401</v>
      </c>
      <c r="L10" s="451"/>
    </row>
    <row r="11" spans="1:13" s="452" customFormat="1" ht="16.7" customHeight="1" thickTop="1" x14ac:dyDescent="0.2">
      <c r="A11" s="2223" t="s">
        <v>1166</v>
      </c>
      <c r="B11" s="2224"/>
      <c r="C11" s="1601"/>
      <c r="D11" s="1602"/>
      <c r="E11" s="1602"/>
      <c r="F11" s="1602"/>
      <c r="G11" s="1602"/>
      <c r="H11" s="1602"/>
      <c r="I11" s="1602"/>
      <c r="J11" s="1602"/>
      <c r="K11" s="1614"/>
      <c r="L11" s="451"/>
    </row>
    <row r="12" spans="1:13" ht="15.75" customHeight="1" x14ac:dyDescent="0.2">
      <c r="A12" s="1313" t="s">
        <v>453</v>
      </c>
      <c r="B12" s="1315">
        <v>1000</v>
      </c>
      <c r="C12" s="1605">
        <f>'Expenditures 15-22'!K33</f>
        <v>4791964</v>
      </c>
      <c r="D12" s="1615" t="s">
        <v>1159</v>
      </c>
      <c r="E12" s="1574" t="s">
        <v>1159</v>
      </c>
      <c r="F12" s="1574" t="s">
        <v>1159</v>
      </c>
      <c r="G12" s="1605">
        <f>'Expenditures 15-22'!K229</f>
        <v>115234</v>
      </c>
      <c r="H12" s="1616"/>
      <c r="I12" s="1574" t="s">
        <v>1159</v>
      </c>
      <c r="J12" s="1574" t="s">
        <v>1159</v>
      </c>
      <c r="K12" s="1616" t="s">
        <v>1159</v>
      </c>
      <c r="L12" s="325"/>
    </row>
    <row r="13" spans="1:13" ht="15.75" customHeight="1" x14ac:dyDescent="0.2">
      <c r="A13" s="1313" t="s">
        <v>454</v>
      </c>
      <c r="B13" s="1315">
        <v>2000</v>
      </c>
      <c r="C13" s="1606">
        <f>'Expenditures 15-22'!K74</f>
        <v>2290094</v>
      </c>
      <c r="D13" s="1606">
        <f>'Expenditures 15-22'!K129</f>
        <v>1023112</v>
      </c>
      <c r="E13" s="1575" t="s">
        <v>1159</v>
      </c>
      <c r="F13" s="1606">
        <f>'Expenditures 15-22'!K184</f>
        <v>522909</v>
      </c>
      <c r="G13" s="1606">
        <f>'Expenditures 15-22'!K279</f>
        <v>164693</v>
      </c>
      <c r="H13" s="1606">
        <f>'Expenditures 15-22'!K303</f>
        <v>0</v>
      </c>
      <c r="I13" s="1574" t="s">
        <v>1159</v>
      </c>
      <c r="J13" s="1606">
        <f>'Expenditures 15-22'!K330</f>
        <v>854349</v>
      </c>
      <c r="K13" s="1617">
        <f>'Expenditures 15-22'!K352</f>
        <v>2213606</v>
      </c>
      <c r="L13" s="325"/>
    </row>
    <row r="14" spans="1:13" ht="15.75" customHeight="1" x14ac:dyDescent="0.2">
      <c r="A14" s="1313" t="s">
        <v>446</v>
      </c>
      <c r="B14" s="1315">
        <v>3000</v>
      </c>
      <c r="C14" s="1606">
        <f>'Expenditures 15-22'!K75</f>
        <v>149</v>
      </c>
      <c r="D14" s="1606">
        <f>'Expenditures 15-22'!K130</f>
        <v>0</v>
      </c>
      <c r="E14" s="1615" t="s">
        <v>1159</v>
      </c>
      <c r="F14" s="1606">
        <f>'Expenditures 15-22'!K185</f>
        <v>0</v>
      </c>
      <c r="G14" s="1606">
        <f>'Expenditures 15-22'!K280</f>
        <v>18226</v>
      </c>
      <c r="H14" s="1611"/>
      <c r="I14" s="1574" t="s">
        <v>1159</v>
      </c>
      <c r="J14" s="1574" t="s">
        <v>1159</v>
      </c>
      <c r="K14" s="1611" t="s">
        <v>1159</v>
      </c>
      <c r="L14" s="325"/>
    </row>
    <row r="15" spans="1:13" ht="15.75" customHeight="1" x14ac:dyDescent="0.2">
      <c r="A15" s="1313" t="s">
        <v>107</v>
      </c>
      <c r="B15" s="1315">
        <v>4000</v>
      </c>
      <c r="C15" s="1606">
        <f>'Expenditures 15-22'!K102</f>
        <v>142391</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1037055</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7224598</v>
      </c>
      <c r="D17" s="1593">
        <f t="shared" si="2"/>
        <v>1023112</v>
      </c>
      <c r="E17" s="1593">
        <f t="shared" si="2"/>
        <v>1037055</v>
      </c>
      <c r="F17" s="1593">
        <f t="shared" si="2"/>
        <v>522909</v>
      </c>
      <c r="G17" s="1593">
        <f t="shared" si="2"/>
        <v>298153</v>
      </c>
      <c r="H17" s="1593">
        <f t="shared" si="2"/>
        <v>0</v>
      </c>
      <c r="I17" s="1574"/>
      <c r="J17" s="1593">
        <f>SUM(J12:J16)</f>
        <v>854349</v>
      </c>
      <c r="K17" s="1593">
        <f>SUM(K12:K16)</f>
        <v>2213606</v>
      </c>
      <c r="L17" s="325"/>
    </row>
    <row r="18" spans="1:12" ht="15" customHeight="1" thickTop="1" x14ac:dyDescent="0.2">
      <c r="A18" s="1429" t="s">
        <v>1635</v>
      </c>
      <c r="B18" s="1430">
        <v>4180</v>
      </c>
      <c r="C18" s="1605">
        <f t="shared" ref="C18:H18" si="3">C9</f>
        <v>3535784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10760382</v>
      </c>
      <c r="D19" s="1593">
        <f t="shared" si="4"/>
        <v>1023112</v>
      </c>
      <c r="E19" s="1593">
        <f t="shared" si="4"/>
        <v>1037055</v>
      </c>
      <c r="F19" s="1593">
        <f t="shared" si="4"/>
        <v>522909</v>
      </c>
      <c r="G19" s="1593">
        <f t="shared" si="4"/>
        <v>298153</v>
      </c>
      <c r="H19" s="1593">
        <f t="shared" si="4"/>
        <v>0</v>
      </c>
      <c r="I19" s="1574"/>
      <c r="J19" s="1593">
        <f>SUM(J17:J18)</f>
        <v>854349</v>
      </c>
      <c r="K19" s="1593">
        <f>SUM(K17:K18)</f>
        <v>2213606</v>
      </c>
      <c r="L19" s="325"/>
    </row>
    <row r="20" spans="1:12" ht="16.5" thickTop="1" thickBot="1" x14ac:dyDescent="0.25">
      <c r="A20" s="2239" t="s">
        <v>1636</v>
      </c>
      <c r="B20" s="2240"/>
      <c r="C20" s="1621">
        <f>C8-C17</f>
        <v>1218133</v>
      </c>
      <c r="D20" s="1621">
        <f t="shared" ref="D20:K20" si="5">D8-D17</f>
        <v>-529574</v>
      </c>
      <c r="E20" s="1621">
        <f t="shared" si="5"/>
        <v>-153908</v>
      </c>
      <c r="F20" s="1621">
        <f t="shared" si="5"/>
        <v>-123050</v>
      </c>
      <c r="G20" s="1621">
        <f t="shared" si="5"/>
        <v>196936</v>
      </c>
      <c r="H20" s="1621">
        <f t="shared" si="5"/>
        <v>0</v>
      </c>
      <c r="I20" s="1621">
        <f t="shared" si="5"/>
        <v>43473</v>
      </c>
      <c r="J20" s="1621">
        <f t="shared" si="5"/>
        <v>227245</v>
      </c>
      <c r="K20" s="1621">
        <f t="shared" si="5"/>
        <v>-2168205</v>
      </c>
      <c r="L20" s="325"/>
    </row>
    <row r="21" spans="1:12" ht="16.7" customHeight="1" thickTop="1" x14ac:dyDescent="0.2">
      <c r="A21" s="2251" t="s">
        <v>591</v>
      </c>
      <c r="B21" s="2252"/>
      <c r="C21" s="1601"/>
      <c r="D21" s="1602"/>
      <c r="E21" s="1602"/>
      <c r="F21" s="1602"/>
      <c r="G21" s="1602"/>
      <c r="H21" s="1602"/>
      <c r="I21" s="1602"/>
      <c r="J21" s="1602"/>
      <c r="K21" s="1614"/>
      <c r="L21" s="453"/>
    </row>
    <row r="22" spans="1:12" ht="15.75" customHeight="1" collapsed="1" x14ac:dyDescent="0.2">
      <c r="A22" s="2247" t="s">
        <v>592</v>
      </c>
      <c r="B22" s="2248"/>
      <c r="C22" s="1581"/>
      <c r="D22" s="1581"/>
      <c r="E22" s="1581"/>
      <c r="F22" s="1581"/>
      <c r="G22" s="1581"/>
      <c r="H22" s="1581"/>
      <c r="I22" s="1581"/>
      <c r="J22" s="1581"/>
      <c r="K22" s="1581"/>
      <c r="L22" s="325"/>
    </row>
    <row r="23" spans="1:12" s="433" customFormat="1" ht="15.75" customHeight="1" x14ac:dyDescent="0.2">
      <c r="A23" s="2243" t="s">
        <v>290</v>
      </c>
      <c r="B23" s="2244"/>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45" t="s">
        <v>974</v>
      </c>
      <c r="B32" s="2246"/>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135000</v>
      </c>
      <c r="F39" s="1581"/>
      <c r="G39" s="1581"/>
      <c r="H39" s="1581"/>
      <c r="I39" s="1581"/>
      <c r="J39" s="1581"/>
      <c r="K39" s="1581"/>
      <c r="L39" s="453"/>
    </row>
    <row r="40" spans="1:12" s="433" customFormat="1" ht="13.5" customHeight="1" x14ac:dyDescent="0.2">
      <c r="A40" s="1259" t="s">
        <v>637</v>
      </c>
      <c r="B40" s="432">
        <v>7700</v>
      </c>
      <c r="C40" s="1581"/>
      <c r="D40" s="1581"/>
      <c r="E40" s="1606">
        <f>SUM(C66:D69)</f>
        <v>47595</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v>400000</v>
      </c>
      <c r="E43" s="1573"/>
      <c r="F43" s="1573">
        <v>200000</v>
      </c>
      <c r="G43" s="1573"/>
      <c r="H43" s="1573"/>
      <c r="I43" s="1573"/>
      <c r="J43" s="1573"/>
      <c r="K43" s="1573"/>
      <c r="L43" s="453"/>
    </row>
    <row r="44" spans="1:12" s="433" customFormat="1" ht="13.5" customHeight="1" thickBot="1" x14ac:dyDescent="0.25">
      <c r="A44" s="2253" t="s">
        <v>371</v>
      </c>
      <c r="B44" s="2254"/>
      <c r="C44" s="1623">
        <f>SUM(C24:C43)</f>
        <v>0</v>
      </c>
      <c r="D44" s="1623">
        <f t="shared" ref="D44:K44" si="6">SUM(D24:D43)</f>
        <v>400000</v>
      </c>
      <c r="E44" s="1623">
        <f t="shared" si="6"/>
        <v>182595</v>
      </c>
      <c r="F44" s="1623">
        <f t="shared" si="6"/>
        <v>200000</v>
      </c>
      <c r="G44" s="1623">
        <f t="shared" si="6"/>
        <v>0</v>
      </c>
      <c r="H44" s="1623">
        <f t="shared" si="6"/>
        <v>0</v>
      </c>
      <c r="I44" s="1623">
        <f t="shared" si="6"/>
        <v>0</v>
      </c>
      <c r="J44" s="1623">
        <f t="shared" si="6"/>
        <v>0</v>
      </c>
      <c r="K44" s="1623">
        <f t="shared" si="6"/>
        <v>0</v>
      </c>
      <c r="L44" s="453"/>
    </row>
    <row r="45" spans="1:12" ht="15.75" customHeight="1" thickTop="1" x14ac:dyDescent="0.2">
      <c r="A45" s="2247" t="s">
        <v>108</v>
      </c>
      <c r="B45" s="2248"/>
      <c r="C45" s="1624"/>
      <c r="D45" s="1624"/>
      <c r="E45" s="1624"/>
      <c r="F45" s="1624"/>
      <c r="G45" s="1624"/>
      <c r="H45" s="1624"/>
      <c r="I45" s="1624"/>
      <c r="J45" s="1624"/>
      <c r="K45" s="1624"/>
      <c r="L45" s="325"/>
    </row>
    <row r="46" spans="1:12" s="433" customFormat="1" ht="15.75" customHeight="1" x14ac:dyDescent="0.2">
      <c r="A46" s="2255" t="s">
        <v>109</v>
      </c>
      <c r="B46" s="2256"/>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v>135000</v>
      </c>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v>47595</v>
      </c>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v>200000</v>
      </c>
      <c r="E75" s="1625"/>
      <c r="F75" s="1627"/>
      <c r="G75" s="1627"/>
      <c r="H75" s="1627"/>
      <c r="I75" s="1625"/>
      <c r="J75" s="1625">
        <v>400000</v>
      </c>
      <c r="K75" s="1627"/>
      <c r="L75" s="453"/>
    </row>
    <row r="76" spans="1:12" s="433" customFormat="1" ht="14.25" thickTop="1" thickBot="1" x14ac:dyDescent="0.25">
      <c r="A76" s="2229" t="s">
        <v>437</v>
      </c>
      <c r="B76" s="2230"/>
      <c r="C76" s="1623">
        <f t="shared" ref="C76:K76" si="7">SUM(C47:C75)</f>
        <v>182595</v>
      </c>
      <c r="D76" s="1623">
        <f t="shared" si="7"/>
        <v>200000</v>
      </c>
      <c r="E76" s="1623">
        <f t="shared" si="7"/>
        <v>0</v>
      </c>
      <c r="F76" s="1623">
        <f t="shared" si="7"/>
        <v>0</v>
      </c>
      <c r="G76" s="1623">
        <f t="shared" si="7"/>
        <v>0</v>
      </c>
      <c r="H76" s="1623">
        <f t="shared" si="7"/>
        <v>0</v>
      </c>
      <c r="I76" s="1623">
        <f t="shared" si="7"/>
        <v>0</v>
      </c>
      <c r="J76" s="1623">
        <f t="shared" si="7"/>
        <v>400000</v>
      </c>
      <c r="K76" s="1623">
        <f t="shared" si="7"/>
        <v>0</v>
      </c>
      <c r="L76" s="453"/>
    </row>
    <row r="77" spans="1:12" ht="14.25" thickTop="1" thickBot="1" x14ac:dyDescent="0.25">
      <c r="A77" s="2231" t="s">
        <v>1167</v>
      </c>
      <c r="B77" s="2232"/>
      <c r="C77" s="1623">
        <f t="shared" ref="C77:K77" si="8">C44-C76</f>
        <v>-182595</v>
      </c>
      <c r="D77" s="1623">
        <f t="shared" si="8"/>
        <v>200000</v>
      </c>
      <c r="E77" s="1623">
        <f t="shared" si="8"/>
        <v>182595</v>
      </c>
      <c r="F77" s="1623">
        <f t="shared" si="8"/>
        <v>200000</v>
      </c>
      <c r="G77" s="1623">
        <f t="shared" si="8"/>
        <v>0</v>
      </c>
      <c r="H77" s="1623">
        <f t="shared" si="8"/>
        <v>0</v>
      </c>
      <c r="I77" s="1623">
        <f t="shared" si="8"/>
        <v>0</v>
      </c>
      <c r="J77" s="1623">
        <f t="shared" si="8"/>
        <v>-400000</v>
      </c>
      <c r="K77" s="1623">
        <f t="shared" si="8"/>
        <v>0</v>
      </c>
      <c r="L77" s="325"/>
    </row>
    <row r="78" spans="1:12" ht="21.75" customHeight="1" thickTop="1" thickBot="1" x14ac:dyDescent="0.25">
      <c r="A78" s="2235" t="s">
        <v>593</v>
      </c>
      <c r="B78" s="2236"/>
      <c r="C78" s="1628">
        <f t="shared" ref="C78:K78" si="9">C20+C77</f>
        <v>1035538</v>
      </c>
      <c r="D78" s="1628">
        <f t="shared" si="9"/>
        <v>-329574</v>
      </c>
      <c r="E78" s="1628">
        <f t="shared" si="9"/>
        <v>28687</v>
      </c>
      <c r="F78" s="1628">
        <f t="shared" si="9"/>
        <v>76950</v>
      </c>
      <c r="G78" s="1628">
        <f t="shared" si="9"/>
        <v>196936</v>
      </c>
      <c r="H78" s="1628">
        <f t="shared" si="9"/>
        <v>0</v>
      </c>
      <c r="I78" s="1628">
        <f t="shared" si="9"/>
        <v>43473</v>
      </c>
      <c r="J78" s="1628">
        <f t="shared" si="9"/>
        <v>-172755</v>
      </c>
      <c r="K78" s="1628">
        <f t="shared" si="9"/>
        <v>-2168205</v>
      </c>
      <c r="L78" s="457"/>
    </row>
    <row r="79" spans="1:12" ht="13.5" thickTop="1" x14ac:dyDescent="0.2">
      <c r="A79" s="1843" t="str">
        <f>"Fund Balances - July 1, "&amp;'AFR20'!E2-1</f>
        <v>Fund Balances - July 1, 2019</v>
      </c>
      <c r="B79" s="458"/>
      <c r="C79" s="1582">
        <v>4859817</v>
      </c>
      <c r="D79" s="1629">
        <v>1295168</v>
      </c>
      <c r="E79" s="1629">
        <v>1542975</v>
      </c>
      <c r="F79" s="1629">
        <v>763702</v>
      </c>
      <c r="G79" s="1629">
        <v>601125</v>
      </c>
      <c r="H79" s="1629">
        <v>8</v>
      </c>
      <c r="I79" s="1629">
        <v>44236</v>
      </c>
      <c r="J79" s="1629">
        <v>456546</v>
      </c>
      <c r="K79" s="1629">
        <v>2217048</v>
      </c>
      <c r="L79" s="325"/>
    </row>
    <row r="80" spans="1:12" x14ac:dyDescent="0.2">
      <c r="A80" s="2241" t="s">
        <v>1770</v>
      </c>
      <c r="B80" s="2242"/>
      <c r="C80" s="1573"/>
      <c r="D80" s="1573"/>
      <c r="E80" s="1573"/>
      <c r="F80" s="1573"/>
      <c r="G80" s="1573"/>
      <c r="H80" s="1573"/>
      <c r="I80" s="1573"/>
      <c r="J80" s="1573"/>
      <c r="K80" s="1573"/>
      <c r="L80" s="325"/>
    </row>
    <row r="81" spans="1:12" ht="13.5" thickBot="1" x14ac:dyDescent="0.25">
      <c r="A81" s="2233" t="str">
        <f>"Fund Balances - June 30, "&amp;'AFR20'!E2</f>
        <v>Fund Balances - June 30, 2020</v>
      </c>
      <c r="B81" s="2234"/>
      <c r="C81" s="1593">
        <f>(SUM(C78:C80))</f>
        <v>5895355</v>
      </c>
      <c r="D81" s="1593">
        <f>SUM(D78:D80)</f>
        <v>965594</v>
      </c>
      <c r="E81" s="1593">
        <f t="shared" ref="E81:K81" si="10">SUM(E78:E80)</f>
        <v>1571662</v>
      </c>
      <c r="F81" s="1593">
        <f t="shared" si="10"/>
        <v>840652</v>
      </c>
      <c r="G81" s="1593">
        <f t="shared" si="10"/>
        <v>798061</v>
      </c>
      <c r="H81" s="1593">
        <f t="shared" si="10"/>
        <v>8</v>
      </c>
      <c r="I81" s="1593">
        <f t="shared" si="10"/>
        <v>87709</v>
      </c>
      <c r="J81" s="1593">
        <f t="shared" si="10"/>
        <v>283791</v>
      </c>
      <c r="K81" s="1593">
        <f t="shared" si="10"/>
        <v>48843</v>
      </c>
      <c r="L81" s="325"/>
    </row>
    <row r="82" spans="1:12" ht="0.75" customHeight="1" thickTop="1" thickBot="1" x14ac:dyDescent="0.25">
      <c r="A82" s="459" t="s">
        <v>340</v>
      </c>
      <c r="B82" s="460"/>
      <c r="C82" s="461">
        <f>(C81-C79)</f>
        <v>1035538</v>
      </c>
      <c r="D82" s="461">
        <f t="shared" ref="D82:K82" si="11">(D81-D79)</f>
        <v>-329574</v>
      </c>
      <c r="E82" s="461">
        <f t="shared" si="11"/>
        <v>28687</v>
      </c>
      <c r="F82" s="461">
        <f t="shared" si="11"/>
        <v>76950</v>
      </c>
      <c r="G82" s="461">
        <f t="shared" si="11"/>
        <v>196936</v>
      </c>
      <c r="H82" s="461">
        <f t="shared" si="11"/>
        <v>0</v>
      </c>
      <c r="I82" s="461">
        <f t="shared" si="11"/>
        <v>43473</v>
      </c>
      <c r="J82" s="461">
        <f t="shared" si="11"/>
        <v>-172755</v>
      </c>
      <c r="K82" s="461">
        <f t="shared" si="11"/>
        <v>-2168205</v>
      </c>
    </row>
    <row r="83" spans="1:12" ht="14.25" hidden="1" thickTop="1" thickBot="1" x14ac:dyDescent="0.25">
      <c r="A83" s="462" t="s">
        <v>341</v>
      </c>
      <c r="B83" s="428"/>
      <c r="C83" s="463">
        <f>C82/C81</f>
        <v>0.17565320493846426</v>
      </c>
      <c r="D83" s="463">
        <f t="shared" ref="D83:K83" si="12">D82/D81</f>
        <v>-0.3413173652694611</v>
      </c>
      <c r="E83" s="463">
        <f t="shared" si="12"/>
        <v>1.825265228783288E-2</v>
      </c>
      <c r="F83" s="463">
        <f t="shared" si="12"/>
        <v>9.1536093413207842E-2</v>
      </c>
      <c r="G83" s="463">
        <f t="shared" si="12"/>
        <v>0.24676810419253667</v>
      </c>
      <c r="H83" s="463">
        <f t="shared" si="12"/>
        <v>0</v>
      </c>
      <c r="I83" s="463">
        <f t="shared" si="12"/>
        <v>0.49565038935571037</v>
      </c>
      <c r="J83" s="463">
        <f t="shared" si="12"/>
        <v>-0.60874023489116991</v>
      </c>
      <c r="K83" s="463">
        <f t="shared" si="12"/>
        <v>-44.391315029789325</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8" activePane="bottomLeft" state="frozen"/>
      <selection activeCell="A13" sqref="A13:H13"/>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1777</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1584880</v>
      </c>
      <c r="D5" s="1585">
        <v>430673</v>
      </c>
      <c r="E5" s="1572">
        <v>444886</v>
      </c>
      <c r="F5" s="1630">
        <v>164774</v>
      </c>
      <c r="G5" s="1572">
        <v>138761</v>
      </c>
      <c r="H5" s="1572"/>
      <c r="I5" s="1572">
        <v>43068</v>
      </c>
      <c r="J5" s="1573">
        <v>1073583</v>
      </c>
      <c r="K5" s="1572">
        <v>43068</v>
      </c>
    </row>
    <row r="6" spans="1:12" ht="15" x14ac:dyDescent="0.2">
      <c r="A6" s="427" t="s">
        <v>1643</v>
      </c>
      <c r="B6" s="429">
        <v>1130</v>
      </c>
      <c r="C6" s="1572">
        <v>43068</v>
      </c>
      <c r="D6" s="1572"/>
      <c r="E6" s="1579"/>
      <c r="F6" s="1579"/>
      <c r="G6" s="1574"/>
      <c r="H6" s="1574"/>
      <c r="I6" s="1574"/>
      <c r="J6" s="1574"/>
      <c r="K6" s="1574"/>
    </row>
    <row r="7" spans="1:12" x14ac:dyDescent="0.2">
      <c r="A7" s="427" t="s">
        <v>110</v>
      </c>
      <c r="B7" s="471">
        <v>1140</v>
      </c>
      <c r="C7" s="1572">
        <v>34452</v>
      </c>
      <c r="D7" s="1572"/>
      <c r="E7" s="1574"/>
      <c r="F7" s="1573"/>
      <c r="G7" s="1573"/>
      <c r="H7" s="1573"/>
      <c r="I7" s="1574"/>
      <c r="J7" s="1574"/>
      <c r="K7" s="1574"/>
    </row>
    <row r="8" spans="1:12" x14ac:dyDescent="0.2">
      <c r="A8" s="427" t="s">
        <v>410</v>
      </c>
      <c r="B8" s="429">
        <v>1150</v>
      </c>
      <c r="C8" s="1579"/>
      <c r="D8" s="1579"/>
      <c r="E8" s="1581"/>
      <c r="F8" s="1581"/>
      <c r="G8" s="1585">
        <v>189065</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1662400</v>
      </c>
      <c r="D12" s="1632">
        <f t="shared" si="0"/>
        <v>430673</v>
      </c>
      <c r="E12" s="1632">
        <f t="shared" si="0"/>
        <v>444886</v>
      </c>
      <c r="F12" s="1632">
        <f t="shared" si="0"/>
        <v>164774</v>
      </c>
      <c r="G12" s="1632">
        <f t="shared" si="0"/>
        <v>327826</v>
      </c>
      <c r="H12" s="1632">
        <f t="shared" si="0"/>
        <v>0</v>
      </c>
      <c r="I12" s="1632">
        <f t="shared" si="0"/>
        <v>43068</v>
      </c>
      <c r="J12" s="1632">
        <f t="shared" si="0"/>
        <v>1073583</v>
      </c>
      <c r="K12" s="1593">
        <f t="shared" si="0"/>
        <v>43068</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1632493</v>
      </c>
      <c r="D16" s="1572"/>
      <c r="E16" s="1572"/>
      <c r="F16" s="1572"/>
      <c r="G16" s="1572">
        <v>122994</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1632493</v>
      </c>
      <c r="D18" s="1634">
        <f t="shared" ref="D18:K18" si="1">SUM(D14:D17)</f>
        <v>0</v>
      </c>
      <c r="E18" s="1634">
        <f t="shared" si="1"/>
        <v>0</v>
      </c>
      <c r="F18" s="1634">
        <f t="shared" si="1"/>
        <v>0</v>
      </c>
      <c r="G18" s="1634">
        <f t="shared" si="1"/>
        <v>122994</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v>788</v>
      </c>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788</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f>55090+1</f>
        <v>55091</v>
      </c>
      <c r="D65" s="1572">
        <v>3449</v>
      </c>
      <c r="E65" s="1572">
        <v>15192</v>
      </c>
      <c r="F65" s="1573">
        <v>6462</v>
      </c>
      <c r="G65" s="1572">
        <f>5062-1</f>
        <v>5061</v>
      </c>
      <c r="H65" s="1572"/>
      <c r="I65" s="1572">
        <v>405</v>
      </c>
      <c r="J65" s="1573">
        <v>8011</v>
      </c>
      <c r="K65" s="1572">
        <f>2334-1</f>
        <v>2333</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55091</v>
      </c>
      <c r="D67" s="1593">
        <f t="shared" ref="D67:K67" si="2">SUM(D65:D66)</f>
        <v>3449</v>
      </c>
      <c r="E67" s="1593">
        <f t="shared" si="2"/>
        <v>15192</v>
      </c>
      <c r="F67" s="1593">
        <f t="shared" si="2"/>
        <v>6462</v>
      </c>
      <c r="G67" s="1593">
        <f t="shared" si="2"/>
        <v>5061</v>
      </c>
      <c r="H67" s="1593">
        <f t="shared" si="2"/>
        <v>0</v>
      </c>
      <c r="I67" s="1593">
        <f t="shared" si="2"/>
        <v>405</v>
      </c>
      <c r="J67" s="1593">
        <f t="shared" si="2"/>
        <v>8011</v>
      </c>
      <c r="K67" s="1593">
        <f t="shared" si="2"/>
        <v>2333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54537</v>
      </c>
      <c r="D69" s="1574"/>
      <c r="E69" s="1574"/>
      <c r="F69" s="1574"/>
      <c r="G69" s="1574"/>
      <c r="H69" s="1574"/>
      <c r="I69" s="1574"/>
      <c r="J69" s="1574"/>
      <c r="K69" s="1574"/>
    </row>
    <row r="70" spans="1:11" ht="12.75" customHeight="1" x14ac:dyDescent="0.2">
      <c r="A70" s="427" t="s">
        <v>990</v>
      </c>
      <c r="B70" s="429">
        <v>1612</v>
      </c>
      <c r="C70" s="1631">
        <v>2945</v>
      </c>
      <c r="D70" s="1574"/>
      <c r="E70" s="1574"/>
      <c r="F70" s="1574"/>
      <c r="G70" s="1574"/>
      <c r="H70" s="1574"/>
      <c r="I70" s="1574"/>
      <c r="J70" s="1574"/>
      <c r="K70" s="1574"/>
    </row>
    <row r="71" spans="1:11" ht="12.75" customHeight="1" x14ac:dyDescent="0.2">
      <c r="A71" s="427" t="s">
        <v>271</v>
      </c>
      <c r="B71" s="429">
        <v>1613</v>
      </c>
      <c r="C71" s="1631">
        <v>5857</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868</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64207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28236</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8238</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36474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39390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39390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v>700</v>
      </c>
      <c r="D96" s="1631">
        <v>9000</v>
      </c>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133514</v>
      </c>
      <c r="D99" s="1572">
        <v>416</v>
      </c>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3605</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v>375925</v>
      </c>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78254</v>
      </c>
      <c r="D107" s="1572"/>
      <c r="E107" s="1572"/>
      <c r="F107" s="1572"/>
      <c r="G107" s="1572"/>
      <c r="H107" s="1572"/>
      <c r="I107" s="1572"/>
      <c r="J107" s="1573"/>
      <c r="K107" s="1572"/>
    </row>
    <row r="108" spans="1:12" ht="12.75" customHeight="1" thickBot="1" x14ac:dyDescent="0.25">
      <c r="A108" s="1405" t="s">
        <v>484</v>
      </c>
      <c r="B108" s="1407"/>
      <c r="C108" s="1632">
        <f>SUM(C95:C107)</f>
        <v>216073</v>
      </c>
      <c r="D108" s="1632">
        <f t="shared" ref="D108:K108" si="3">SUM(D95:D107)</f>
        <v>9416</v>
      </c>
      <c r="E108" s="1632">
        <f t="shared" si="3"/>
        <v>375925</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3706128</v>
      </c>
      <c r="D109" s="1640">
        <f t="shared" si="4"/>
        <v>443538</v>
      </c>
      <c r="E109" s="1640">
        <f t="shared" si="4"/>
        <v>836003</v>
      </c>
      <c r="F109" s="1640">
        <f t="shared" si="4"/>
        <v>172024</v>
      </c>
      <c r="G109" s="1640">
        <f t="shared" si="4"/>
        <v>455881</v>
      </c>
      <c r="H109" s="1640">
        <f t="shared" si="4"/>
        <v>0</v>
      </c>
      <c r="I109" s="1640">
        <f t="shared" si="4"/>
        <v>43473</v>
      </c>
      <c r="J109" s="1640">
        <f t="shared" si="4"/>
        <v>1081594</v>
      </c>
      <c r="K109" s="1628">
        <f t="shared" si="4"/>
        <v>45401</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3046047</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3046047</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39463</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12125</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51588</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8349</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2823</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11172</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4228</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8426</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120188</v>
      </c>
      <c r="G152" s="1573"/>
      <c r="H152" s="1574"/>
      <c r="I152" s="1574"/>
      <c r="J152" s="1574"/>
      <c r="K152" s="1574"/>
    </row>
    <row r="153" spans="1:11" ht="12.75" customHeight="1" x14ac:dyDescent="0.2">
      <c r="A153" s="427" t="s">
        <v>1048</v>
      </c>
      <c r="B153" s="478">
        <v>3510</v>
      </c>
      <c r="C153" s="1631"/>
      <c r="D153" s="1572"/>
      <c r="E153" s="1639"/>
      <c r="F153" s="1572">
        <v>107647</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227835</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548794</v>
      </c>
      <c r="D159" s="1652"/>
      <c r="E159" s="1639"/>
      <c r="F159" s="1650"/>
      <c r="G159" s="1650">
        <v>22544</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57" t="s">
        <v>395</v>
      </c>
      <c r="B169" s="2258"/>
      <c r="C169" s="1657">
        <f t="shared" ref="C169:K169" si="6">SUM(C132,C141,C145,C146:C150,C155,C156:C167,C168)</f>
        <v>624958</v>
      </c>
      <c r="D169" s="1657">
        <f t="shared" si="6"/>
        <v>50000</v>
      </c>
      <c r="E169" s="1657">
        <f t="shared" si="6"/>
        <v>0</v>
      </c>
      <c r="F169" s="1657">
        <f t="shared" si="6"/>
        <v>227835</v>
      </c>
      <c r="G169" s="1657">
        <f t="shared" si="6"/>
        <v>22544</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3671005</v>
      </c>
      <c r="D170" s="1640">
        <f t="shared" si="7"/>
        <v>50000</v>
      </c>
      <c r="E170" s="1640">
        <f t="shared" si="7"/>
        <v>0</v>
      </c>
      <c r="F170" s="1640">
        <f t="shared" si="7"/>
        <v>227835</v>
      </c>
      <c r="G170" s="1640">
        <f t="shared" si="7"/>
        <v>22544</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9" t="s">
        <v>1475</v>
      </c>
      <c r="B172" s="2260"/>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63" t="s">
        <v>1646</v>
      </c>
      <c r="B175" s="226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7" t="s">
        <v>1645</v>
      </c>
      <c r="B176" s="2268"/>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65" t="s">
        <v>780</v>
      </c>
      <c r="B181" s="2266"/>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1" t="s">
        <v>1778</v>
      </c>
      <c r="B182" s="2262"/>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v>17533</v>
      </c>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17533</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218638</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90823</v>
      </c>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v>15605</v>
      </c>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325066</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362662</v>
      </c>
      <c r="D200" s="1572"/>
      <c r="E200" s="1574"/>
      <c r="F200" s="1572"/>
      <c r="G200" s="1572">
        <v>6091</v>
      </c>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362662</v>
      </c>
      <c r="D204" s="1632">
        <f>SUM(D200:D203)</f>
        <v>0</v>
      </c>
      <c r="E204" s="1574"/>
      <c r="F204" s="1632">
        <f>SUM(F200:F203)</f>
        <v>0</v>
      </c>
      <c r="G204" s="1632">
        <f>SUM(G200:G203)</f>
        <v>6091</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157600</v>
      </c>
      <c r="D213" s="1572"/>
      <c r="E213" s="1574"/>
      <c r="F213" s="1572"/>
      <c r="G213" s="1572">
        <v>9472</v>
      </c>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157600</v>
      </c>
      <c r="D217" s="1632">
        <f>SUM(D211:D216)</f>
        <v>0</v>
      </c>
      <c r="E217" s="1574"/>
      <c r="F217" s="1632">
        <f>SUM(F211:F216)</f>
        <v>0</v>
      </c>
      <c r="G217" s="1632">
        <f>SUM(G211:G216)</f>
        <v>9472</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v>6266</v>
      </c>
      <c r="D220" s="1572"/>
      <c r="E220" s="1574"/>
      <c r="F220" s="1574"/>
      <c r="G220" s="1572"/>
      <c r="H220" s="1574"/>
      <c r="I220" s="1574"/>
      <c r="J220" s="1574"/>
      <c r="K220" s="1574"/>
    </row>
    <row r="221" spans="1:11" ht="12.75" customHeight="1" thickBot="1" x14ac:dyDescent="0.25">
      <c r="A221" s="1414" t="s">
        <v>1076</v>
      </c>
      <c r="B221" s="1415"/>
      <c r="C221" s="1632">
        <f>SUM(C219:C220)</f>
        <v>6266</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v>47144</v>
      </c>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47144</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60901</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23235</v>
      </c>
      <c r="D263" s="1650"/>
      <c r="E263" s="1574"/>
      <c r="F263" s="1650"/>
      <c r="G263" s="1650"/>
      <c r="H263" s="1574"/>
      <c r="I263" s="1574"/>
      <c r="J263" s="1574"/>
      <c r="K263" s="1574"/>
    </row>
    <row r="264" spans="1:11" ht="12.75" customHeight="1" thickTop="1" thickBot="1" x14ac:dyDescent="0.25">
      <c r="A264" s="427" t="s">
        <v>374</v>
      </c>
      <c r="B264" s="429">
        <v>4992</v>
      </c>
      <c r="C264" s="1649">
        <v>68870</v>
      </c>
      <c r="D264" s="1650"/>
      <c r="E264" s="1574"/>
      <c r="F264" s="1650"/>
      <c r="G264" s="1650"/>
      <c r="H264" s="1574"/>
      <c r="I264" s="1574"/>
      <c r="J264" s="1574"/>
      <c r="K264" s="1574"/>
    </row>
    <row r="265" spans="1:11" s="489" customFormat="1" ht="12.75" customHeight="1" thickTop="1" thickBot="1" x14ac:dyDescent="0.25">
      <c r="A265" s="479" t="s">
        <v>75</v>
      </c>
      <c r="B265" s="475">
        <v>4998</v>
      </c>
      <c r="C265" s="1649">
        <v>43465</v>
      </c>
      <c r="D265" s="1650"/>
      <c r="E265" s="1574"/>
      <c r="F265" s="1650"/>
      <c r="G265" s="1650">
        <v>1101</v>
      </c>
      <c r="H265" s="1625"/>
      <c r="I265" s="1574"/>
      <c r="J265" s="1574"/>
      <c r="K265" s="1625"/>
    </row>
    <row r="266" spans="1:11" ht="14.25" thickTop="1" thickBot="1" x14ac:dyDescent="0.25">
      <c r="A266" s="1405" t="s">
        <v>1647</v>
      </c>
      <c r="B266" s="1418"/>
      <c r="C266" s="1640">
        <f t="shared" ref="C266:H266" si="10">SUM(C188,C198,C204,C209,C217,C221,C222,C252:C265)</f>
        <v>1065598</v>
      </c>
      <c r="D266" s="1640">
        <f t="shared" si="10"/>
        <v>0</v>
      </c>
      <c r="E266" s="1640">
        <f t="shared" si="10"/>
        <v>47144</v>
      </c>
      <c r="F266" s="1640">
        <f t="shared" si="10"/>
        <v>0</v>
      </c>
      <c r="G266" s="1640">
        <f t="shared" si="10"/>
        <v>16664</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1065598</v>
      </c>
      <c r="D267" s="1640">
        <f>SUM(D175,D181,D266)</f>
        <v>0</v>
      </c>
      <c r="E267" s="1640">
        <f>SUM(E175,E266)</f>
        <v>47144</v>
      </c>
      <c r="F267" s="1640">
        <f t="shared" ref="F267:K267" si="11">SUM(F175,F181,F266)</f>
        <v>0</v>
      </c>
      <c r="G267" s="1640">
        <f t="shared" si="11"/>
        <v>16664</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8442731</v>
      </c>
      <c r="D268" s="1640">
        <f t="shared" si="12"/>
        <v>493538</v>
      </c>
      <c r="E268" s="1640">
        <f t="shared" si="12"/>
        <v>883147</v>
      </c>
      <c r="F268" s="1640">
        <f t="shared" si="12"/>
        <v>399859</v>
      </c>
      <c r="G268" s="1640">
        <f t="shared" si="12"/>
        <v>495089</v>
      </c>
      <c r="H268" s="1640">
        <f t="shared" si="12"/>
        <v>0</v>
      </c>
      <c r="I268" s="1640">
        <f t="shared" si="12"/>
        <v>43473</v>
      </c>
      <c r="J268" s="1640">
        <f t="shared" si="12"/>
        <v>1081594</v>
      </c>
      <c r="K268" s="1628">
        <f t="shared" si="12"/>
        <v>45401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4" activePane="bottomLeft" state="frozen"/>
      <selection activeCell="A13" sqref="A13:H13"/>
      <selection pane="bottomLeft" activeCell="A13" sqref="A13:H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2381000</v>
      </c>
      <c r="D5" s="1572">
        <v>328006</v>
      </c>
      <c r="E5" s="1572">
        <v>123735</v>
      </c>
      <c r="F5" s="1572">
        <v>78461</v>
      </c>
      <c r="G5" s="1572">
        <v>6962</v>
      </c>
      <c r="H5" s="1572"/>
      <c r="I5" s="1573"/>
      <c r="J5" s="1573"/>
      <c r="K5" s="1671">
        <f>SUM(C5:J5)</f>
        <v>2918164</v>
      </c>
      <c r="L5" s="1572">
        <v>2559500</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136977</v>
      </c>
      <c r="D7" s="1573">
        <v>11288</v>
      </c>
      <c r="E7" s="1573">
        <v>9420</v>
      </c>
      <c r="F7" s="1573">
        <v>25620</v>
      </c>
      <c r="G7" s="1573">
        <v>5712</v>
      </c>
      <c r="H7" s="1573"/>
      <c r="I7" s="1573"/>
      <c r="J7" s="1573"/>
      <c r="K7" s="1671">
        <f t="shared" ref="K7:K32" si="0">SUM(C7:J7)</f>
        <v>189017</v>
      </c>
      <c r="L7" s="1572">
        <v>710607</v>
      </c>
    </row>
    <row r="8" spans="1:14" x14ac:dyDescent="0.2">
      <c r="A8" s="1273" t="s">
        <v>163</v>
      </c>
      <c r="B8" s="503">
        <v>1200</v>
      </c>
      <c r="C8" s="1572">
        <v>849996</v>
      </c>
      <c r="D8" s="1572">
        <v>157583</v>
      </c>
      <c r="E8" s="1572">
        <v>9926</v>
      </c>
      <c r="F8" s="1572">
        <v>2261</v>
      </c>
      <c r="G8" s="1572"/>
      <c r="H8" s="1572">
        <v>83729</v>
      </c>
      <c r="I8" s="1573"/>
      <c r="J8" s="1573"/>
      <c r="K8" s="1671">
        <f t="shared" si="0"/>
        <v>1103495</v>
      </c>
      <c r="L8" s="1572">
        <v>1141582</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210557</v>
      </c>
      <c r="D10" s="1572">
        <v>54847</v>
      </c>
      <c r="E10" s="1572">
        <v>18657</v>
      </c>
      <c r="F10" s="1572">
        <v>2645</v>
      </c>
      <c r="G10" s="1572"/>
      <c r="H10" s="1572"/>
      <c r="I10" s="1573"/>
      <c r="J10" s="1573"/>
      <c r="K10" s="1671">
        <f t="shared" si="0"/>
        <v>286706</v>
      </c>
      <c r="L10" s="1572">
        <v>355566</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41164</v>
      </c>
      <c r="D13" s="1572">
        <v>7450</v>
      </c>
      <c r="E13" s="1572">
        <v>1192</v>
      </c>
      <c r="F13" s="1572">
        <v>827</v>
      </c>
      <c r="G13" s="1572"/>
      <c r="H13" s="1572"/>
      <c r="I13" s="1573"/>
      <c r="J13" s="1573"/>
      <c r="K13" s="1671">
        <f t="shared" si="0"/>
        <v>50633</v>
      </c>
      <c r="L13" s="1572">
        <v>74643</v>
      </c>
    </row>
    <row r="14" spans="1:14" x14ac:dyDescent="0.2">
      <c r="A14" s="1273" t="s">
        <v>957</v>
      </c>
      <c r="B14" s="503">
        <v>1500</v>
      </c>
      <c r="C14" s="1572">
        <v>120895</v>
      </c>
      <c r="D14" s="1572">
        <v>1396</v>
      </c>
      <c r="E14" s="1572">
        <v>34332</v>
      </c>
      <c r="F14" s="1572">
        <v>18602</v>
      </c>
      <c r="G14" s="1572">
        <v>26244</v>
      </c>
      <c r="H14" s="1572"/>
      <c r="I14" s="1573"/>
      <c r="J14" s="1573"/>
      <c r="K14" s="1671">
        <f t="shared" si="0"/>
        <v>201469</v>
      </c>
      <c r="L14" s="1572">
        <v>252086</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34633</v>
      </c>
      <c r="D17" s="1573">
        <v>7308</v>
      </c>
      <c r="E17" s="1573"/>
      <c r="F17" s="1573"/>
      <c r="G17" s="1573"/>
      <c r="H17" s="1573">
        <v>539</v>
      </c>
      <c r="I17" s="1573"/>
      <c r="J17" s="1573"/>
      <c r="K17" s="1671">
        <f t="shared" si="0"/>
        <v>42480</v>
      </c>
      <c r="L17" s="1572">
        <v>47700</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3775222</v>
      </c>
      <c r="D33" s="1673">
        <f t="shared" ref="D33:L33" si="1">SUM(D5:D32)</f>
        <v>567878</v>
      </c>
      <c r="E33" s="1673">
        <f t="shared" si="1"/>
        <v>197262</v>
      </c>
      <c r="F33" s="1673">
        <f t="shared" si="1"/>
        <v>128416</v>
      </c>
      <c r="G33" s="1673">
        <f t="shared" si="1"/>
        <v>38918</v>
      </c>
      <c r="H33" s="1673">
        <f t="shared" si="1"/>
        <v>84268</v>
      </c>
      <c r="I33" s="1673">
        <f t="shared" si="1"/>
        <v>0</v>
      </c>
      <c r="J33" s="1673">
        <f t="shared" si="1"/>
        <v>0</v>
      </c>
      <c r="K33" s="1673">
        <f t="shared" si="1"/>
        <v>4791964</v>
      </c>
      <c r="L33" s="1673">
        <f t="shared" si="1"/>
        <v>5141684</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75377</v>
      </c>
      <c r="D36" s="1585">
        <v>8004</v>
      </c>
      <c r="E36" s="1585">
        <v>318</v>
      </c>
      <c r="F36" s="1585">
        <v>62</v>
      </c>
      <c r="G36" s="1585"/>
      <c r="H36" s="1585"/>
      <c r="I36" s="1573"/>
      <c r="J36" s="1573"/>
      <c r="K36" s="1671">
        <f t="shared" ref="K36:K41" si="2">SUM(C36:J36)</f>
        <v>83761</v>
      </c>
      <c r="L36" s="1572">
        <v>92450</v>
      </c>
    </row>
    <row r="37" spans="1:14" x14ac:dyDescent="0.2">
      <c r="A37" s="1273" t="s">
        <v>1081</v>
      </c>
      <c r="B37" s="503">
        <v>2120</v>
      </c>
      <c r="C37" s="1572">
        <v>33540</v>
      </c>
      <c r="D37" s="1572">
        <v>7286</v>
      </c>
      <c r="E37" s="1572"/>
      <c r="F37" s="1572"/>
      <c r="G37" s="1572"/>
      <c r="H37" s="1572"/>
      <c r="I37" s="1573"/>
      <c r="J37" s="1573"/>
      <c r="K37" s="1671">
        <f t="shared" si="2"/>
        <v>40826</v>
      </c>
      <c r="L37" s="1572">
        <v>54800</v>
      </c>
    </row>
    <row r="38" spans="1:14" x14ac:dyDescent="0.2">
      <c r="A38" s="1273" t="s">
        <v>196</v>
      </c>
      <c r="B38" s="503">
        <v>2130</v>
      </c>
      <c r="C38" s="1572">
        <v>250</v>
      </c>
      <c r="D38" s="1572">
        <v>50</v>
      </c>
      <c r="E38" s="1572">
        <v>4126</v>
      </c>
      <c r="F38" s="1572">
        <v>559</v>
      </c>
      <c r="G38" s="1572"/>
      <c r="H38" s="1572"/>
      <c r="I38" s="1573"/>
      <c r="J38" s="1573"/>
      <c r="K38" s="1671">
        <f t="shared" si="2"/>
        <v>4985</v>
      </c>
      <c r="L38" s="1572">
        <v>23935</v>
      </c>
    </row>
    <row r="39" spans="1:14" x14ac:dyDescent="0.2">
      <c r="A39" s="1273" t="s">
        <v>197</v>
      </c>
      <c r="B39" s="503">
        <v>2140</v>
      </c>
      <c r="C39" s="1572">
        <v>37800</v>
      </c>
      <c r="D39" s="1572">
        <v>7983</v>
      </c>
      <c r="E39" s="1572">
        <v>525</v>
      </c>
      <c r="F39" s="1572">
        <v>50</v>
      </c>
      <c r="G39" s="1572"/>
      <c r="H39" s="1572"/>
      <c r="I39" s="1573"/>
      <c r="J39" s="1573"/>
      <c r="K39" s="1671">
        <f t="shared" si="2"/>
        <v>46358</v>
      </c>
      <c r="L39" s="1572">
        <v>56500</v>
      </c>
    </row>
    <row r="40" spans="1:14" x14ac:dyDescent="0.2">
      <c r="A40" s="1273" t="s">
        <v>198</v>
      </c>
      <c r="B40" s="503">
        <v>2150</v>
      </c>
      <c r="C40" s="1572">
        <v>94484</v>
      </c>
      <c r="D40" s="1572">
        <v>14994</v>
      </c>
      <c r="E40" s="1572">
        <v>604</v>
      </c>
      <c r="F40" s="1572">
        <v>498</v>
      </c>
      <c r="G40" s="1572"/>
      <c r="H40" s="1572"/>
      <c r="I40" s="1573"/>
      <c r="J40" s="1573"/>
      <c r="K40" s="1671">
        <f t="shared" si="2"/>
        <v>110580</v>
      </c>
      <c r="L40" s="1572">
        <v>110200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241451</v>
      </c>
      <c r="D42" s="1673">
        <f t="shared" ref="D42:L42" si="3">SUM(D36:D41)</f>
        <v>38317</v>
      </c>
      <c r="E42" s="1673">
        <f t="shared" si="3"/>
        <v>5573</v>
      </c>
      <c r="F42" s="1673">
        <f t="shared" si="3"/>
        <v>1169</v>
      </c>
      <c r="G42" s="1673">
        <f t="shared" si="3"/>
        <v>0</v>
      </c>
      <c r="H42" s="1673">
        <f t="shared" si="3"/>
        <v>0</v>
      </c>
      <c r="I42" s="1673">
        <f t="shared" si="3"/>
        <v>0</v>
      </c>
      <c r="J42" s="1673">
        <f t="shared" si="3"/>
        <v>0</v>
      </c>
      <c r="K42" s="1673">
        <f t="shared" si="3"/>
        <v>286510</v>
      </c>
      <c r="L42" s="1673">
        <f t="shared" si="3"/>
        <v>337885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61549</v>
      </c>
      <c r="D44" s="1585">
        <v>35194</v>
      </c>
      <c r="E44" s="1585">
        <v>14330</v>
      </c>
      <c r="F44" s="1585">
        <v>2322</v>
      </c>
      <c r="G44" s="1585"/>
      <c r="H44" s="1585"/>
      <c r="I44" s="1573"/>
      <c r="J44" s="1573"/>
      <c r="K44" s="1677">
        <f>SUM(C44:J44)</f>
        <v>113395</v>
      </c>
      <c r="L44" s="1585">
        <v>126353</v>
      </c>
    </row>
    <row r="45" spans="1:14" x14ac:dyDescent="0.2">
      <c r="A45" s="1273" t="s">
        <v>810</v>
      </c>
      <c r="B45" s="503">
        <v>2220</v>
      </c>
      <c r="C45" s="1572">
        <v>29751</v>
      </c>
      <c r="D45" s="1572">
        <v>6767</v>
      </c>
      <c r="E45" s="1572"/>
      <c r="F45" s="1572">
        <v>200</v>
      </c>
      <c r="G45" s="1572"/>
      <c r="H45" s="1572"/>
      <c r="I45" s="1573"/>
      <c r="J45" s="1573"/>
      <c r="K45" s="1677">
        <f>SUM(C45:J45)</f>
        <v>36718</v>
      </c>
      <c r="L45" s="1572">
        <v>104682</v>
      </c>
    </row>
    <row r="46" spans="1:14" x14ac:dyDescent="0.2">
      <c r="A46" s="1273" t="s">
        <v>811</v>
      </c>
      <c r="B46" s="503">
        <v>2230</v>
      </c>
      <c r="C46" s="1572"/>
      <c r="D46" s="1572"/>
      <c r="E46" s="1572">
        <v>8078</v>
      </c>
      <c r="F46" s="1572"/>
      <c r="G46" s="1572"/>
      <c r="H46" s="1572"/>
      <c r="I46" s="1573"/>
      <c r="J46" s="1573"/>
      <c r="K46" s="1677">
        <f>SUM(C46:J46)</f>
        <v>8078</v>
      </c>
      <c r="L46" s="1572">
        <v>3600</v>
      </c>
    </row>
    <row r="47" spans="1:14" ht="12.75" customHeight="1" thickBot="1" x14ac:dyDescent="0.25">
      <c r="A47" s="1379" t="s">
        <v>557</v>
      </c>
      <c r="B47" s="1380" t="s">
        <v>32</v>
      </c>
      <c r="C47" s="1673">
        <f>SUM(C44:C46)</f>
        <v>91300</v>
      </c>
      <c r="D47" s="1673">
        <f t="shared" ref="D47:K47" si="4">SUM(D44:D46)</f>
        <v>41961</v>
      </c>
      <c r="E47" s="1673">
        <f t="shared" si="4"/>
        <v>22408</v>
      </c>
      <c r="F47" s="1673">
        <f t="shared" si="4"/>
        <v>2522</v>
      </c>
      <c r="G47" s="1673">
        <f t="shared" si="4"/>
        <v>0</v>
      </c>
      <c r="H47" s="1673">
        <f t="shared" si="4"/>
        <v>0</v>
      </c>
      <c r="I47" s="1673">
        <f t="shared" si="4"/>
        <v>0</v>
      </c>
      <c r="J47" s="1673">
        <f t="shared" si="4"/>
        <v>0</v>
      </c>
      <c r="K47" s="1673">
        <f t="shared" si="4"/>
        <v>158191</v>
      </c>
      <c r="L47" s="1673">
        <f>SUM(L44:L46)</f>
        <v>234635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5428</v>
      </c>
      <c r="D49" s="1585">
        <v>114076</v>
      </c>
      <c r="E49" s="1585">
        <v>64089</v>
      </c>
      <c r="F49" s="1585">
        <v>6832</v>
      </c>
      <c r="G49" s="1585"/>
      <c r="H49" s="1585"/>
      <c r="I49" s="1573"/>
      <c r="J49" s="1573"/>
      <c r="K49" s="1677">
        <f>SUM(C49:J49)</f>
        <v>190425</v>
      </c>
      <c r="L49" s="1585">
        <v>226600</v>
      </c>
    </row>
    <row r="50" spans="1:14" x14ac:dyDescent="0.2">
      <c r="A50" s="1273" t="s">
        <v>813</v>
      </c>
      <c r="B50" s="503">
        <v>2320</v>
      </c>
      <c r="C50" s="1572">
        <v>153411</v>
      </c>
      <c r="D50" s="1572">
        <v>29614</v>
      </c>
      <c r="E50" s="1572"/>
      <c r="F50" s="1572"/>
      <c r="G50" s="1572"/>
      <c r="H50" s="1572"/>
      <c r="I50" s="1573"/>
      <c r="J50" s="1573"/>
      <c r="K50" s="1677">
        <f>SUM(C50:J50)</f>
        <v>183025</v>
      </c>
      <c r="L50" s="1572">
        <v>180080</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158839</v>
      </c>
      <c r="D53" s="1673">
        <f t="shared" ref="D53:L53" si="5">SUM(D49:D52)</f>
        <v>143690</v>
      </c>
      <c r="E53" s="1673">
        <f t="shared" si="5"/>
        <v>64089</v>
      </c>
      <c r="F53" s="1673">
        <f t="shared" si="5"/>
        <v>6832</v>
      </c>
      <c r="G53" s="1673">
        <f t="shared" si="5"/>
        <v>0</v>
      </c>
      <c r="H53" s="1673">
        <f t="shared" si="5"/>
        <v>0</v>
      </c>
      <c r="I53" s="1673">
        <f t="shared" si="5"/>
        <v>0</v>
      </c>
      <c r="J53" s="1673">
        <f t="shared" si="5"/>
        <v>0</v>
      </c>
      <c r="K53" s="1673">
        <f t="shared" si="5"/>
        <v>373450</v>
      </c>
      <c r="L53" s="1673">
        <f t="shared" si="5"/>
        <v>406680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331677</v>
      </c>
      <c r="D55" s="1585">
        <v>97952</v>
      </c>
      <c r="E55" s="1585">
        <v>4050</v>
      </c>
      <c r="F55" s="1585"/>
      <c r="G55" s="1585"/>
      <c r="H55" s="1585"/>
      <c r="I55" s="1573"/>
      <c r="J55" s="1573"/>
      <c r="K55" s="1677">
        <f>SUM(C55:J55)</f>
        <v>433679</v>
      </c>
      <c r="L55" s="1585">
        <v>505081</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331677</v>
      </c>
      <c r="D57" s="1678">
        <f t="shared" ref="D57:K57" si="6">SUM(D55:D56)</f>
        <v>97952</v>
      </c>
      <c r="E57" s="1678">
        <f t="shared" si="6"/>
        <v>4050</v>
      </c>
      <c r="F57" s="1678">
        <f t="shared" si="6"/>
        <v>0</v>
      </c>
      <c r="G57" s="1678">
        <f t="shared" si="6"/>
        <v>0</v>
      </c>
      <c r="H57" s="1678">
        <f t="shared" si="6"/>
        <v>0</v>
      </c>
      <c r="I57" s="1678">
        <f t="shared" si="6"/>
        <v>0</v>
      </c>
      <c r="J57" s="1678">
        <f t="shared" si="6"/>
        <v>0</v>
      </c>
      <c r="K57" s="1678">
        <f t="shared" si="6"/>
        <v>433679</v>
      </c>
      <c r="L57" s="1673">
        <f>SUM(L55:L56)</f>
        <v>505081</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83565</v>
      </c>
      <c r="D60" s="1572">
        <v>6744</v>
      </c>
      <c r="E60" s="1572"/>
      <c r="F60" s="1572"/>
      <c r="G60" s="1572"/>
      <c r="H60" s="1572"/>
      <c r="I60" s="1573"/>
      <c r="J60" s="1573"/>
      <c r="K60" s="1677">
        <f t="shared" si="7"/>
        <v>90309</v>
      </c>
      <c r="L60" s="1572">
        <v>90800</v>
      </c>
      <c r="M60" s="501"/>
      <c r="N60" s="501"/>
    </row>
    <row r="61" spans="1:14" s="321" customFormat="1" x14ac:dyDescent="0.2">
      <c r="A61" s="1273" t="s">
        <v>195</v>
      </c>
      <c r="B61" s="503">
        <v>2540</v>
      </c>
      <c r="C61" s="1572"/>
      <c r="D61" s="1572"/>
      <c r="E61" s="1572">
        <v>40708</v>
      </c>
      <c r="F61" s="1572">
        <v>282439</v>
      </c>
      <c r="G61" s="1572"/>
      <c r="H61" s="1572"/>
      <c r="I61" s="1573"/>
      <c r="J61" s="1573"/>
      <c r="K61" s="1677">
        <f t="shared" si="7"/>
        <v>323147</v>
      </c>
      <c r="L61" s="1572">
        <v>413459</v>
      </c>
      <c r="M61" s="501"/>
      <c r="N61" s="501"/>
    </row>
    <row r="62" spans="1:14" s="321" customFormat="1" x14ac:dyDescent="0.2">
      <c r="A62" s="1273" t="s">
        <v>947</v>
      </c>
      <c r="B62" s="503">
        <v>2550</v>
      </c>
      <c r="C62" s="1572"/>
      <c r="D62" s="1572"/>
      <c r="E62" s="1572">
        <v>175</v>
      </c>
      <c r="F62" s="1572"/>
      <c r="G62" s="1572"/>
      <c r="H62" s="1572"/>
      <c r="I62" s="1573"/>
      <c r="J62" s="1573"/>
      <c r="K62" s="1677">
        <f t="shared" si="7"/>
        <v>175</v>
      </c>
      <c r="L62" s="1572">
        <v>18406</v>
      </c>
      <c r="M62" s="501"/>
      <c r="N62" s="501"/>
    </row>
    <row r="63" spans="1:14" s="501" customFormat="1" x14ac:dyDescent="0.2">
      <c r="A63" s="1273" t="s">
        <v>100</v>
      </c>
      <c r="B63" s="503">
        <v>2560</v>
      </c>
      <c r="C63" s="1572"/>
      <c r="D63" s="1572"/>
      <c r="E63" s="1572">
        <v>21160</v>
      </c>
      <c r="F63" s="1572">
        <v>272730</v>
      </c>
      <c r="G63" s="1572">
        <v>21412</v>
      </c>
      <c r="H63" s="1572"/>
      <c r="I63" s="1573"/>
      <c r="J63" s="1573"/>
      <c r="K63" s="1677">
        <f t="shared" si="7"/>
        <v>315302</v>
      </c>
      <c r="L63" s="1572">
        <v>416356</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83565</v>
      </c>
      <c r="D65" s="1673">
        <f t="shared" ref="D65:L65" si="8">SUM(D59:D64)</f>
        <v>6744</v>
      </c>
      <c r="E65" s="1673">
        <f t="shared" si="8"/>
        <v>62043</v>
      </c>
      <c r="F65" s="1673">
        <f t="shared" si="8"/>
        <v>555169</v>
      </c>
      <c r="G65" s="1673">
        <f t="shared" si="8"/>
        <v>21412</v>
      </c>
      <c r="H65" s="1673">
        <f t="shared" si="8"/>
        <v>0</v>
      </c>
      <c r="I65" s="1673">
        <f t="shared" si="8"/>
        <v>0</v>
      </c>
      <c r="J65" s="1673">
        <f t="shared" si="8"/>
        <v>0</v>
      </c>
      <c r="K65" s="1673">
        <f t="shared" si="8"/>
        <v>728933</v>
      </c>
      <c r="L65" s="1673">
        <f t="shared" si="8"/>
        <v>939021</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v>190695</v>
      </c>
      <c r="F71" s="1572">
        <v>103083</v>
      </c>
      <c r="G71" s="1572">
        <v>15553</v>
      </c>
      <c r="H71" s="1572"/>
      <c r="I71" s="1573"/>
      <c r="J71" s="1573"/>
      <c r="K71" s="1677">
        <f>SUM(C71:J71)</f>
        <v>309331</v>
      </c>
      <c r="L71" s="1572">
        <v>395000</v>
      </c>
      <c r="M71" s="501"/>
      <c r="N71" s="501"/>
    </row>
    <row r="72" spans="1:14" s="321" customFormat="1" ht="12.75" customHeight="1" thickBot="1" x14ac:dyDescent="0.25">
      <c r="A72" s="1379" t="s">
        <v>37</v>
      </c>
      <c r="B72" s="1382" t="s">
        <v>36</v>
      </c>
      <c r="C72" s="1673">
        <f>SUM(C67:C71)</f>
        <v>0</v>
      </c>
      <c r="D72" s="1673">
        <f t="shared" ref="D72:K72" si="9">SUM(D67:D71)</f>
        <v>0</v>
      </c>
      <c r="E72" s="1673">
        <f t="shared" si="9"/>
        <v>190695</v>
      </c>
      <c r="F72" s="1673">
        <f t="shared" si="9"/>
        <v>103083</v>
      </c>
      <c r="G72" s="1673">
        <f t="shared" si="9"/>
        <v>15553</v>
      </c>
      <c r="H72" s="1673">
        <f t="shared" si="9"/>
        <v>0</v>
      </c>
      <c r="I72" s="1673">
        <f t="shared" si="9"/>
        <v>0</v>
      </c>
      <c r="J72" s="1673">
        <f t="shared" si="9"/>
        <v>0</v>
      </c>
      <c r="K72" s="1673">
        <f t="shared" si="9"/>
        <v>309331</v>
      </c>
      <c r="L72" s="1673">
        <f>SUM(L67:L71)</f>
        <v>395000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v>500</v>
      </c>
      <c r="M73" s="501"/>
      <c r="N73" s="501"/>
    </row>
    <row r="74" spans="1:14" ht="12.75" customHeight="1" thickTop="1" thickBot="1" x14ac:dyDescent="0.25">
      <c r="A74" s="1379" t="s">
        <v>806</v>
      </c>
      <c r="B74" s="1383">
        <v>2000</v>
      </c>
      <c r="C74" s="1680">
        <f>SUM(C42,C47,C53,C57,C65,C72,C73)</f>
        <v>906832</v>
      </c>
      <c r="D74" s="1680">
        <f t="shared" ref="D74:K74" si="10">SUM(D42,D47,D53,D57,D65,D72,D73)</f>
        <v>328664</v>
      </c>
      <c r="E74" s="1680">
        <f t="shared" si="10"/>
        <v>348858</v>
      </c>
      <c r="F74" s="1680">
        <f t="shared" si="10"/>
        <v>668775</v>
      </c>
      <c r="G74" s="1680">
        <f t="shared" si="10"/>
        <v>36965</v>
      </c>
      <c r="H74" s="1680">
        <f t="shared" si="10"/>
        <v>0</v>
      </c>
      <c r="I74" s="1680">
        <f t="shared" si="10"/>
        <v>0</v>
      </c>
      <c r="J74" s="1680">
        <f t="shared" si="10"/>
        <v>0</v>
      </c>
      <c r="K74" s="1680">
        <f t="shared" si="10"/>
        <v>2290094</v>
      </c>
      <c r="L74" s="1680">
        <f>SUM(L42,L47,L53,L57,L65,L72,L73)</f>
        <v>2818802</v>
      </c>
    </row>
    <row r="75" spans="1:14" s="254" customFormat="1" ht="15.75" customHeight="1" thickTop="1" thickBot="1" x14ac:dyDescent="0.25">
      <c r="A75" s="1347" t="s">
        <v>47</v>
      </c>
      <c r="B75" s="1348" t="s">
        <v>571</v>
      </c>
      <c r="C75" s="1648"/>
      <c r="D75" s="1648"/>
      <c r="E75" s="1648">
        <v>149</v>
      </c>
      <c r="F75" s="1648"/>
      <c r="G75" s="1648"/>
      <c r="H75" s="1648"/>
      <c r="I75" s="1626"/>
      <c r="J75" s="1626"/>
      <c r="K75" s="1673">
        <f>SUM(C75:J75)</f>
        <v>149</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v>888</v>
      </c>
    </row>
    <row r="79" spans="1:14" x14ac:dyDescent="0.2">
      <c r="A79" s="1273" t="s">
        <v>301</v>
      </c>
      <c r="B79" s="503">
        <v>4120</v>
      </c>
      <c r="C79" s="1672"/>
      <c r="D79" s="1672"/>
      <c r="E79" s="1572">
        <v>107203</v>
      </c>
      <c r="F79" s="1672"/>
      <c r="G79" s="1672"/>
      <c r="H79" s="1572">
        <v>26399</v>
      </c>
      <c r="I79" s="1581"/>
      <c r="J79" s="1581"/>
      <c r="K79" s="1671">
        <f t="shared" si="11"/>
        <v>133602</v>
      </c>
      <c r="L79" s="1572">
        <v>175000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107203</v>
      </c>
      <c r="F84" s="1672"/>
      <c r="G84" s="1672"/>
      <c r="H84" s="1673">
        <f>SUM(H78:H83)</f>
        <v>26399</v>
      </c>
      <c r="I84" s="1581"/>
      <c r="J84" s="1581"/>
      <c r="K84" s="1673">
        <f>SUM(K78:K83)</f>
        <v>133602</v>
      </c>
      <c r="L84" s="1673">
        <f>SUM(L78:L83)</f>
        <v>175888</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8789</v>
      </c>
      <c r="I86" s="1581"/>
      <c r="J86" s="1581"/>
      <c r="K86" s="1680">
        <f t="shared" ref="K86:K98" si="12">H86</f>
        <v>8789</v>
      </c>
      <c r="L86" s="1625">
        <v>15000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8789</v>
      </c>
      <c r="I92" s="1581"/>
      <c r="J92" s="1581"/>
      <c r="K92" s="1680">
        <f t="shared" si="12"/>
        <v>8789</v>
      </c>
      <c r="L92" s="1673">
        <f>SUM(L85:L91)</f>
        <v>15000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107203</v>
      </c>
      <c r="F102" s="1672"/>
      <c r="G102" s="1672"/>
      <c r="H102" s="1680">
        <f>SUM(H84,H92,H100,H101)</f>
        <v>35188</v>
      </c>
      <c r="I102" s="1581"/>
      <c r="J102" s="1581"/>
      <c r="K102" s="1680">
        <f>SUM(K84,K92,K100,K101)</f>
        <v>142391</v>
      </c>
      <c r="L102" s="1680">
        <f>SUM(L84,L92,L100,L101)</f>
        <v>190888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4682054</v>
      </c>
      <c r="D114" s="1673">
        <f t="shared" ref="D114:K114" si="13">SUM(D33,D74,D75,D102,D112,D113)</f>
        <v>896542</v>
      </c>
      <c r="E114" s="1673">
        <f t="shared" si="13"/>
        <v>653472</v>
      </c>
      <c r="F114" s="1673">
        <f t="shared" si="13"/>
        <v>797191</v>
      </c>
      <c r="G114" s="1673">
        <f t="shared" si="13"/>
        <v>75883</v>
      </c>
      <c r="H114" s="1673">
        <f>SUM(H33,H74,H75,H102,H112,H113)</f>
        <v>119456</v>
      </c>
      <c r="I114" s="1673">
        <f t="shared" si="13"/>
        <v>0</v>
      </c>
      <c r="J114" s="1673">
        <f t="shared" si="13"/>
        <v>0</v>
      </c>
      <c r="K114" s="1673">
        <f t="shared" si="13"/>
        <v>7224598</v>
      </c>
      <c r="L114" s="1673">
        <f>SUM(L33,L74,L75,L102,L112,L113)</f>
        <v>8151374</v>
      </c>
    </row>
    <row r="115" spans="1:14" ht="13.5" thickTop="1" x14ac:dyDescent="0.2">
      <c r="A115" s="2269" t="s">
        <v>989</v>
      </c>
      <c r="B115" s="2270"/>
      <c r="C115" s="1674"/>
      <c r="D115" s="1674"/>
      <c r="E115" s="1674"/>
      <c r="F115" s="1674"/>
      <c r="G115" s="1674"/>
      <c r="H115" s="1674"/>
      <c r="I115" s="1674"/>
      <c r="J115" s="1674"/>
      <c r="K115" s="1688">
        <f>'Revenues 9-14'!C268-'Expenditures 15-22'!K114</f>
        <v>1218133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4" t="s">
        <v>293</v>
      </c>
      <c r="B117" s="2275"/>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1961</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205274</v>
      </c>
      <c r="D124" s="1572">
        <v>52408</v>
      </c>
      <c r="E124" s="1572">
        <v>75906</v>
      </c>
      <c r="F124" s="1572">
        <v>16721</v>
      </c>
      <c r="G124" s="1572">
        <v>672803</v>
      </c>
      <c r="H124" s="1572"/>
      <c r="I124" s="1573"/>
      <c r="J124" s="1573"/>
      <c r="K124" s="1673">
        <f>SUM(C124:J124)</f>
        <v>1023112</v>
      </c>
      <c r="L124" s="1572">
        <v>1157500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205274</v>
      </c>
      <c r="D127" s="1673">
        <f t="shared" ref="D127:L127" si="14">SUM(D122:D126)</f>
        <v>52408</v>
      </c>
      <c r="E127" s="1673">
        <f t="shared" si="14"/>
        <v>75906</v>
      </c>
      <c r="F127" s="1673">
        <f t="shared" si="14"/>
        <v>16721</v>
      </c>
      <c r="G127" s="1673">
        <f t="shared" si="14"/>
        <v>672803</v>
      </c>
      <c r="H127" s="1673">
        <f t="shared" si="14"/>
        <v>0</v>
      </c>
      <c r="I127" s="1673">
        <f t="shared" si="14"/>
        <v>0</v>
      </c>
      <c r="J127" s="1673">
        <f t="shared" si="14"/>
        <v>0</v>
      </c>
      <c r="K127" s="1673">
        <f t="shared" si="14"/>
        <v>1023112</v>
      </c>
      <c r="L127" s="1673">
        <f t="shared" si="14"/>
        <v>1157500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205274</v>
      </c>
      <c r="D129" s="1680">
        <f t="shared" ref="D129:L129" si="15">SUM(D120,D127,D128)</f>
        <v>52408</v>
      </c>
      <c r="E129" s="1680">
        <f t="shared" si="15"/>
        <v>75906</v>
      </c>
      <c r="F129" s="1680">
        <f t="shared" si="15"/>
        <v>16721</v>
      </c>
      <c r="G129" s="1680">
        <f t="shared" si="15"/>
        <v>672803</v>
      </c>
      <c r="H129" s="1680">
        <f t="shared" si="15"/>
        <v>0</v>
      </c>
      <c r="I129" s="1680">
        <f t="shared" si="15"/>
        <v>0</v>
      </c>
      <c r="J129" s="1680">
        <f t="shared" si="15"/>
        <v>0</v>
      </c>
      <c r="K129" s="1680">
        <f t="shared" si="15"/>
        <v>1023112</v>
      </c>
      <c r="L129" s="1680">
        <f t="shared" si="15"/>
        <v>1157500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1814</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6" t="s">
        <v>616</v>
      </c>
      <c r="B151" s="2266"/>
      <c r="C151" s="1673">
        <f>SUM(C129,C130,C139,C149,C150)</f>
        <v>205274</v>
      </c>
      <c r="D151" s="1673">
        <f t="shared" ref="D151:K151" si="16">SUM(D129,D130,D139,D149,D150)</f>
        <v>52408</v>
      </c>
      <c r="E151" s="1673">
        <f t="shared" si="16"/>
        <v>75906</v>
      </c>
      <c r="F151" s="1673">
        <f t="shared" si="16"/>
        <v>16721</v>
      </c>
      <c r="G151" s="1673">
        <f t="shared" si="16"/>
        <v>672803</v>
      </c>
      <c r="H151" s="1673">
        <f t="shared" si="16"/>
        <v>0</v>
      </c>
      <c r="I151" s="1673">
        <f t="shared" si="16"/>
        <v>0</v>
      </c>
      <c r="J151" s="1673">
        <f t="shared" si="16"/>
        <v>0</v>
      </c>
      <c r="K151" s="1673">
        <f t="shared" si="16"/>
        <v>1023112</v>
      </c>
      <c r="L151" s="1673">
        <f>SUM(L129,L130,L139,L149,L150)</f>
        <v>1157500</v>
      </c>
    </row>
    <row r="152" spans="1:14" ht="12.75" customHeight="1" thickTop="1" x14ac:dyDescent="0.2">
      <c r="A152" s="2289" t="s">
        <v>1168</v>
      </c>
      <c r="B152" s="2290"/>
      <c r="C152" s="1674"/>
      <c r="D152" s="1674"/>
      <c r="E152" s="1674"/>
      <c r="F152" s="1674"/>
      <c r="G152" s="1674"/>
      <c r="H152" s="1674"/>
      <c r="I152" s="1674"/>
      <c r="J152" s="1672"/>
      <c r="K152" s="1688">
        <f>'Revenues 9-14'!D268-'Expenditures 15-22'!K151</f>
        <v>-529574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4" t="s">
        <v>617</v>
      </c>
      <c r="B154" s="2276"/>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1814</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1816</v>
      </c>
      <c r="C158" s="1672"/>
      <c r="D158" s="1672"/>
      <c r="E158" s="1672"/>
      <c r="F158" s="1672"/>
      <c r="G158" s="1672"/>
      <c r="H158" s="1573"/>
      <c r="I158" s="1672"/>
      <c r="J158" s="1672"/>
      <c r="K158" s="1671">
        <f>H158</f>
        <v>0</v>
      </c>
      <c r="L158" s="1573"/>
      <c r="M158" s="505"/>
      <c r="N158" s="505"/>
    </row>
    <row r="159" spans="1:14" s="506" customFormat="1" ht="12" x14ac:dyDescent="0.2">
      <c r="A159" s="1461" t="s">
        <v>1817</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1818</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309305</v>
      </c>
      <c r="I169" s="1672"/>
      <c r="J169" s="1672"/>
      <c r="K169" s="1671">
        <f>SUM(C169:H169)</f>
        <v>309305</v>
      </c>
      <c r="L169" s="1694">
        <v>232159</v>
      </c>
    </row>
    <row r="170" spans="1:14" ht="33.75" customHeight="1" x14ac:dyDescent="0.2">
      <c r="A170" s="543" t="s">
        <v>1651</v>
      </c>
      <c r="B170" s="545" t="s">
        <v>31</v>
      </c>
      <c r="C170" s="1672"/>
      <c r="D170" s="1672"/>
      <c r="E170" s="1672"/>
      <c r="F170" s="1672"/>
      <c r="G170" s="1672"/>
      <c r="H170" s="1645">
        <v>725000</v>
      </c>
      <c r="I170" s="1672"/>
      <c r="J170" s="1672"/>
      <c r="K170" s="1671">
        <f>SUM(C170:J170)</f>
        <v>725000</v>
      </c>
      <c r="L170" s="1645">
        <v>802147</v>
      </c>
    </row>
    <row r="171" spans="1:14" ht="15.75" customHeight="1" x14ac:dyDescent="0.2">
      <c r="A171" s="507" t="s">
        <v>761</v>
      </c>
      <c r="B171" s="546" t="s">
        <v>84</v>
      </c>
      <c r="C171" s="1672"/>
      <c r="D171" s="1672"/>
      <c r="E171" s="1572"/>
      <c r="F171" s="1672"/>
      <c r="G171" s="1672"/>
      <c r="H171" s="1645">
        <v>2750</v>
      </c>
      <c r="I171" s="1581"/>
      <c r="J171" s="1672"/>
      <c r="K171" s="1671">
        <f>SUM(C171:J171)</f>
        <v>2750</v>
      </c>
      <c r="L171" s="1645">
        <v>2300</v>
      </c>
    </row>
    <row r="172" spans="1:14" ht="12.75" customHeight="1" thickBot="1" x14ac:dyDescent="0.25">
      <c r="A172" s="1379" t="s">
        <v>633</v>
      </c>
      <c r="B172" s="1380" t="s">
        <v>489</v>
      </c>
      <c r="C172" s="1672"/>
      <c r="D172" s="1672"/>
      <c r="E172" s="1680">
        <f>SUM(E168,E169,E170,E171)</f>
        <v>0</v>
      </c>
      <c r="F172" s="1672"/>
      <c r="G172" s="1672"/>
      <c r="H172" s="1680">
        <f>SUM(H168,H169,H170,H171)</f>
        <v>1037055</v>
      </c>
      <c r="I172" s="1683"/>
      <c r="J172" s="1672"/>
      <c r="K172" s="1680">
        <f>SUM(K168,K169,K170,K171)</f>
        <v>1037055</v>
      </c>
      <c r="L172" s="1680">
        <f>SUM(L168,L169,L170,L171)</f>
        <v>1036606</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1037055</v>
      </c>
      <c r="I174" s="1683"/>
      <c r="J174" s="1672"/>
      <c r="K174" s="1680">
        <f>SUM(K160,K172,K173)</f>
        <v>1037055</v>
      </c>
      <c r="L174" s="1680">
        <f>SUM(L160,L172,L173)</f>
        <v>1036606</v>
      </c>
    </row>
    <row r="175" spans="1:14" ht="13.5" thickTop="1" x14ac:dyDescent="0.2">
      <c r="A175" s="2269" t="s">
        <v>989</v>
      </c>
      <c r="B175" s="2270"/>
      <c r="C175" s="1672"/>
      <c r="D175" s="1672"/>
      <c r="E175" s="1672"/>
      <c r="F175" s="1672"/>
      <c r="G175" s="1672"/>
      <c r="H175" s="1674"/>
      <c r="I175" s="1672"/>
      <c r="J175" s="1672"/>
      <c r="K175" s="1688">
        <f>'Revenues 9-14'!E268-'Expenditures 15-22'!K174</f>
        <v>-153908</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195914</v>
      </c>
      <c r="D182" s="1572">
        <v>12933</v>
      </c>
      <c r="E182" s="1572">
        <v>217095</v>
      </c>
      <c r="F182" s="1572">
        <v>68979</v>
      </c>
      <c r="G182" s="1572">
        <v>27988</v>
      </c>
      <c r="H182" s="1572"/>
      <c r="I182" s="1573"/>
      <c r="J182" s="1573"/>
      <c r="K182" s="1671">
        <f>SUM(C182:J182)</f>
        <v>522909</v>
      </c>
      <c r="L182" s="1572">
        <v>525859</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195914</v>
      </c>
      <c r="D184" s="1680">
        <f t="shared" ref="D184:J184" si="17">SUM(D180,D182,D183)</f>
        <v>12933</v>
      </c>
      <c r="E184" s="1680">
        <f t="shared" si="17"/>
        <v>217095</v>
      </c>
      <c r="F184" s="1680">
        <f t="shared" si="17"/>
        <v>68979</v>
      </c>
      <c r="G184" s="1680">
        <f t="shared" si="17"/>
        <v>27988</v>
      </c>
      <c r="H184" s="1680">
        <f t="shared" si="17"/>
        <v>0</v>
      </c>
      <c r="I184" s="1680">
        <f t="shared" si="17"/>
        <v>0</v>
      </c>
      <c r="J184" s="1680">
        <f t="shared" si="17"/>
        <v>0</v>
      </c>
      <c r="K184" s="1680">
        <f>SUM(K180,K182,K183)</f>
        <v>522909</v>
      </c>
      <c r="L184" s="1680">
        <f>SUM(L180, L182:L183)</f>
        <v>525859</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195914</v>
      </c>
      <c r="D210" s="1673">
        <f>SUM(D184,D185)</f>
        <v>12933</v>
      </c>
      <c r="E210" s="1673">
        <f>SUM(E184,E185,E196)</f>
        <v>217095</v>
      </c>
      <c r="F210" s="1673">
        <f>SUM(F184,F185)</f>
        <v>68979</v>
      </c>
      <c r="G210" s="1673">
        <f>SUM(G184,G185)</f>
        <v>27988</v>
      </c>
      <c r="H210" s="1673">
        <f>SUM(H184,H185,H196,H208,H209)</f>
        <v>0</v>
      </c>
      <c r="I210" s="1673">
        <f>SUM(I184,I185)</f>
        <v>0</v>
      </c>
      <c r="J210" s="1673">
        <f>SUM(J184,J185)</f>
        <v>0</v>
      </c>
      <c r="K210" s="1671">
        <f>SUM(K184,K185,K196,K208,K209)</f>
        <v>522909</v>
      </c>
      <c r="L210" s="1673">
        <f>SUM(L184,L185,L196,L208,L209)</f>
        <v>525859</v>
      </c>
    </row>
    <row r="211" spans="1:14" ht="13.5" thickTop="1" x14ac:dyDescent="0.2">
      <c r="A211" s="2269" t="s">
        <v>989</v>
      </c>
      <c r="B211" s="2270"/>
      <c r="C211" s="1674"/>
      <c r="D211" s="1674"/>
      <c r="E211" s="1674"/>
      <c r="F211" s="1674"/>
      <c r="G211" s="1674"/>
      <c r="H211" s="1674"/>
      <c r="I211" s="1672"/>
      <c r="J211" s="1672"/>
      <c r="K211" s="1688">
        <f>'Revenues 9-14'!F268-'Expenditures 15-22'!K210</f>
        <v>-123050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1" t="s">
        <v>959</v>
      </c>
      <c r="B213" s="2292"/>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46267</v>
      </c>
      <c r="E215" s="1672"/>
      <c r="F215" s="1672"/>
      <c r="G215" s="1672"/>
      <c r="H215" s="1672"/>
      <c r="I215" s="1672"/>
      <c r="J215" s="1672"/>
      <c r="K215" s="1671">
        <f>D215</f>
        <v>46267</v>
      </c>
      <c r="L215" s="1572">
        <v>40141</v>
      </c>
    </row>
    <row r="216" spans="1:14" x14ac:dyDescent="0.2">
      <c r="A216" s="1273" t="s">
        <v>162</v>
      </c>
      <c r="B216" s="503" t="s">
        <v>961</v>
      </c>
      <c r="C216" s="1672"/>
      <c r="D216" s="1573"/>
      <c r="E216" s="1672"/>
      <c r="F216" s="1672"/>
      <c r="G216" s="1672"/>
      <c r="H216" s="1672"/>
      <c r="I216" s="1672"/>
      <c r="J216" s="1672"/>
      <c r="K216" s="1671">
        <f t="shared" ref="K216:K228" si="19">D216</f>
        <v>0</v>
      </c>
      <c r="L216" s="1572">
        <v>12520</v>
      </c>
    </row>
    <row r="217" spans="1:14" x14ac:dyDescent="0.2">
      <c r="A217" s="1273" t="s">
        <v>163</v>
      </c>
      <c r="B217" s="503">
        <v>1200</v>
      </c>
      <c r="C217" s="1672"/>
      <c r="D217" s="1572">
        <v>63008</v>
      </c>
      <c r="E217" s="1672"/>
      <c r="F217" s="1672"/>
      <c r="G217" s="1672"/>
      <c r="H217" s="1672"/>
      <c r="I217" s="1672"/>
      <c r="J217" s="1672"/>
      <c r="K217" s="1671">
        <f t="shared" si="19"/>
        <v>63008</v>
      </c>
      <c r="L217" s="1572">
        <v>76400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c r="E219" s="1672"/>
      <c r="F219" s="1672"/>
      <c r="G219" s="1672"/>
      <c r="H219" s="1672"/>
      <c r="I219" s="1672"/>
      <c r="J219" s="1672"/>
      <c r="K219" s="1671">
        <f t="shared" si="19"/>
        <v>0</v>
      </c>
      <c r="L219" s="1572">
        <v>4100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741</v>
      </c>
      <c r="E222" s="1672"/>
      <c r="F222" s="1672"/>
      <c r="G222" s="1672"/>
      <c r="H222" s="1672"/>
      <c r="I222" s="1672"/>
      <c r="J222" s="1672"/>
      <c r="K222" s="1671">
        <f t="shared" si="19"/>
        <v>741</v>
      </c>
      <c r="L222" s="1572">
        <v>1200</v>
      </c>
    </row>
    <row r="223" spans="1:14" x14ac:dyDescent="0.2">
      <c r="A223" s="1273" t="s">
        <v>957</v>
      </c>
      <c r="B223" s="503">
        <v>1500</v>
      </c>
      <c r="C223" s="1672"/>
      <c r="D223" s="1572">
        <v>4628</v>
      </c>
      <c r="E223" s="1672"/>
      <c r="F223" s="1672"/>
      <c r="G223" s="1672"/>
      <c r="H223" s="1672"/>
      <c r="I223" s="1672"/>
      <c r="J223" s="1672"/>
      <c r="K223" s="1671">
        <f t="shared" si="19"/>
        <v>4628</v>
      </c>
      <c r="L223" s="1572">
        <v>5500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590</v>
      </c>
      <c r="E226" s="1672"/>
      <c r="F226" s="1672"/>
      <c r="G226" s="1672"/>
      <c r="H226" s="1672"/>
      <c r="I226" s="1672"/>
      <c r="J226" s="1672"/>
      <c r="K226" s="1671">
        <f t="shared" si="19"/>
        <v>590</v>
      </c>
      <c r="L226" s="1572">
        <v>850</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115234</v>
      </c>
      <c r="E229" s="1672"/>
      <c r="F229" s="1672"/>
      <c r="G229" s="1672"/>
      <c r="H229" s="1672"/>
      <c r="I229" s="1672"/>
      <c r="J229" s="1672"/>
      <c r="K229" s="1673">
        <f>SUM(K215:K228)</f>
        <v>115234</v>
      </c>
      <c r="L229" s="1673">
        <f>SUM(L215:L228)</f>
        <v>140711</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1212</v>
      </c>
      <c r="E232" s="1672"/>
      <c r="F232" s="1672"/>
      <c r="G232" s="1672"/>
      <c r="H232" s="1672"/>
      <c r="I232" s="1672"/>
      <c r="J232" s="1672"/>
      <c r="K232" s="1671">
        <f t="shared" ref="K232:K237" si="20">D232</f>
        <v>1212</v>
      </c>
      <c r="L232" s="1572">
        <v>1100</v>
      </c>
    </row>
    <row r="233" spans="1:12" x14ac:dyDescent="0.2">
      <c r="A233" s="1273" t="s">
        <v>1081</v>
      </c>
      <c r="B233" s="503">
        <v>2120</v>
      </c>
      <c r="C233" s="1672"/>
      <c r="D233" s="1572">
        <v>760</v>
      </c>
      <c r="E233" s="1672"/>
      <c r="F233" s="1672"/>
      <c r="G233" s="1672"/>
      <c r="H233" s="1672"/>
      <c r="I233" s="1672"/>
      <c r="J233" s="1672"/>
      <c r="K233" s="1671">
        <f t="shared" si="20"/>
        <v>760</v>
      </c>
      <c r="L233" s="1572">
        <v>850</v>
      </c>
    </row>
    <row r="234" spans="1:12" x14ac:dyDescent="0.2">
      <c r="A234" s="1273" t="s">
        <v>196</v>
      </c>
      <c r="B234" s="503">
        <v>2130</v>
      </c>
      <c r="C234" s="1672"/>
      <c r="D234" s="1572">
        <v>4718</v>
      </c>
      <c r="E234" s="1672"/>
      <c r="F234" s="1672"/>
      <c r="G234" s="1672"/>
      <c r="H234" s="1672"/>
      <c r="I234" s="1672"/>
      <c r="J234" s="1672"/>
      <c r="K234" s="1671">
        <f t="shared" si="20"/>
        <v>4718</v>
      </c>
      <c r="L234" s="1572">
        <v>5250</v>
      </c>
    </row>
    <row r="235" spans="1:12" x14ac:dyDescent="0.2">
      <c r="A235" s="1273" t="s">
        <v>197</v>
      </c>
      <c r="B235" s="503">
        <v>2140</v>
      </c>
      <c r="C235" s="1672"/>
      <c r="D235" s="1572">
        <v>684</v>
      </c>
      <c r="E235" s="1672"/>
      <c r="F235" s="1672"/>
      <c r="G235" s="1672"/>
      <c r="H235" s="1672"/>
      <c r="I235" s="1672"/>
      <c r="J235" s="1672"/>
      <c r="K235" s="1671">
        <f t="shared" si="20"/>
        <v>684</v>
      </c>
      <c r="L235" s="1572">
        <v>750</v>
      </c>
    </row>
    <row r="236" spans="1:12" x14ac:dyDescent="0.2">
      <c r="A236" s="1273" t="s">
        <v>198</v>
      </c>
      <c r="B236" s="503">
        <v>2150</v>
      </c>
      <c r="C236" s="1672"/>
      <c r="D236" s="1572">
        <v>1442</v>
      </c>
      <c r="E236" s="1672"/>
      <c r="F236" s="1672"/>
      <c r="G236" s="1672"/>
      <c r="H236" s="1672"/>
      <c r="I236" s="1672"/>
      <c r="J236" s="1672"/>
      <c r="K236" s="1671">
        <f t="shared" si="20"/>
        <v>1442</v>
      </c>
      <c r="L236" s="1572">
        <v>1600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8816</v>
      </c>
      <c r="E238" s="1672"/>
      <c r="F238" s="1672"/>
      <c r="G238" s="1672"/>
      <c r="H238" s="1672"/>
      <c r="I238" s="1672"/>
      <c r="J238" s="1672"/>
      <c r="K238" s="1673">
        <f>SUM(K232:K237)</f>
        <v>8816</v>
      </c>
      <c r="L238" s="1673">
        <f>SUM(L232:L237)</f>
        <v>9550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1696</v>
      </c>
      <c r="E240" s="1672"/>
      <c r="F240" s="1672"/>
      <c r="G240" s="1672"/>
      <c r="H240" s="1672"/>
      <c r="I240" s="1672"/>
      <c r="J240" s="1672"/>
      <c r="K240" s="1677">
        <f>D240</f>
        <v>1696</v>
      </c>
      <c r="L240" s="1585">
        <v>2395</v>
      </c>
    </row>
    <row r="241" spans="1:12" x14ac:dyDescent="0.2">
      <c r="A241" s="1273" t="s">
        <v>810</v>
      </c>
      <c r="B241" s="503">
        <v>2220</v>
      </c>
      <c r="C241" s="1672"/>
      <c r="D241" s="1572">
        <v>6117</v>
      </c>
      <c r="E241" s="1672"/>
      <c r="F241" s="1672"/>
      <c r="G241" s="1672"/>
      <c r="H241" s="1672"/>
      <c r="I241" s="1672"/>
      <c r="J241" s="1672"/>
      <c r="K241" s="1677">
        <f>D241</f>
        <v>6117</v>
      </c>
      <c r="L241" s="1572">
        <v>9900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7813</v>
      </c>
      <c r="E243" s="1672"/>
      <c r="F243" s="1672"/>
      <c r="G243" s="1672"/>
      <c r="H243" s="1672"/>
      <c r="I243" s="1672"/>
      <c r="J243" s="1672"/>
      <c r="K243" s="1673">
        <f>SUM(K240:K242)</f>
        <v>7813</v>
      </c>
      <c r="L243" s="1673">
        <f>SUM(L240:L242)</f>
        <v>12295</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875</v>
      </c>
      <c r="E245" s="1672"/>
      <c r="F245" s="1672"/>
      <c r="G245" s="1672"/>
      <c r="H245" s="1672"/>
      <c r="I245" s="1672"/>
      <c r="J245" s="1672"/>
      <c r="K245" s="1677">
        <f>D245</f>
        <v>875</v>
      </c>
      <c r="L245" s="1585"/>
    </row>
    <row r="246" spans="1:12" x14ac:dyDescent="0.2">
      <c r="A246" s="1273" t="s">
        <v>813</v>
      </c>
      <c r="B246" s="503">
        <v>2320</v>
      </c>
      <c r="C246" s="1672"/>
      <c r="D246" s="1572">
        <v>7619</v>
      </c>
      <c r="E246" s="1672"/>
      <c r="F246" s="1672"/>
      <c r="G246" s="1672"/>
      <c r="H246" s="1672"/>
      <c r="I246" s="1672"/>
      <c r="J246" s="1672"/>
      <c r="K246" s="1677">
        <f t="shared" ref="K246:K256" si="21">D246</f>
        <v>7619</v>
      </c>
      <c r="L246" s="1572">
        <v>10788</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1780</v>
      </c>
      <c r="B249" s="557" t="s">
        <v>280</v>
      </c>
      <c r="C249" s="1672"/>
      <c r="D249" s="1578"/>
      <c r="E249" s="1672"/>
      <c r="F249" s="1672"/>
      <c r="G249" s="1672"/>
      <c r="H249" s="1672"/>
      <c r="I249" s="1672"/>
      <c r="J249" s="1672"/>
      <c r="K249" s="1677">
        <f t="shared" si="21"/>
        <v>0</v>
      </c>
      <c r="L249" s="1572"/>
    </row>
    <row r="250" spans="1:12" x14ac:dyDescent="0.2">
      <c r="A250" s="1274" t="s">
        <v>1781</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v>5388</v>
      </c>
      <c r="E254" s="1672"/>
      <c r="F254" s="1672"/>
      <c r="G254" s="1672"/>
      <c r="H254" s="1672"/>
      <c r="I254" s="1672"/>
      <c r="J254" s="1672"/>
      <c r="K254" s="1677">
        <f t="shared" si="21"/>
        <v>5388</v>
      </c>
      <c r="L254" s="1572">
        <v>9600</v>
      </c>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13882</v>
      </c>
      <c r="E257" s="1672"/>
      <c r="F257" s="1672"/>
      <c r="G257" s="1672"/>
      <c r="H257" s="1672"/>
      <c r="I257" s="1672"/>
      <c r="J257" s="1672"/>
      <c r="K257" s="1673">
        <f>SUM(K245:K256)</f>
        <v>13882</v>
      </c>
      <c r="L257" s="1673">
        <f>SUM(L245:L256)</f>
        <v>20388</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26975</v>
      </c>
      <c r="E259" s="1672"/>
      <c r="F259" s="1672"/>
      <c r="G259" s="1672"/>
      <c r="H259" s="1672"/>
      <c r="I259" s="1672"/>
      <c r="J259" s="1672"/>
      <c r="K259" s="1677">
        <f>D259</f>
        <v>26975</v>
      </c>
      <c r="L259" s="1585">
        <v>31030</v>
      </c>
    </row>
    <row r="260" spans="1:14" s="493" customFormat="1" x14ac:dyDescent="0.2">
      <c r="A260" s="1291" t="s">
        <v>1779</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26975</v>
      </c>
      <c r="E261" s="1672"/>
      <c r="F261" s="1672"/>
      <c r="G261" s="1672"/>
      <c r="H261" s="1672"/>
      <c r="I261" s="1672"/>
      <c r="J261" s="1672"/>
      <c r="K261" s="1673">
        <f>SUM(K259:K260)</f>
        <v>26975</v>
      </c>
      <c r="L261" s="1673">
        <f>SUM(L259:L260)</f>
        <v>31030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16099</v>
      </c>
      <c r="E264" s="1672"/>
      <c r="F264" s="1672"/>
      <c r="G264" s="1672"/>
      <c r="H264" s="1672"/>
      <c r="I264" s="1672"/>
      <c r="J264" s="1672"/>
      <c r="K264" s="1677">
        <f t="shared" ref="K264:K269" si="22">D264</f>
        <v>16099</v>
      </c>
      <c r="L264" s="1572">
        <v>16500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57288</v>
      </c>
      <c r="E266" s="1672"/>
      <c r="F266" s="1672"/>
      <c r="G266" s="1672"/>
      <c r="H266" s="1672"/>
      <c r="I266" s="1672"/>
      <c r="J266" s="1672"/>
      <c r="K266" s="1677">
        <f t="shared" si="22"/>
        <v>57288</v>
      </c>
      <c r="L266" s="1572">
        <v>64250</v>
      </c>
    </row>
    <row r="267" spans="1:14" x14ac:dyDescent="0.2">
      <c r="A267" s="1273" t="s">
        <v>947</v>
      </c>
      <c r="B267" s="503">
        <v>2550</v>
      </c>
      <c r="C267" s="1672"/>
      <c r="D267" s="1572">
        <v>33820</v>
      </c>
      <c r="E267" s="1672"/>
      <c r="F267" s="1672"/>
      <c r="G267" s="1672"/>
      <c r="H267" s="1672"/>
      <c r="I267" s="1672"/>
      <c r="J267" s="1672"/>
      <c r="K267" s="1677">
        <f t="shared" si="22"/>
        <v>33820</v>
      </c>
      <c r="L267" s="1572">
        <v>35000</v>
      </c>
    </row>
    <row r="268" spans="1:14" x14ac:dyDescent="0.2">
      <c r="A268" s="1273" t="s">
        <v>100</v>
      </c>
      <c r="B268" s="503">
        <v>2560</v>
      </c>
      <c r="C268" s="1672"/>
      <c r="D268" s="1572"/>
      <c r="E268" s="1672"/>
      <c r="F268" s="1672"/>
      <c r="G268" s="1672"/>
      <c r="H268" s="1672"/>
      <c r="I268" s="1672"/>
      <c r="J268" s="1672"/>
      <c r="K268" s="1677">
        <f t="shared" si="22"/>
        <v>0</v>
      </c>
      <c r="L268" s="1572"/>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107207</v>
      </c>
      <c r="E270" s="1672"/>
      <c r="F270" s="1672"/>
      <c r="G270" s="1672"/>
      <c r="H270" s="1672"/>
      <c r="I270" s="1672"/>
      <c r="J270" s="1672"/>
      <c r="K270" s="1673">
        <f>SUM(K263:K269)</f>
        <v>107207</v>
      </c>
      <c r="L270" s="1673">
        <f>SUM(L263:L269)</f>
        <v>115750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164693</v>
      </c>
      <c r="E279" s="1672"/>
      <c r="F279" s="1672"/>
      <c r="G279" s="1672"/>
      <c r="H279" s="1672"/>
      <c r="I279" s="1672"/>
      <c r="J279" s="1672"/>
      <c r="K279" s="1680">
        <f>SUM(K238,K243,K257,K261,K270,K277,K278)</f>
        <v>164693</v>
      </c>
      <c r="L279" s="1680">
        <f>SUM(L238,L243,L257,L261,L270,L277,L278)</f>
        <v>189013</v>
      </c>
    </row>
    <row r="280" spans="1:12" ht="15.75" customHeight="1" thickTop="1" thickBot="1" x14ac:dyDescent="0.25">
      <c r="A280" s="1361" t="s">
        <v>870</v>
      </c>
      <c r="B280" s="1350">
        <v>3000</v>
      </c>
      <c r="C280" s="1672"/>
      <c r="D280" s="1650">
        <v>18226</v>
      </c>
      <c r="E280" s="1672"/>
      <c r="F280" s="1672"/>
      <c r="G280" s="1672"/>
      <c r="H280" s="1672"/>
      <c r="I280" s="1672"/>
      <c r="J280" s="1672"/>
      <c r="K280" s="1686">
        <f>D280</f>
        <v>18226</v>
      </c>
      <c r="L280" s="1650">
        <v>18891</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1814</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7" t="s">
        <v>502</v>
      </c>
      <c r="B295" s="2288"/>
      <c r="C295" s="1672"/>
      <c r="D295" s="1673">
        <f>SUM(D229,D279,D280,D285)</f>
        <v>298153</v>
      </c>
      <c r="E295" s="1672"/>
      <c r="F295" s="1672"/>
      <c r="G295" s="1672"/>
      <c r="H295" s="1673">
        <f>H293</f>
        <v>0</v>
      </c>
      <c r="I295" s="1672"/>
      <c r="J295" s="1672"/>
      <c r="K295" s="1673">
        <f>SUM(K229,K279,K280,K285,K293,K294)</f>
        <v>298153</v>
      </c>
      <c r="L295" s="1673">
        <f>SUM(L229,L279,L280,L285,L293,L294)</f>
        <v>348615</v>
      </c>
    </row>
    <row r="296" spans="1:14" ht="13.5" thickTop="1" x14ac:dyDescent="0.2">
      <c r="A296" s="2269" t="s">
        <v>989</v>
      </c>
      <c r="B296" s="2270"/>
      <c r="C296" s="1672"/>
      <c r="D296" s="1674"/>
      <c r="E296" s="1672"/>
      <c r="F296" s="1672"/>
      <c r="G296" s="1672"/>
      <c r="H296" s="1706"/>
      <c r="I296" s="1672"/>
      <c r="J296" s="1672"/>
      <c r="K296" s="1688">
        <f>'Revenues 9-14'!G268-'Expenditures 15-22'!K295</f>
        <v>196936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9" t="s">
        <v>142</v>
      </c>
      <c r="B298" s="2273"/>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4" t="s">
        <v>275</v>
      </c>
      <c r="B312" s="2285"/>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80" t="s">
        <v>989</v>
      </c>
      <c r="B313" s="2281"/>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3" t="s">
        <v>148</v>
      </c>
      <c r="B315" s="229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5" t="s">
        <v>892</v>
      </c>
      <c r="B317" s="2294"/>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1780</v>
      </c>
      <c r="B320" s="568" t="s">
        <v>280</v>
      </c>
      <c r="C320" s="1573"/>
      <c r="D320" s="1573"/>
      <c r="E320" s="1573">
        <v>34479</v>
      </c>
      <c r="F320" s="1573"/>
      <c r="G320" s="1573"/>
      <c r="H320" s="1573"/>
      <c r="I320" s="1573"/>
      <c r="J320" s="1573"/>
      <c r="K320" s="1671">
        <f t="shared" ref="K320:K327" si="24">SUM(C320:J320)</f>
        <v>34479</v>
      </c>
      <c r="L320" s="1573">
        <v>35000</v>
      </c>
      <c r="M320" s="539"/>
      <c r="N320" s="539"/>
    </row>
    <row r="321" spans="1:14" s="548" customFormat="1" x14ac:dyDescent="0.2">
      <c r="A321" s="1288" t="s">
        <v>297</v>
      </c>
      <c r="B321" s="567" t="s">
        <v>281</v>
      </c>
      <c r="C321" s="1573"/>
      <c r="D321" s="1573"/>
      <c r="E321" s="1573">
        <v>402</v>
      </c>
      <c r="F321" s="1573"/>
      <c r="G321" s="1573"/>
      <c r="H321" s="1573"/>
      <c r="I321" s="1573"/>
      <c r="J321" s="1573"/>
      <c r="K321" s="1671">
        <f t="shared" si="24"/>
        <v>402</v>
      </c>
      <c r="L321" s="1573">
        <v>6000</v>
      </c>
      <c r="M321" s="539"/>
      <c r="N321" s="539"/>
    </row>
    <row r="322" spans="1:14" s="548" customFormat="1" x14ac:dyDescent="0.2">
      <c r="A322" s="1288" t="s">
        <v>236</v>
      </c>
      <c r="B322" s="567" t="s">
        <v>282</v>
      </c>
      <c r="C322" s="1573"/>
      <c r="D322" s="1573"/>
      <c r="E322" s="1573">
        <v>50315</v>
      </c>
      <c r="F322" s="1573"/>
      <c r="G322" s="1573"/>
      <c r="H322" s="1573"/>
      <c r="I322" s="1573"/>
      <c r="J322" s="1573"/>
      <c r="K322" s="1671">
        <f t="shared" si="24"/>
        <v>50315</v>
      </c>
      <c r="L322" s="1573">
        <v>50000</v>
      </c>
      <c r="M322" s="539"/>
      <c r="N322" s="539"/>
    </row>
    <row r="323" spans="1:14" s="548" customFormat="1" x14ac:dyDescent="0.2">
      <c r="A323" s="1288" t="s">
        <v>697</v>
      </c>
      <c r="B323" s="567" t="s">
        <v>283</v>
      </c>
      <c r="C323" s="1573"/>
      <c r="D323" s="1573"/>
      <c r="E323" s="1573">
        <v>71677</v>
      </c>
      <c r="F323" s="1573">
        <v>692</v>
      </c>
      <c r="G323" s="1573"/>
      <c r="H323" s="1573"/>
      <c r="I323" s="1573"/>
      <c r="J323" s="1573"/>
      <c r="K323" s="1671">
        <f t="shared" si="24"/>
        <v>72369</v>
      </c>
      <c r="L323" s="1573">
        <v>67000</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696734</v>
      </c>
      <c r="D325" s="1573">
        <v>50</v>
      </c>
      <c r="E325" s="1573"/>
      <c r="F325" s="1573"/>
      <c r="G325" s="1573"/>
      <c r="H325" s="1573"/>
      <c r="I325" s="1573"/>
      <c r="J325" s="1573"/>
      <c r="K325" s="1671">
        <f t="shared" si="24"/>
        <v>696784</v>
      </c>
      <c r="L325" s="1573">
        <v>806100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696734</v>
      </c>
      <c r="D330" s="1673">
        <f t="shared" ref="D330:J330" si="25">SUM(D319:D329)</f>
        <v>50</v>
      </c>
      <c r="E330" s="1673">
        <f t="shared" si="25"/>
        <v>156873</v>
      </c>
      <c r="F330" s="1673">
        <f t="shared" si="25"/>
        <v>692</v>
      </c>
      <c r="G330" s="1673">
        <f t="shared" si="25"/>
        <v>0</v>
      </c>
      <c r="H330" s="1673">
        <f t="shared" si="25"/>
        <v>0</v>
      </c>
      <c r="I330" s="1673">
        <f t="shared" si="25"/>
        <v>0</v>
      </c>
      <c r="J330" s="1673">
        <f t="shared" si="25"/>
        <v>0</v>
      </c>
      <c r="K330" s="1673">
        <f>SUM(K319:K329)</f>
        <v>854349</v>
      </c>
      <c r="L330" s="1673">
        <f>SUM(L319:L329)</f>
        <v>964100</v>
      </c>
      <c r="M330" s="539"/>
      <c r="N330" s="539"/>
    </row>
    <row r="331" spans="1:14" s="548" customFormat="1" ht="12.75" customHeight="1" thickTop="1" x14ac:dyDescent="0.2">
      <c r="A331" s="1466" t="s">
        <v>1820</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1814</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1816</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1821</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696734</v>
      </c>
      <c r="D342" s="1673">
        <f>SUM(D330)</f>
        <v>50</v>
      </c>
      <c r="E342" s="1673">
        <f>SUM(E330)</f>
        <v>156873</v>
      </c>
      <c r="F342" s="1673">
        <f>SUM(F330)</f>
        <v>692</v>
      </c>
      <c r="G342" s="1673">
        <f>SUM(G330)</f>
        <v>0</v>
      </c>
      <c r="H342" s="1673">
        <f>SUM(H330,H334,H340)</f>
        <v>0</v>
      </c>
      <c r="I342" s="1673">
        <f>SUM(I330)</f>
        <v>0</v>
      </c>
      <c r="J342" s="1673">
        <f>SUM(J330)</f>
        <v>0</v>
      </c>
      <c r="K342" s="1673">
        <f>SUM(K330,K334,K340)</f>
        <v>854349</v>
      </c>
      <c r="L342" s="1680">
        <f>SUM(L330,L334,L340,L341)</f>
        <v>964100</v>
      </c>
    </row>
    <row r="343" spans="1:14" ht="12.75" customHeight="1" thickTop="1" x14ac:dyDescent="0.2">
      <c r="A343" s="2282" t="s">
        <v>989</v>
      </c>
      <c r="B343" s="2283"/>
      <c r="C343" s="1672"/>
      <c r="D343" s="1672"/>
      <c r="E343" s="1672"/>
      <c r="F343" s="1672"/>
      <c r="G343" s="1672"/>
      <c r="H343" s="1672"/>
      <c r="I343" s="1672"/>
      <c r="J343" s="1672"/>
      <c r="K343" s="1688">
        <f>'Revenues 9-14'!J268-'Expenditures 15-22'!K342</f>
        <v>227245</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2" t="s">
        <v>960</v>
      </c>
      <c r="B345" s="2273"/>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14881</v>
      </c>
      <c r="F348" s="1572"/>
      <c r="G348" s="1572">
        <v>2198725</v>
      </c>
      <c r="H348" s="1572"/>
      <c r="I348" s="1573"/>
      <c r="J348" s="1573"/>
      <c r="K348" s="1671">
        <f>SUM(C348:J348)</f>
        <v>2213606</v>
      </c>
      <c r="L348" s="1572">
        <v>2259748</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14881</v>
      </c>
      <c r="F350" s="1673">
        <f t="shared" si="26"/>
        <v>0</v>
      </c>
      <c r="G350" s="1673">
        <f t="shared" si="26"/>
        <v>2198725</v>
      </c>
      <c r="H350" s="1673">
        <f t="shared" si="26"/>
        <v>0</v>
      </c>
      <c r="I350" s="1673">
        <f t="shared" si="26"/>
        <v>0</v>
      </c>
      <c r="J350" s="1673">
        <f t="shared" si="26"/>
        <v>0</v>
      </c>
      <c r="K350" s="1673">
        <f t="shared" si="26"/>
        <v>2213606</v>
      </c>
      <c r="L350" s="1673">
        <f t="shared" si="26"/>
        <v>2259748</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14881</v>
      </c>
      <c r="F352" s="1673">
        <f t="shared" si="27"/>
        <v>0</v>
      </c>
      <c r="G352" s="1673">
        <f t="shared" si="27"/>
        <v>2198725</v>
      </c>
      <c r="H352" s="1673">
        <f t="shared" si="27"/>
        <v>0</v>
      </c>
      <c r="I352" s="1673">
        <f t="shared" si="27"/>
        <v>0</v>
      </c>
      <c r="J352" s="1673">
        <f t="shared" si="27"/>
        <v>0</v>
      </c>
      <c r="K352" s="1673">
        <f t="shared" si="27"/>
        <v>2213606</v>
      </c>
      <c r="L352" s="1673">
        <f t="shared" si="27"/>
        <v>2259748</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row>
    <row r="355" spans="1:14" ht="12.75" customHeight="1" x14ac:dyDescent="0.2">
      <c r="A355" s="1282" t="s">
        <v>1823</v>
      </c>
      <c r="B355" s="562" t="s">
        <v>1816</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14881</v>
      </c>
      <c r="F367" s="1673">
        <f t="shared" si="28"/>
        <v>0</v>
      </c>
      <c r="G367" s="1673">
        <f t="shared" si="28"/>
        <v>2198725</v>
      </c>
      <c r="H367" s="1673">
        <f t="shared" si="28"/>
        <v>0</v>
      </c>
      <c r="I367" s="1673">
        <f t="shared" si="28"/>
        <v>0</v>
      </c>
      <c r="J367" s="1673">
        <f t="shared" si="28"/>
        <v>0</v>
      </c>
      <c r="K367" s="1673">
        <f t="shared" si="28"/>
        <v>2213606</v>
      </c>
      <c r="L367" s="1673">
        <f t="shared" si="28"/>
        <v>2259748</v>
      </c>
    </row>
    <row r="368" spans="1:14" ht="13.5" thickTop="1" x14ac:dyDescent="0.2">
      <c r="A368" s="2269" t="s">
        <v>989</v>
      </c>
      <c r="B368" s="2270"/>
      <c r="C368" s="1693"/>
      <c r="D368" s="1693"/>
      <c r="E368" s="1676"/>
      <c r="F368" s="1676"/>
      <c r="G368" s="1676"/>
      <c r="H368" s="1676"/>
      <c r="I368" s="1676"/>
      <c r="J368" s="1675"/>
      <c r="K368" s="1671">
        <f>'Revenues 9-14'!K268-'Expenditures 15-22'!K367</f>
        <v>-2168205</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1"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microsoft.com/office/2006/documentManagement/types"/>
    <ds:schemaRef ds:uri="d21dc803-237d-4c68-8692-8d731fd29118"/>
    <ds:schemaRef ds:uri="http://www.w3.org/XML/1998/namespace"/>
    <ds:schemaRef ds:uri="http://purl.org/dc/elements/1.1/"/>
    <ds:schemaRef ds:uri="http://schemas.openxmlformats.org/package/2006/metadata/core-properties"/>
    <ds:schemaRef ds:uri="http://schemas.microsoft.com/office/2006/metadata/properties"/>
    <ds:schemaRef ds:uri="6ce3111e-7420-4802-b50a-75d4e9a0b980"/>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2020-10-05T18:38:44Z</cp:lastPrinted>
  <dcterms:created xsi:type="dcterms:W3CDTF">2003-10-29T19:06:34Z</dcterms:created>
  <dcterms:modified xsi:type="dcterms:W3CDTF">2020-10-27T16:18:02Z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