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DC7267F-C427-42F6-A2A3-B8EE785D855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8"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'SEFA NOTES'!$A$1:$F$52</definedName>
    <definedName name="_xlnm.Print_Area" localSheetId="26">'SEFA Reconcile'!$A$1:$E$49</definedName>
    <definedName name="_xlnm.Print_Area" localSheetId="33">'SF&amp;QC Sec-1'!$A$1:$J$63</definedName>
    <definedName name="_xlnm.Print_Area" localSheetId="35">'SF&amp;QC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14">#REF!</definedName>
    <definedName name="SCHADDRS" localSheetId="21">#REF!</definedName>
    <definedName name="SCHADDRS" localSheetId="4">#REF!</definedName>
    <definedName name="SCHADDRS" localSheetId="32">#REF!</definedName>
    <definedName name="SCHADDRS" localSheetId="26">#REF!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14">#REF!</definedName>
    <definedName name="SCHCTY" localSheetId="21">#REF!</definedName>
    <definedName name="SCHCTY" localSheetId="4">#REF!</definedName>
    <definedName name="SCHCTY" localSheetId="32">#REF!</definedName>
    <definedName name="SCHCTY" localSheetId="26">#REF!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14">#REF!</definedName>
    <definedName name="SCHNMBR" localSheetId="21">#REF!</definedName>
    <definedName name="SCHNMBR" localSheetId="4">#REF!</definedName>
    <definedName name="SCHNMBR" localSheetId="32">#REF!</definedName>
    <definedName name="SCHNMBR" localSheetId="26">#REF!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14">#REF!</definedName>
    <definedName name="SCHNME" localSheetId="21">#REF!</definedName>
    <definedName name="SCHNME" localSheetId="4">#REF!</definedName>
    <definedName name="SCHNME" localSheetId="32">#REF!</definedName>
    <definedName name="SCHNME" localSheetId="26">#REF!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14">#REF!</definedName>
    <definedName name="SUPT" localSheetId="21">#REF!</definedName>
    <definedName name="SUPT" localSheetId="4">#REF!</definedName>
    <definedName name="SUPT" localSheetId="32">#REF!</definedName>
    <definedName name="SUPT" localSheetId="26">#REF!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10" i="12" l="1"/>
  <c r="D45" i="174" l="1"/>
  <c r="G41" i="174"/>
  <c r="G40" i="174"/>
  <c r="G39" i="174"/>
  <c r="C34" i="173"/>
  <c r="C33" i="173"/>
  <c r="M27" i="187"/>
  <c r="M17" i="188"/>
  <c r="K27" i="187"/>
  <c r="J27" i="187"/>
  <c r="I27" i="187"/>
  <c r="I17" i="188" s="1"/>
  <c r="H27" i="187"/>
  <c r="G27" i="187"/>
  <c r="F27" i="187"/>
  <c r="E27" i="187"/>
  <c r="E17" i="188" s="1"/>
  <c r="E27" i="188" s="1"/>
  <c r="F20" i="179"/>
  <c r="F27" i="179" s="1"/>
  <c r="F13" i="188" s="1"/>
  <c r="F27" i="188" s="1"/>
  <c r="D35" i="171" s="1"/>
  <c r="E11" i="108"/>
  <c r="M15" i="188"/>
  <c r="M13" i="188"/>
  <c r="K17" i="188"/>
  <c r="J17" i="188"/>
  <c r="H17" i="188"/>
  <c r="G17" i="188"/>
  <c r="F17" i="188"/>
  <c r="K15" i="188"/>
  <c r="J15" i="188"/>
  <c r="I15" i="188"/>
  <c r="H15" i="188"/>
  <c r="G15" i="188"/>
  <c r="F15" i="188"/>
  <c r="K13" i="188"/>
  <c r="K27" i="188" s="1"/>
  <c r="J13" i="188"/>
  <c r="J27" i="188" s="1"/>
  <c r="I13" i="188"/>
  <c r="H13" i="188"/>
  <c r="H27" i="188" s="1"/>
  <c r="G13" i="188"/>
  <c r="L13" i="188" s="1"/>
  <c r="M18" i="187"/>
  <c r="K18" i="187"/>
  <c r="J18" i="187"/>
  <c r="I18" i="187"/>
  <c r="H18" i="187"/>
  <c r="G18" i="187"/>
  <c r="F18" i="187"/>
  <c r="E18" i="187"/>
  <c r="E15" i="188"/>
  <c r="M27" i="186"/>
  <c r="K27" i="186"/>
  <c r="J27" i="186"/>
  <c r="I27" i="186"/>
  <c r="L27" i="186" s="1"/>
  <c r="H27" i="186"/>
  <c r="G27" i="186"/>
  <c r="F27" i="186"/>
  <c r="E27" i="186"/>
  <c r="M27" i="185"/>
  <c r="K27" i="185"/>
  <c r="J27" i="185"/>
  <c r="I27" i="185"/>
  <c r="L27" i="185" s="1"/>
  <c r="H27" i="185"/>
  <c r="G27" i="185"/>
  <c r="F27" i="185"/>
  <c r="E27" i="185"/>
  <c r="E13" i="188"/>
  <c r="M27" i="179"/>
  <c r="K27" i="179"/>
  <c r="J27" i="179"/>
  <c r="I27" i="179"/>
  <c r="H27" i="179"/>
  <c r="G27" i="179"/>
  <c r="E27" i="179"/>
  <c r="M20" i="179"/>
  <c r="K20" i="179"/>
  <c r="J20" i="179"/>
  <c r="I20" i="179"/>
  <c r="H20" i="179"/>
  <c r="G20" i="179"/>
  <c r="E20" i="179"/>
  <c r="L26" i="188"/>
  <c r="L25" i="188"/>
  <c r="L24" i="188"/>
  <c r="L23" i="188"/>
  <c r="L22" i="188"/>
  <c r="L21" i="188"/>
  <c r="L20" i="188"/>
  <c r="L19" i="188"/>
  <c r="L18" i="188"/>
  <c r="L16" i="188"/>
  <c r="L15" i="188"/>
  <c r="L14" i="188"/>
  <c r="L12" i="188"/>
  <c r="L11" i="188"/>
  <c r="I9" i="188"/>
  <c r="G9" i="188"/>
  <c r="F9" i="188"/>
  <c r="E9" i="188"/>
  <c r="J8" i="188"/>
  <c r="H8" i="188"/>
  <c r="B4" i="188"/>
  <c r="L27" i="187"/>
  <c r="L26" i="187"/>
  <c r="L25" i="187"/>
  <c r="L24" i="187"/>
  <c r="L23" i="187"/>
  <c r="L22" i="187"/>
  <c r="L21" i="187"/>
  <c r="L20" i="187"/>
  <c r="L19" i="187"/>
  <c r="L18" i="187"/>
  <c r="L17" i="187"/>
  <c r="L16" i="187"/>
  <c r="L15" i="187"/>
  <c r="L14" i="187"/>
  <c r="L13" i="187"/>
  <c r="L12" i="187"/>
  <c r="L11" i="187"/>
  <c r="I9" i="187"/>
  <c r="G9" i="187"/>
  <c r="F9" i="187"/>
  <c r="E9" i="187"/>
  <c r="J8" i="187"/>
  <c r="H8" i="187"/>
  <c r="B4" i="187"/>
  <c r="L26" i="186"/>
  <c r="L25" i="186"/>
  <c r="L24" i="186"/>
  <c r="L23" i="186"/>
  <c r="L22" i="186"/>
  <c r="L21" i="186"/>
  <c r="L20" i="186"/>
  <c r="L19" i="186"/>
  <c r="L18" i="186"/>
  <c r="L17" i="186"/>
  <c r="L16" i="186"/>
  <c r="L15" i="186"/>
  <c r="L14" i="186"/>
  <c r="L13" i="186"/>
  <c r="L12" i="186"/>
  <c r="L11" i="186"/>
  <c r="I9" i="186"/>
  <c r="G9" i="186"/>
  <c r="F9" i="186"/>
  <c r="E9" i="186"/>
  <c r="J8" i="186"/>
  <c r="H8" i="186"/>
  <c r="B4" i="186"/>
  <c r="L26" i="185"/>
  <c r="L25" i="185"/>
  <c r="L24" i="185"/>
  <c r="L23" i="185"/>
  <c r="L22" i="185"/>
  <c r="L21" i="185"/>
  <c r="L20" i="185"/>
  <c r="L19" i="185"/>
  <c r="L18" i="185"/>
  <c r="L17" i="185"/>
  <c r="L16" i="185"/>
  <c r="L15" i="185"/>
  <c r="L14" i="185"/>
  <c r="L13" i="185"/>
  <c r="L12" i="185"/>
  <c r="L11" i="185"/>
  <c r="I9" i="185"/>
  <c r="G9" i="185"/>
  <c r="F9" i="185"/>
  <c r="E9" i="185"/>
  <c r="J8" i="185"/>
  <c r="H8" i="185"/>
  <c r="B4" i="185"/>
  <c r="M27" i="188" l="1"/>
  <c r="L17" i="188"/>
  <c r="I27" i="188"/>
  <c r="G27" i="188"/>
  <c r="L27" i="188" s="1"/>
  <c r="L4" i="3" l="1"/>
  <c r="C200" i="5"/>
  <c r="C27" i="3"/>
  <c r="H4" i="3"/>
  <c r="H32" i="8" l="1"/>
  <c r="M19" i="3"/>
  <c r="D12" i="11"/>
  <c r="G301" i="29"/>
  <c r="H33" i="4"/>
  <c r="D215" i="29"/>
  <c r="D269" i="29"/>
  <c r="D267" i="29"/>
  <c r="D266" i="29"/>
  <c r="D264" i="29"/>
  <c r="D246" i="29"/>
  <c r="D245" i="29"/>
  <c r="D234" i="29"/>
  <c r="D223" i="29"/>
  <c r="D268" i="29"/>
  <c r="D259" i="29"/>
  <c r="D233" i="29"/>
  <c r="D217" i="29"/>
  <c r="D278" i="29"/>
  <c r="D240" i="29"/>
  <c r="D280" i="29"/>
  <c r="D216" i="29"/>
  <c r="F182" i="29"/>
  <c r="E182" i="29"/>
  <c r="D182" i="29"/>
  <c r="C182" i="29"/>
  <c r="H170" i="29"/>
  <c r="H169" i="29"/>
  <c r="C124" i="29" l="1"/>
  <c r="G124" i="29"/>
  <c r="F124" i="29"/>
  <c r="E124" i="29"/>
  <c r="D124" i="29"/>
  <c r="C5" i="29"/>
  <c r="F45" i="29"/>
  <c r="H14" i="29"/>
  <c r="D14" i="29"/>
  <c r="D5" i="29"/>
  <c r="E63" i="29" l="1"/>
  <c r="F63" i="29"/>
  <c r="E5" i="29"/>
  <c r="F5" i="29"/>
  <c r="C14" i="29"/>
  <c r="E83" i="29"/>
  <c r="E81" i="29"/>
  <c r="E79" i="29"/>
  <c r="D60" i="29"/>
  <c r="C60" i="29"/>
  <c r="F50" i="29"/>
  <c r="E50" i="29"/>
  <c r="D50" i="29"/>
  <c r="C50" i="29"/>
  <c r="E49" i="29"/>
  <c r="F44" i="29"/>
  <c r="E44" i="29"/>
  <c r="E38" i="29"/>
  <c r="D38" i="29"/>
  <c r="F14" i="29"/>
  <c r="E14" i="29"/>
  <c r="G5" i="29"/>
  <c r="D63" i="29"/>
  <c r="C63" i="29"/>
  <c r="H55" i="29"/>
  <c r="F55" i="29"/>
  <c r="E55" i="29"/>
  <c r="D55" i="29"/>
  <c r="C55" i="29"/>
  <c r="E37" i="29"/>
  <c r="D37" i="29"/>
  <c r="C37" i="29"/>
  <c r="F17" i="29"/>
  <c r="D17" i="29"/>
  <c r="F8" i="29"/>
  <c r="D8" i="29"/>
  <c r="C8" i="29"/>
  <c r="H5" i="29"/>
  <c r="C73" i="29"/>
  <c r="D45" i="29"/>
  <c r="D44" i="29"/>
  <c r="C44" i="29"/>
  <c r="F75" i="29"/>
  <c r="E75" i="29"/>
  <c r="D75" i="29"/>
  <c r="C75" i="29"/>
  <c r="D61" i="29"/>
  <c r="D7" i="29"/>
  <c r="C7" i="29"/>
  <c r="C79" i="5"/>
  <c r="C106" i="5"/>
  <c r="C65" i="5"/>
  <c r="C84" i="5"/>
  <c r="C78" i="5"/>
  <c r="C77" i="5"/>
  <c r="C69" i="5"/>
  <c r="C159" i="5"/>
  <c r="G4"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B7883" i="106"/>
  <c r="B7882" i="106"/>
  <c r="D7882" i="106" s="1"/>
  <c r="D7884" i="106"/>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1" i="186"/>
  <c r="B1" i="185"/>
  <c r="B2" i="179"/>
  <c r="B2" i="186"/>
  <c r="B2" i="188"/>
  <c r="B2" i="187"/>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C129" i="29" l="1"/>
  <c r="B7705" i="106"/>
  <c r="D7705" i="106" s="1"/>
  <c r="E67" i="184"/>
  <c r="N67" i="184" s="1"/>
  <c r="B7696" i="106"/>
  <c r="D7696" i="106" s="1"/>
  <c r="E66" i="184"/>
  <c r="N66" i="184" s="1"/>
  <c r="B7135" i="106"/>
  <c r="D7135" i="106" s="1"/>
  <c r="E58" i="184"/>
  <c r="N58" i="184" s="1"/>
  <c r="F34" i="34"/>
  <c r="B7826" i="106" s="1"/>
  <c r="D7826" i="106" s="1"/>
  <c r="D68" i="36"/>
  <c r="B7189" i="106"/>
  <c r="D7189" i="106" s="1"/>
  <c r="E64" i="184"/>
  <c r="N64" i="184" s="1"/>
  <c r="C352" i="29"/>
  <c r="D31" i="108"/>
  <c r="E16" i="184"/>
  <c r="H16" i="184" s="1"/>
  <c r="B7126" i="106"/>
  <c r="D7126" i="106" s="1"/>
  <c r="E57" i="184"/>
  <c r="H12" i="184"/>
  <c r="H19" i="184" s="1"/>
  <c r="L20" i="184" s="1"/>
  <c r="B7180" i="106"/>
  <c r="D7180" i="106" s="1"/>
  <c r="E63" i="184"/>
  <c r="N63" i="184" s="1"/>
  <c r="G33" i="108"/>
  <c r="E17" i="184"/>
  <c r="H17" i="184" s="1"/>
  <c r="D24" i="37"/>
  <c r="B4270" i="106" s="1"/>
  <c r="D4270" i="106" s="1"/>
  <c r="B7171" i="106"/>
  <c r="D7171" i="106" s="1"/>
  <c r="E62" i="184"/>
  <c r="N62" i="184" s="1"/>
  <c r="B7198" i="106"/>
  <c r="D7198" i="106" s="1"/>
  <c r="E65" i="184"/>
  <c r="N65" i="184" s="1"/>
  <c r="F72" i="34"/>
  <c r="F36" i="34"/>
  <c r="B7828" i="106" s="1"/>
  <c r="D7828" i="106" s="1"/>
  <c r="B7162" i="106"/>
  <c r="D7162" i="106" s="1"/>
  <c r="E61" i="184"/>
  <c r="N61" i="184" s="1"/>
  <c r="H365" i="29"/>
  <c r="B7242" i="106" s="1"/>
  <c r="D7242" i="106" s="1"/>
  <c r="G30" i="108"/>
  <c r="B7153" i="106"/>
  <c r="D7153" i="106" s="1"/>
  <c r="E60" i="184"/>
  <c r="N6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F41" i="108" l="1"/>
  <c r="G43" i="108" s="1"/>
  <c r="B5527" i="106"/>
  <c r="D5527" i="106" s="1"/>
  <c r="D44" i="36"/>
  <c r="E367" i="29"/>
  <c r="B3635" i="106"/>
  <c r="N23" i="3"/>
  <c r="B284" i="106" s="1"/>
  <c r="D284" i="106" s="1"/>
  <c r="N57" i="184"/>
  <c r="N68" i="184" s="1"/>
  <c r="E68" i="184"/>
  <c r="B7222" i="106"/>
  <c r="D7222" i="106" s="1"/>
  <c r="F76" i="34"/>
  <c r="B7887" i="106" s="1"/>
  <c r="D7887" i="106" s="1"/>
  <c r="L16" i="11"/>
  <c r="B2061" i="106" s="1"/>
  <c r="D2061" i="106" s="1"/>
  <c r="K342" i="29"/>
  <c r="F13" i="34" s="1"/>
  <c r="B1328" i="106"/>
  <c r="D1328" i="106" s="1"/>
  <c r="B7220" i="106"/>
  <c r="D7220" i="106" s="1"/>
  <c r="F75" i="34"/>
  <c r="B7886" i="106" s="1"/>
  <c r="D7886"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F77" i="34" l="1"/>
  <c r="B7834" i="106" s="1"/>
  <c r="D7834" i="106" s="1"/>
  <c r="D8" i="146"/>
  <c r="K17" i="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<sst xmlns="http://schemas.openxmlformats.org/spreadsheetml/2006/main" count="5426" uniqueCount="2146">
  <si>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</si>
  <si>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</si>
  <si>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</si>
  <si>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</si>
  <si>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</si>
  <si>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</si>
  <si>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</si>
  <si>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</si>
  <si>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</si>
  <si>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</si>
  <si>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</si>
  <si>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</si>
  <si>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</si>
  <si>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</si>
  <si>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</si>
  <si>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</si>
  <si>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</si>
  <si>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</si>
  <si>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</si>
  <si>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</si>
  <si>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</si>
  <si>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</si>
  <si>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</si>
  <si>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</si>
  <si>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</si>
  <si>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</si>
  <si>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</si>
  <si>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</si>
  <si>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</si>
  <si>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</si>
  <si>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</si>
  <si>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</si>
  <si>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</si>
  <si>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</si>
  <si>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</si>
  <si>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</si>
  <si>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</si>
  <si>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</si>
  <si>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</si>
  <si>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</si>
  <si>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</si>
  <si>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</si>
  <si>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</si>
  <si>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</si>
  <si>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</si>
  <si>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</si>
  <si>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</si>
  <si>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</si>
  <si>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</si>
  <si>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</si>
  <si>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</si>
  <si>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</si>
  <si>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</si>
  <si>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</si>
  <si>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</si>
  <si>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</si>
  <si>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</si>
  <si>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</si>
  <si>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</si>
  <si>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</si>
  <si>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</si>
  <si>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</si>
  <si>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</si>
  <si>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</si>
  <si>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</si>
  <si>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</si>
  <si>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</si>
  <si>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</si>
  <si>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</si>
  <si>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</si>
  <si>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</si>
  <si>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</si>
  <si>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</si>
  <si>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</si>
  <si>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</si>
  <si>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</si>
  <si>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</si>
  <si>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</si>
  <si>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</si>
  <si>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</si>
  <si>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</si>
  <si>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</si>
  <si>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</si>
  <si>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</si>
  <si>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</si>
  <si>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</si>
  <si>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</si>
  <si>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</si>
  <si>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</si>
  <si>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</si>
  <si>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</si>
  <si>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</si>
  <si>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</si>
  <si>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</si>
  <si>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</si>
  <si>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</si>
  <si>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</si>
  <si>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</si>
  <si>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</si>
  <si>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</si>
  <si>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</si>
  <si>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</si>
  <si>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</si>
  <si>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</si>
  <si>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</si>
  <si>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</si>
  <si>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</si>
  <si>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</si>
  <si>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</si>
  <si>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</si>
  <si>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</si>
  <si>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</si>
  <si>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</si>
  <si>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</si>
  <si>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</si>
  <si>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</si>
  <si>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</si>
  <si>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</si>
  <si>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</si>
  <si>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</si>
  <si>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</si>
  <si>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</si>
  <si>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</si>
  <si>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</si>
  <si>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</si>
  <si>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</si>
  <si>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</si>
  <si>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</si>
  <si>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</si>
  <si>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</si>
  <si>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</si>
  <si>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</si>
  <si>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</si>
  <si>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</si>
  <si>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</si>
  <si>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</si>
  <si>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</si>
  <si>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</si>
  <si>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</si>
  <si>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</si>
  <si>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</si>
  <si>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</si>
  <si>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</si>
  <si>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</si>
  <si>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</si>
  <si>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</si>
  <si>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</si>
  <si>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</si>
  <si>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</si>
  <si>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</si>
  <si>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</si>
  <si>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</si>
  <si>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</si>
  <si>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</si>
  <si>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</si>
  <si>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</si>
  <si>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</si>
  <si>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</si>
  <si>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</si>
  <si>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</si>
  <si>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</si>
  <si>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</si>
  <si>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</si>
  <si>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</si>
  <si>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</si>
  <si>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</si>
  <si>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</si>
  <si>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</si>
  <si>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</si>
  <si>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</si>
  <si>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</si>
  <si>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</si>
  <si>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</si>
  <si>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</si>
  <si>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</si>
  <si>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</si>
  <si>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</si>
  <si>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</si>
  <si>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</si>
  <si>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</si>
  <si>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</si>
  <si>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</si>
  <si>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</si>
  <si>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</si>
  <si>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</si>
  <si>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</si>
  <si>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</si>
  <si>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</si>
  <si>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</si>
  <si>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</si>
  <si>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</si>
  <si>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</si>
  <si>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</si>
  <si>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</si>
  <si>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</si>
  <si>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</si>
  <si>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</si>
  <si>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</si>
  <si>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</si>
  <si>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</si>
  <si>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</si>
  <si>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</si>
  <si>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</si>
  <si>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</si>
  <si>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</si>
  <si>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</si>
  <si>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</si>
  <si>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</si>
  <si>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</si>
  <si>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</si>
  <si>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</si>
  <si>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</si>
  <si>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</si>
  <si>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</si>
  <si>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</si>
  <si>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</si>
  <si>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</si>
  <si>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</si>
  <si>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</si>
  <si>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</si>
  <si>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</si>
  <si>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</si>
  <si>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</si>
  <si>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</si>
  <si>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</si>
  <si>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</si>
  <si>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</si>
  <si>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</si>
  <si>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</si>
  <si>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</si>
  <si>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</si>
  <si>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</si>
  <si>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</si>
  <si>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</si>
  <si>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</si>
  <si>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</si>
  <si>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</si>
  <si>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</si>
  <si>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</si>
  <si>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</si>
  <si>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</si>
  <si>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</si>
  <si>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</si>
  <si>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</si>
  <si>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</si>
  <si>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</si>
  <si>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</si>
  <si>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</si>
  <si>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</si>
  <si>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</si>
  <si>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</si>
  <si>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</si>
  <si>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</si>
  <si>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</si>
  <si>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</si>
  <si>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</si>
  <si>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</si>
  <si>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</si>
  <si>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</si>
  <si>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</si>
  <si>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</si>
  <si>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</si>
  <si>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</si>
  <si>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</si>
  <si>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</si>
  <si>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</si>
  <si>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</si>
  <si>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</si>
  <si>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</si>
  <si>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</si>
  <si>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</si>
  <si>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</si>
  <si>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</si>
  <si>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</si>
  <si>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</si>
  <si>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</si>
  <si>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</si>
  <si>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</si>
  <si>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</si>
  <si>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</si>
  <si>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</si>
  <si>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</si>
  <si>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</si>
  <si>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</si>
  <si>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</si>
  <si>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</si>
  <si>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</si>
  <si>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</si>
  <si>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</si>
  <si>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</si>
  <si>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</si>
  <si>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</si>
  <si>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</si>
  <si>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</si>
  <si>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</si>
  <si>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</si>
  <si>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</si>
  <si>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</si>
  <si>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</si>
  <si>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</si>
  <si>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</si>
  <si>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</si>
  <si>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</si>
  <si>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</si>
  <si>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</si>
  <si>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</si>
  <si>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</si>
  <si>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</si>
  <si>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</si>
  <si>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</si>
  <si>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</si>
  <si>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</si>
  <si>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</si>
  <si>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</si>
  <si>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</si>
  <si>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</si>
  <si>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</si>
  <si>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</si>
  <si>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</si>
  <si>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</si>
  <si>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</si>
  <si>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</si>
  <si>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</si>
  <si>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</si>
  <si>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</si>
  <si>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</si>
  <si>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</si>
  <si>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</si>
  <si>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</si>
  <si>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</si>
  <si>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</si>
  <si>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</si>
  <si>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</si>
  <si>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</si>
  <si>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</si>
  <si>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</si>
  <si>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</si>
  <si>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</si>
  <si>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</si>
  <si>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</si>
  <si>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</si>
  <si>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</si>
  <si>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</si>
  <si>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</si>
  <si>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</si>
  <si>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</si>
  <si>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</si>
  <si>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</si>
  <si>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</si>
  <si>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</si>
  <si>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</si>
  <si>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</si>
  <si>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</si>
  <si>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</si>
  <si>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</si>
  <si>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</si>
  <si>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</si>
  <si>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</si>
  <si>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</si>
  <si>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</si>
  <si>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</si>
  <si>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</si>
  <si>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</si>
  <si>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</si>
  <si>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</si>
  <si>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</si>
  <si>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</si>
  <si>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</si>
  <si>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</si>
  <si>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</si>
  <si>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</si>
  <si>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</si>
  <si>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</si>
  <si>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</si>
  <si>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</si>
  <si>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</si>
  <si>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</si>
  <si>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</si>
  <si>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</si>
  <si>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</si>
  <si>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</si>
  <si>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</si>
  <si>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</si>
  <si>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</si>
  <si>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</si>
  <si>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</si>
  <si>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</si>
  <si>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</si>
  <si>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</si>
  <si>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</si>
  <si>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</si>
  <si>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</si>
  <si>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</si>
  <si>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</si>
  <si>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</si>
  <si>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</si>
  <si>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</si>
  <si>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</si>
  <si>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</si>
  <si>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</si>
  <si>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</si>
  <si>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</si>
  <si>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</si>
  <si>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</si>
  <si>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</si>
  <si>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</si>
  <si>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</si>
  <si>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</si>
  <si>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</si>
  <si>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</si>
  <si>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</si>
  <si>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</si>
  <si>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</si>
  <si>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</si>
  <si>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</si>
  <si>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</si>
  <si>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</si>
  <si>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</si>
  <si>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</si>
  <si>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</si>
  <si>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</si>
  <si>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</si>
  <si>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</si>
  <si>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</si>
  <si>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</si>
  <si>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</si>
  <si>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</si>
  <si>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</si>
  <si>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</si>
  <si>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</si>
  <si>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</si>
  <si>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</si>
  <si>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</si>
  <si>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</si>
  <si>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</si>
  <si>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</si>
  <si>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</si>
  <si>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</si>
  <si>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</si>
  <si>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</si>
  <si>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</si>
  <si>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</si>
  <si>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</si>
  <si>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</si>
  <si>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</si>
  <si>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</si>
  <si>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</si>
  <si>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</si>
  <si>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</si>
  <si>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</si>
  <si>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</si>
  <si>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</si>
  <si>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</si>
  <si>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</si>
  <si>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</si>
  <si>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</si>
  <si>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</si>
  <si>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</si>
  <si>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</si>
  <si>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</si>
  <si>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</si>
  <si>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</si>
  <si>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</si>
  <si>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</si>
  <si>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</si>
  <si>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</si>
  <si>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</si>
  <si>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</si>
  <si>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</si>
  <si>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</si>
  <si>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</si>
  <si>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</si>
  <si>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</si>
  <si>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</si>
  <si>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</si>
  <si>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</si>
  <si>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</si>
  <si>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</si>
  <si>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</si>
  <si>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</si>
  <si>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</si>
  <si>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</si>
  <si>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</si>
  <si>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</si>
  <si>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</si>
  <si>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</si>
  <si>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</si>
  <si>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</si>
  <si>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</si>
  <si>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</si>
  <si>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</si>
  <si>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</si>
  <si>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</si>
  <si>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</si>
  <si>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</si>
  <si>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</si>
  <si>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</si>
  <si>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</si>
  <si>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</si>
  <si>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</si>
  <si>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</si>
  <si>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</si>
  <si>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</si>
  <si>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</si>
  <si>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</si>
  <si>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</si>
  <si>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</si>
  <si>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</si>
  <si>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</si>
  <si>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</si>
  <si>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</si>
  <si>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</si>
  <si>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</si>
  <si>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</si>
  <si>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</si>
  <si>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</si>
  <si>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</si>
  <si>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</si>
  <si>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</si>
  <si>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</si>
  <si>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</si>
  <si>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</si>
  <si>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</si>
  <si>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</si>
  <si>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</si>
  <si>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</si>
  <si>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</si>
  <si>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</si>
  <si>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</si>
  <si>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</si>
  <si>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</si>
  <si>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</si>
  <si>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</si>
  <si>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</si>
  <si>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</si>
  <si>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</si>
  <si>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</si>
  <si>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</si>
  <si>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</si>
  <si>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</si>
  <si>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</si>
  <si>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</si>
  <si>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</si>
  <si>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</si>
  <si>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</si>
  <si>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</si>
  <si>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</si>
  <si>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</si>
  <si>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</si>
  <si>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</si>
  <si>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</si>
  <si>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</si>
  <si>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</si>
  <si>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</si>
  <si>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</si>
  <si>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</si>
  <si>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</si>
  <si>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</si>
  <si>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</si>
  <si>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</si>
  <si>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</si>
  <si>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</si>
  <si>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</si>
  <si>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</si>
  <si>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</si>
  <si>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</si>
  <si>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</si>
  <si>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</si>
  <si>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</si>
  <si>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</si>
  <si>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</si>
  <si>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</si>
  <si>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</si>
  <si>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</si>
  <si>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</si>
  <si>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</si>
  <si>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</si>
  <si>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</si>
  <si>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</si>
  <si>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</si>
  <si>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</si>
  <si>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</si>
  <si>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</si>
  <si>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</si>
  <si>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</si>
  <si>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</si>
  <si>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</si>
  <si>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</si>
  <si>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</si>
  <si>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</si>
  <si>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</si>
  <si>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</si>
  <si>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</si>
  <si>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</si>
  <si>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</si>
  <si>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</si>
  <si>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</si>
  <si>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</si>
  <si>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</si>
  <si>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</si>
  <si>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</si>
  <si>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</si>
  <si>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</si>
  <si>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</si>
  <si>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</si>
  <si>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</si>
  <si>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</si>
  <si>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</si>
  <si>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</si>
  <si>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</si>
  <si>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</si>
  <si>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</si>
  <si>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</si>
  <si>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</si>
  <si>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</si>
  <si>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</si>
  <si>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</si>
  <si>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</si>
  <si>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</si>
  <si>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</si>
  <si>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</si>
  <si>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</si>
  <si>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</si>
  <si>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</si>
  <si>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</si>
  <si>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</si>
  <si>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</si>
  <si>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</si>
  <si>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</si>
  <si>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</si>
  <si>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</si>
  <si>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</si>
  <si>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</si>
  <si>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</si>
  <si>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</si>
  <si>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</si>
  <si>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</si>
  <si>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</si>
  <si>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</si>
  <si>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</si>
  <si>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</si>
  <si>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</si>
  <si>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</si>
  <si>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</si>
  <si>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</si>
  <si>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</si>
  <si>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</si>
  <si>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</si>
  <si>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</si>
  <si>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</si>
  <si>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</si>
  <si>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</si>
  <si>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</si>
  <si>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</si>
  <si>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</si>
  <si>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</si>
  <si>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</si>
  <si>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</si>
  <si>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</si>
  <si>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</si>
  <si>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</si>
  <si>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</si>
  <si>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</si>
  <si>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</si>
  <si>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</si>
  <si>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</si>
  <si>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</si>
  <si>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</si>
  <si>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</si>
  <si>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</si>
  <si>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</si>
  <si>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</si>
  <si>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</si>
  <si>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</si>
  <si>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</si>
  <si>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</si>
  <si>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</si>
  <si>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</si>
  <si>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</si>
  <si>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</si>
  <si>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</si>
  <si>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</si>
  <si>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</si>
  <si>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</si>
  <si>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</si>
  <si>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</si>
  <si>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</si>
  <si>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</si>
  <si>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</si>
  <si>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</si>
  <si>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</si>
  <si>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</si>
  <si>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</si>
  <si>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</si>
  <si>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</si>
  <si>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</si>
  <si>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</si>
  <si>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</si>
  <si>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</si>
  <si>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</si>
  <si>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</si>
  <si>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</si>
  <si>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</si>
  <si>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</si>
  <si>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</si>
  <si>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</si>
  <si>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</si>
  <si>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</si>
  <si>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</si>
  <si>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</si>
  <si>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</si>
  <si>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</si>
  <si>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</si>
  <si>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</si>
  <si>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</si>
  <si>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</si>
  <si>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</si>
  <si>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</si>
  <si>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</si>
  <si>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</si>
  <si>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</si>
  <si>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</si>
  <si>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</si>
  <si>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</si>
  <si>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</si>
  <si>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</si>
  <si>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</si>
  <si>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</si>
  <si>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</si>
  <si>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</si>
  <si>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</si>
  <si>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</si>
  <si>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</si>
  <si>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</si>
  <si>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</si>
  <si>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</si>
  <si>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</si>
  <si>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</si>
  <si>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</si>
  <si>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</si>
  <si>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</si>
  <si>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</si>
  <si>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</si>
  <si>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</si>
  <si>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</si>
  <si>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</si>
  <si>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</si>
  <si>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</si>
  <si>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</si>
  <si>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</si>
  <si>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</si>
  <si>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</si>
  <si>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</si>
  <si>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</si>
  <si>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</si>
  <si>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</si>
  <si>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</si>
  <si>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</si>
  <si>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</si>
  <si>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</si>
  <si>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</si>
  <si>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</si>
  <si>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</si>
  <si>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</si>
  <si>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</si>
  <si>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</si>
  <si>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</si>
  <si>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</si>
  <si>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</si>
  <si>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</si>
  <si>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</si>
  <si>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</si>
  <si>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</si>
  <si>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</si>
  <si>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</si>
  <si>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</si>
  <si>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</si>
  <si>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</si>
  <si>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</si>
  <si>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</si>
  <si>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</si>
  <si>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</si>
  <si>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</si>
  <si>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</si>
  <si>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</si>
  <si>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</si>
  <si>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</si>
  <si>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</si>
  <si>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</si>
  <si>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</si>
  <si>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</si>
  <si>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</si>
  <si>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</si>
  <si>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</si>
  <si>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</si>
  <si>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</si>
  <si>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</si>
  <si>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</si>
  <si>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</si>
  <si>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</si>
  <si>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</si>
  <si>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</si>
  <si>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</si>
  <si>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</si>
  <si>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</si>
  <si>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</si>
  <si>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</si>
  <si>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</si>
  <si>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</si>
  <si>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</si>
  <si>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</si>
  <si>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</si>
  <si>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</si>
  <si>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</si>
  <si>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</si>
  <si>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</si>
  <si>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</si>
  <si>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</si>
  <si>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</si>
  <si>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</si>
  <si>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</si>
  <si>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</si>
  <si>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</si>
  <si>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</si>
  <si>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</si>
  <si>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</si>
  <si>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</si>
  <si>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</si>
  <si>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</si>
  <si>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</si>
  <si>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</si>
  <si>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</si>
  <si>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</si>
  <si>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</si>
  <si>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</si>
  <si>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</si>
  <si>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</si>
  <si>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</si>
  <si>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</si>
  <si>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</si>
  <si>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</si>
  <si>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</si>
  <si>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</si>
  <si>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</si>
  <si>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</si>
  <si>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</si>
  <si>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</si>
  <si>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</si>
  <si>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</si>
  <si>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</si>
  <si>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</si>
  <si>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</si>
  <si>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</si>
  <si>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</si>
  <si>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</si>
  <si>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</si>
  <si>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</si>
  <si>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</si>
  <si>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</si>
  <si>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</si>
  <si>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</si>
  <si>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</si>
  <si>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</si>
  <si>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</si>
  <si>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</si>
  <si>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</si>
  <si>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</si>
  <si>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</si>
  <si>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</si>
  <si>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</si>
  <si>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</si>
  <si>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</si>
  <si>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</si>
  <si>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</si>
  <si>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</si>
  <si>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</si>
  <si>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</si>
  <si>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</si>
  <si>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</si>
  <si>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</si>
  <si>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</si>
  <si>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</si>
  <si>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</si>
  <si>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</si>
  <si>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</si>
  <si>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</si>
  <si>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</si>
  <si>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</si>
  <si>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</si>
  <si>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</si>
  <si>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</si>
  <si>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</si>
  <si>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</si>
  <si>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</si>
  <si>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</si>
  <si>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</si>
  <si>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</si>
  <si>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</si>
  <si>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</si>
  <si>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</si>
  <si>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</si>
  <si>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</si>
  <si>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</si>
  <si>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</si>
  <si>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</si>
  <si>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</si>
  <si>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</si>
  <si>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</si>
  <si>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</si>
  <si>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</si>
  <si>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</si>
  <si>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</si>
  <si>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</si>
  <si>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</si>
  <si>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</si>
  <si>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</si>
  <si>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</si>
  <si>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</si>
  <si>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</si>
  <si>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</si>
  <si>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</si>
  <si>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</si>
  <si>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</si>
  <si>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</si>
  <si>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</si>
  <si>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</si>
  <si>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</si>
  <si>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</si>
  <si>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</si>
  <si>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</si>
  <si>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</si>
  <si>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</si>
  <si>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</si>
  <si>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</si>
  <si>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</si>
  <si>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</si>
  <si>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</si>
  <si>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</si>
  <si>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</si>
  <si>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</si>
  <si>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</si>
  <si>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</si>
  <si>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</si>
  <si>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</si>
  <si>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</si>
  <si>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</si>
  <si>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</si>
  <si>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</si>
  <si>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</si>
  <si>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</si>
  <si>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</si>
  <si>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</si>
  <si>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</si>
  <si>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</si>
  <si>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</si>
  <si>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</si>
  <si>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</si>
  <si>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</si>
  <si>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</si>
  <si>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</si>
  <si>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</si>
  <si>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</si>
  <si>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</si>
  <si>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</si>
  <si>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</si>
  <si>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</si>
  <si>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</si>
  <si>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</si>
  <si>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</si>
  <si>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</si>
  <si>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</si>
  <si>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</si>
  <si>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</si>
  <si>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</si>
  <si>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</si>
  <si>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</si>
  <si>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</si>
  <si>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</si>
  <si>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</si>
  <si>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</si>
  <si>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</si>
  <si>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</si>
  <si>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</si>
  <si>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</si>
  <si>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</si>
  <si>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</si>
  <si>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</si>
  <si>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</si>
  <si>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</si>
  <si>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</si>
  <si>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</si>
  <si>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</si>
  <si>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</si>
  <si>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</si>
  <si>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</si>
  <si>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</si>
  <si>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</si>
  <si>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</si>
  <si>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</si>
  <si>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</si>
  <si>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</si>
  <si>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</si>
  <si>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</si>
  <si>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</si>
  <si>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</si>
  <si>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</si>
  <si>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</si>
  <si>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</si>
  <si>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</si>
  <si>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</si>
  <si>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</si>
  <si>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</si>
  <si>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</si>
  <si>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</si>
  <si>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</si>
  <si>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</si>
  <si>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</si>
  <si>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</si>
  <si>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</si>
  <si>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</si>
  <si>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</si>
  <si>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</si>
  <si>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</si>
  <si>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</si>
  <si>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</si>
  <si>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</si>
  <si>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</si>
  <si>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</si>
  <si>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</si>
  <si>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</si>
  <si>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</si>
  <si>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</si>
  <si>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</si>
  <si>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</si>
  <si>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</si>
  <si>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</si>
  <si>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</si>
  <si>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</si>
  <si>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</si>
  <si>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</si>
  <si>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</si>
  <si>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</si>
  <si>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</si>
  <si>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</si>
  <si>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</si>
  <si>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</si>
  <si>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</si>
  <si>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</si>
  <si>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</si>
  <si>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</si>
  <si>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</si>
  <si>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</si>
  <si>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</si>
  <si>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</si>
  <si>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</si>
  <si>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</si>
  <si>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</si>
  <si>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</si>
  <si>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</si>
  <si>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</si>
  <si>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</si>
  <si>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</si>
  <si>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</si>
  <si>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</si>
  <si>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</si>
  <si>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</si>
  <si>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</si>
  <si>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</si>
  <si>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</si>
  <si>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</si>
  <si>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</si>
  <si>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</si>
  <si>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</si>
  <si>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</si>
  <si>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</si>
  <si>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</si>
  <si>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</si>
  <si>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</si>
  <si>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</si>
  <si>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</si>
  <si>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</si>
  <si>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</si>
  <si>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</si>
  <si>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</si>
  <si>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</si>
  <si>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</si>
  <si>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</si>
  <si>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</si>
  <si>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</si>
  <si>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</si>
  <si>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</si>
  <si>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</si>
  <si>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</si>
  <si>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</si>
  <si>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</si>
  <si>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</si>
  <si>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</si>
  <si>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</si>
  <si>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</si>
  <si>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</si>
  <si>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</si>
  <si>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</si>
  <si>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</si>
  <si>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</si>
  <si>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</si>
  <si>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</si>
  <si>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</si>
  <si>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</si>
  <si>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</si>
  <si>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</si>
  <si>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</si>
  <si>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</si>
  <si>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</si>
  <si>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</si>
  <si>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</si>
  <si>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</si>
  <si>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</si>
  <si>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</si>
  <si>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</si>
  <si>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</si>
  <si>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</si>
  <si>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</si>
  <si>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</si>
  <si>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</si>
  <si>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</si>
  <si>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</si>
  <si>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</si>
  <si>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</si>
  <si>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</si>
  <si>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</si>
  <si>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</si>
  <si>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</si>
  <si>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</si>
  <si>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</si>
  <si>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</si>
  <si>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</si>
  <si>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</si>
  <si>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</si>
  <si>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</si>
  <si>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</si>
  <si>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</si>
  <si>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</si>
  <si>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</si>
  <si>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</si>
  <si>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</si>
  <si>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</si>
  <si>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</si>
  <si>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</si>
  <si>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</si>
  <si>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</si>
  <si>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</si>
  <si>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</si>
  <si>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</si>
  <si>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</si>
  <si>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</si>
  <si>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</si>
  <si>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</si>
  <si>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</si>
  <si>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</si>
  <si>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</si>
  <si>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</si>
  <si>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</si>
  <si>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</si>
  <si>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</si>
  <si>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</si>
  <si>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</si>
  <si>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</si>
  <si>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</si>
  <si>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</si>
  <si>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</si>
  <si>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</si>
  <si>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</si>
  <si>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</si>
  <si>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</si>
  <si>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</si>
  <si>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</si>
  <si>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</si>
  <si>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</si>
  <si>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</si>
  <si>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</si>
  <si>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</si>
  <si>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</si>
  <si>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</si>
  <si>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</si>
  <si>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</si>
  <si>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</si>
  <si>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</si>
  <si>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</si>
  <si>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</si>
  <si>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</si>
  <si>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</si>
  <si>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</si>
  <si>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</si>
  <si>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</si>
  <si>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</si>
  <si>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</si>
  <si>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</si>
  <si>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</si>
  <si>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</si>
  <si>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</si>
  <si>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</si>
  <si>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</si>
  <si>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</si>
  <si>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</si>
  <si>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</si>
  <si>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</si>
  <si>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</si>
  <si>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</si>
  <si>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</si>
  <si>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</si>
  <si>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</si>
  <si>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</si>
  <si>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</si>
  <si>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</si>
  <si>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</si>
  <si>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</si>
  <si>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</si>
  <si>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</si>
  <si>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</si>
  <si>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</si>
  <si>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</si>
  <si>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</si>
  <si>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</si>
  <si>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</si>
  <si>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</si>
  <si>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</si>
  <si>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</si>
  <si>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</si>
  <si>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</si>
  <si>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</si>
  <si>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</si>
  <si>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</si>
  <si>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</si>
  <si>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</si>
  <si>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</si>
  <si>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</si>
  <si>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</si>
  <si>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</si>
  <si>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</si>
  <si>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</si>
  <si>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</si>
  <si>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</si>
  <si>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</si>
  <si>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</si>
  <si>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</si>
  <si>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</si>
  <si>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</si>
  <si>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</si>
  <si>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</si>
  <si>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</si>
  <si>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</si>
  <si>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</si>
  <si>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</si>
  <si>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</si>
  <si>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</si>
  <si>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</si>
  <si>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</si>
  <si>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</si>
  <si>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</si>
  <si>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</si>
  <si>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</si>
  <si>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</si>
  <si>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</si>
  <si>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</si>
  <si>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</si>
  <si>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</si>
  <si>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</si>
  <si>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</si>
  <si>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</si>
  <si>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</si>
  <si>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</si>
  <si>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</si>
  <si>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</si>
  <si>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</si>
  <si>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</si>
  <si>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</si>
  <si>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</si>
  <si>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</si>
  <si>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</si>
  <si>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</si>
  <si>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</si>
  <si>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</si>
  <si>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</si>
  <si>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</si>
  <si>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</si>
  <si>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</si>
  <si>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</si>
  <si>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</si>
  <si>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</si>
  <si>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</si>
  <si>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</si>
  <si>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</si>
  <si>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</si>
  <si>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</si>
  <si>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</si>
  <si>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</si>
  <si>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</si>
  <si>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</si>
  <si>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</si>
  <si>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</si>
  <si>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</si>
  <si>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</si>
  <si>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</si>
  <si>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</si>
  <si>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</si>
  <si>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</si>
  <si>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</si>
  <si>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</si>
  <si>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</si>
  <si>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</si>
  <si>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</si>
  <si>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</si>
  <si>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</si>
  <si>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</si>
  <si>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</si>
  <si>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</si>
  <si>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</si>
  <si>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</si>
  <si>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</si>
  <si>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</si>
  <si>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</si>
  <si>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</si>
  <si>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</si>
  <si>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</si>
  <si>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</si>
  <si>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</si>
  <si>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</si>
  <si>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</si>
  <si>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</si>
  <si>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</si>
  <si>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</si>
  <si>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</si>
  <si>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</si>
  <si>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</si>
  <si>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</si>
  <si>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</si>
  <si>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</si>
  <si>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</si>
  <si>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</si>
  <si>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</si>
  <si>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</si>
  <si>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</si>
  <si>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</si>
  <si>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</si>
  <si>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</si>
  <si>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</si>
  <si>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</si>
  <si>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</si>
  <si>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</si>
  <si>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</si>
  <si>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</si>
  <si>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</si>
  <si>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</si>
  <si>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</si>
  <si>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</si>
  <si>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</si>
  <si>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</si>
  <si>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</si>
  <si>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</si>
  <si>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</si>
  <si>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</si>
  <si>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</si>
  <si>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</si>
  <si>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</si>
  <si>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</si>
  <si>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</si>
  <si>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</si>
  <si>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</si>
  <si>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</si>
  <si>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</si>
  <si>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</si>
  <si>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</si>
  <si>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</si>
  <si>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</si>
  <si>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</si>
  <si>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</si>
  <si>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</si>
  <si>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</si>
  <si>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</si>
  <si>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</si>
  <si>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</si>
  <si>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</si>
  <si>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</si>
  <si>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</si>
  <si>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</si>
  <si>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</si>
  <si>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</si>
  <si>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</si>
  <si>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</si>
  <si>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</si>
  <si>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</si>
  <si>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</si>
  <si>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</si>
  <si>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</si>
  <si>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</si>
  <si>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</si>
  <si>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</si>
  <si>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</si>
  <si>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</si>
  <si>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</si>
  <si>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</si>
  <si>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</si>
  <si>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</si>
  <si>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</si>
  <si>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</si>
  <si>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</si>
  <si>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</si>
  <si>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</si>
  <si>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</si>
  <si>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</si>
  <si>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</si>
  <si>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</si>
  <si>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</si>
  <si>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</si>
  <si>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</si>
  <si>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</si>
  <si>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</si>
  <si>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</si>
  <si>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</si>
  <si>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</si>
  <si>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</si>
  <si>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</si>
  <si>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</si>
  <si>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</si>
  <si>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</si>
  <si>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</si>
  <si>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</si>
  <si>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</si>
  <si>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</si>
  <si>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</si>
  <si>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</si>
  <si>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</si>
  <si>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</si>
  <si>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</si>
  <si>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</si>
  <si>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</si>
  <si>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</si>
  <si>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</si>
  <si>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</si>
  <si>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</si>
  <si>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</si>
  <si>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</si>
  <si>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</si>
  <si>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</si>
  <si>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</si>
  <si>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</si>
  <si>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</si>
  <si>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</si>
  <si>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</si>
  <si>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</si>
  <si>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</si>
  <si>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</si>
  <si>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</si>
  <si>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</si>
  <si>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</si>
  <si>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</si>
  <si>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</si>
  <si>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</si>
  <si>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</si>
  <si>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</si>
  <si>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</si>
  <si>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</si>
  <si>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</si>
  <si>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</si>
  <si>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</si>
  <si>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</si>
  <si>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</si>
  <si>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</si>
  <si>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</si>
  <si>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</si>
  <si>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</si>
  <si>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</si>
  <si>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</si>
  <si>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</si>
  <si>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</si>
  <si>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</si>
  <si>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</si>
  <si>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</si>
  <si>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</si>
  <si>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</si>
  <si>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</si>
  <si>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</si>
  <si>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</si>
  <si>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</si>
  <si>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</si>
  <si>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</si>
  <si>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</si>
  <si>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</si>
  <si>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</si>
  <si>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</si>
  <si>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</si>
  <si>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</si>
  <si>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</si>
  <si>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</si>
  <si>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</si>
  <si>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</si>
  <si>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</si>
  <si>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</si>
  <si>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</si>
  <si>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</si>
  <si>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</si>
  <si>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</si>
  <si>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</si>
  <si>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</si>
  <si>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</si>
  <si>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</si>
  <si>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</si>
  <si>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</si>
  <si>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</si>
  <si>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</si>
  <si>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</si>
  <si>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</si>
  <si>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</si>
  <si>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</si>
  <si>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</si>
  <si>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</si>
  <si>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</si>
  <si>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</si>
  <si>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</si>
  <si>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</si>
  <si>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</si>
  <si>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</si>
  <si>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</si>
  <si>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</si>
  <si>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</si>
  <si>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</si>
  <si>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</si>
  <si>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</si>
  <si>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</si>
  <si>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</si>
  <si>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</si>
  <si>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</si>
  <si>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</si>
  <si>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</si>
  <si>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</si>
  <si>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</si>
  <si>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</si>
  <si>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</si>
  <si>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</si>
  <si>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</si>
  <si>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</si>
  <si>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</si>
  <si>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</si>
  <si>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</si>
  <si>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</si>
  <si>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</si>
  <si>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</si>
  <si>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</si>
  <si>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</si>
  <si>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</si>
  <si>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</si>
  <si>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</si>
  <si>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</si>
  <si>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</si>
  <si>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</si>
  <si>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</si>
  <si>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</si>
  <si>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</si>
  <si>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</si>
  <si>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</si>
  <si>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</si>
  <si>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</si>
  <si>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</si>
  <si>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</si>
  <si>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</si>
  <si>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</si>
  <si>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</si>
  <si>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</si>
  <si>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</si>
  <si>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</si>
  <si>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</si>
  <si>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</si>
  <si>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</si>
  <si>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</si>
  <si>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</si>
  <si>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</si>
  <si>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</si>
  <si>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</si>
  <si>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</si>
  <si>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</si>
  <si>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</si>
  <si>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</si>
  <si>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</si>
  <si>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</si>
  <si>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</si>
  <si>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</si>
  <si>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</si>
  <si>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</si>
  <si>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</si>
  <si>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</si>
  <si>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</si>
  <si>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</si>
  <si>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</si>
  <si>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</si>
  <si>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</si>
  <si>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</si>
  <si>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</si>
  <si>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</si>
  <si>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</si>
  <si>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</si>
  <si>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</si>
  <si>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</si>
  <si>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</si>
  <si>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</si>
  <si>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</si>
  <si>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</si>
  <si>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</si>
  <si>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</si>
  <si>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</si>
  <si>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</si>
  <si>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</si>
  <si>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</si>
  <si>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</si>
  <si>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</si>
  <si>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</si>
  <si>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</si>
  <si>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</si>
  <si>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</si>
  <si>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</si>
  <si>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</si>
  <si>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</si>
  <si>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</si>
  <si>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</si>
  <si>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</si>
  <si>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</si>
  <si>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</si>
  <si>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</si>
  <si>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</si>
  <si>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</si>
  <si>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</si>
  <si>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</si>
  <si>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</si>
  <si>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</si>
  <si>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</si>
  <si>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</si>
  <si>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</si>
  <si>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</si>
  <si>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</si>
  <si>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</si>
  <si>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</si>
  <si>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</si>
  <si>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</si>
  <si>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</si>
  <si>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</si>
  <si>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</si>
  <si>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</si>
  <si>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</si>
  <si>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</si>
  <si>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</si>
  <si>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</si>
  <si>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</si>
  <si>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</si>
  <si>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</si>
  <si>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</si>
  <si>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</si>
  <si>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</si>
  <si>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</si>
  <si>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</si>
  <si>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</si>
  <si>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</si>
  <si>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</si>
  <si>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</si>
  <si>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</si>
  <si>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</si>
  <si>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</si>
  <si>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</si>
  <si>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</si>
  <si>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</si>
  <si>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</si>
  <si>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</si>
  <si>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</si>
  <si>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</si>
  <si>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</si>
  <si>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</si>
  <si>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</si>
  <si>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</si>
  <si>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</si>
  <si>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</si>
  <si>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</si>
  <si>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</si>
  <si>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</si>
  <si>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</si>
  <si>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</si>
  <si>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</si>
  <si>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</si>
  <si>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</si>
  <si>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</si>
  <si>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</si>
  <si>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</si>
  <si>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</si>
  <si>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</si>
  <si>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</si>
  <si>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</si>
  <si>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</si>
  <si>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</si>
  <si>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</si>
  <si>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</si>
  <si>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</si>
  <si>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</si>
  <si>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</si>
  <si>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</si>
  <si>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</si>
  <si>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</si>
  <si>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</si>
  <si>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</si>
  <si>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</si>
  <si>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</si>
  <si>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</si>
  <si>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</si>
  <si>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</si>
  <si>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</si>
  <si>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</si>
  <si>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</si>
  <si>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</si>
  <si>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</si>
  <si>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</si>
  <si>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</si>
  <si>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</si>
  <si>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</si>
  <si>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</si>
  <si>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</si>
  <si>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</si>
  <si>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</si>
  <si>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</si>
  <si>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</si>
  <si>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</si>
  <si>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</si>
  <si>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</si>
  <si>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</si>
  <si>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</si>
  <si>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</si>
  <si>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</si>
  <si>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</si>
  <si>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</si>
  <si>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</si>
  <si>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</si>
  <si>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</si>
  <si>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</si>
  <si>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</si>
  <si>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</si>
  <si>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</si>
  <si>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</si>
  <si>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</si>
  <si>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</si>
  <si>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</si>
  <si>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</si>
  <si>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</si>
  <si>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</si>
  <si>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</si>
  <si>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</si>
  <si>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</si>
  <si>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</si>
  <si>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</si>
  <si>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</si>
  <si>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</si>
  <si>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</si>
  <si>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</si>
  <si>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</si>
  <si>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</si>
  <si>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</si>
  <si>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</si>
  <si>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</si>
  <si>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</si>
  <si>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</si>
  <si>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</si>
  <si>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</si>
  <si>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</si>
  <si>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</si>
  <si>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</si>
  <si>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</si>
  <si>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</si>
  <si>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</si>
  <si>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</si>
  <si>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</si>
  <si>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</si>
  <si>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</si>
  <si>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</si>
  <si>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</si>
  <si>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</si>
  <si>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</si>
  <si>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</si>
  <si>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</si>
  <si>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</si>
  <si>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</si>
  <si>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</si>
  <si>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</si>
  <si>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</si>
  <si>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</si>
  <si>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</si>
  <si>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</si>
  <si>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</si>
  <si>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</si>
  <si>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</si>
  <si>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</si>
  <si>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</si>
  <si>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</si>
  <si>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</si>
  <si>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</si>
  <si>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</si>
  <si>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</si>
  <si>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</si>
  <si>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</si>
  <si>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</si>
  <si>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</si>
  <si>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</si>
  <si>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</si>
  <si>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</si>
  <si>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</si>
  <si>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</si>
  <si>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</si>
  <si>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</si>
  <si>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</si>
  <si>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</si>
  <si>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</si>
  <si>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</si>
  <si>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</si>
  <si>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</si>
  <si>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</si>
  <si>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</si>
  <si>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</si>
  <si>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</si>
  <si>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</si>
  <si>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</si>
  <si>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</si>
  <si>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</si>
  <si>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</si>
  <si>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</si>
  <si>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</si>
  <si>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</si>
  <si>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</si>
  <si>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</si>
  <si>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</si>
  <si>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</si>
  <si>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</si>
  <si>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</si>
  <si>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</si>
  <si>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</si>
  <si>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</si>
  <si>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</si>
  <si>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</si>
  <si>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</si>
  <si>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</si>
  <si>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</si>
  <si>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</si>
  <si>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</si>
  <si>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</si>
  <si>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</si>
  <si>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</si>
  <si>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</si>
  <si>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</si>
  <si>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</si>
  <si>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</si>
  <si>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</si>
  <si>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</si>
  <si>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</si>
  <si>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</si>
  <si>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</si>
  <si>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</si>
  <si>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</si>
  <si>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</si>
  <si>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</si>
  <si>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</si>
  <si>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</si>
  <si>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</si>
  <si>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</si>
  <si>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</si>
  <si>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</si>
  <si>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</si>
  <si>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</si>
  <si>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</si>
  <si>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</si>
  <si>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</si>
  <si>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</si>
  <si>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</si>
  <si>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</si>
  <si>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</si>
  <si>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</si>
  <si>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</si>
  <si>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</si>
  <si>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</si>
  <si>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</si>
  <si>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</si>
  <si>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</si>
  <si>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</si>
  <si>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</si>
  <si>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</si>
  <si>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</si>
  <si>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</si>
  <si>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</si>
  <si>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</si>
  <si>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</si>
  <si>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</si>
  <si>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</si>
  <si>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</si>
  <si>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</si>
  <si>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</si>
  <si>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</si>
  <si>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</si>
  <si>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</si>
  <si>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</si>
  <si>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</si>
  <si>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</si>
  <si>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</si>
  <si>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</si>
  <si>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</si>
  <si>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</si>
  <si>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</si>
  <si>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</si>
  <si>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</si>
  <si>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</si>
  <si>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</si>
  <si>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</si>
  <si>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</si>
  <si>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</si>
  <si>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</si>
  <si>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</si>
  <si>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</si>
  <si>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</si>
  <si>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</si>
  <si>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</si>
  <si>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</si>
  <si>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</si>
  <si>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</si>
  <si>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</si>
  <si>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</si>
  <si>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</si>
  <si>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</si>
  <si>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</si>
  <si>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</si>
  <si>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</si>
  <si>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</si>
  <si>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</si>
  <si>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</si>
  <si>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</si>
  <si>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</si>
  <si>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</si>
  <si>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</si>
  <si>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</si>
  <si>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</si>
  <si>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</si>
  <si>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</si>
  <si>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</si>
  <si>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</si>
  <si>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</si>
  <si>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</si>
  <si>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</si>
  <si>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</si>
  <si>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</si>
  <si>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</si>
  <si>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</si>
  <si>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</si>
  <si>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</si>
  <si>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</si>
  <si>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</si>
  <si>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</si>
  <si>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</si>
  <si>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</si>
  <si>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</si>
  <si>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</si>
  <si>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</si>
  <si>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</si>
  <si>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</si>
  <si>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</si>
  <si>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</si>
  <si>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</si>
  <si>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</si>
  <si>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</si>
  <si>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</si>
  <si>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</si>
  <si>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</si>
  <si>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</si>
  <si>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</si>
  <si>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</si>
  <si>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</si>
  <si>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</si>
  <si>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</si>
  <si>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</si>
  <si>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</si>
  <si>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</si>
  <si>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</si>
  <si>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</si>
  <si>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</si>
  <si>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</si>
  <si>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</si>
  <si>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</si>
  <si>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</si>
  <si>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</si>
  <si>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</si>
  <si>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</si>
  <si>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</si>
  <si>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</si>
  <si>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</si>
  <si>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</si>
  <si>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</si>
  <si>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</si>
  <si>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</si>
  <si>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</si>
  <si>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</si>
  <si>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</si>
  <si>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</si>
  <si>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</si>
  <si>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</si>
  <si>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</si>
  <si>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</si>
  <si>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</si>
  <si>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</si>
  <si>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</si>
  <si>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</si>
  <si>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</si>
  <si>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</si>
  <si>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</si>
  <si>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</si>
  <si>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</si>
  <si>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</si>
  <si>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</si>
  <si>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</si>
  <si>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</si>
  <si>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</si>
  <si>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</si>
  <si>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</si>
  <si>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</si>
  <si>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</si>
  <si>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</si>
  <si>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</si>
  <si>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</si>
  <si>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</si>
  <si>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</si>
  <si>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</si>
  <si>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</si>
  <si>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</si>
  <si>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</si>
  <si>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</si>
  <si>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</si>
  <si>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</si>
  <si>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</si>
  <si>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</si>
  <si>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</si>
  <si>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</si>
  <si>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</si>
  <si>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</si>
  <si>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</si>
  <si>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</si>
  <si>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</si>
  <si>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</si>
  <si>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</si>
  <si>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</si>
  <si>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</si>
  <si>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</si>
  <si>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</si>
  <si>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SANGAMON</t>
  </si>
  <si>
    <t>6425 OLD ROUTE 36</t>
  </si>
  <si>
    <t xml:space="preserve">RIVERTON   </t>
  </si>
  <si>
    <t>mgum@rivertonschools.org</t>
  </si>
  <si>
    <t>LOY MILLER TALLEY, PC</t>
  </si>
  <si>
    <t xml:space="preserve">KENNETH E. LOY </t>
  </si>
  <si>
    <t>#2 CROSSROADS COURT</t>
  </si>
  <si>
    <t>ALTON</t>
  </si>
  <si>
    <t>IL</t>
  </si>
  <si>
    <t>618-465-1196</t>
  </si>
  <si>
    <t>618-465-2900</t>
  </si>
  <si>
    <t>KEN@LMTCPAS.COM</t>
  </si>
  <si>
    <t>BRAD POLANIN</t>
  </si>
  <si>
    <t>bpolanin@rivertonschools.org</t>
  </si>
  <si>
    <t>217-629-6009</t>
  </si>
  <si>
    <t>217-629-6008</t>
  </si>
  <si>
    <t>JEFF VOSE</t>
  </si>
  <si>
    <t>jvose@roe51.org</t>
  </si>
  <si>
    <t>217-753-6620</t>
  </si>
  <si>
    <t>G.O. BOND, SERIES 2010</t>
  </si>
  <si>
    <t>G.O. LIMITED TAX SCHOOL BONDS, 2017A</t>
  </si>
  <si>
    <t>G.O. REFUNDING BONDS, 2017B</t>
  </si>
  <si>
    <t>G.O. LIMITED TAX SCHOOL BONDS, 2020A</t>
  </si>
  <si>
    <t>1,3</t>
  </si>
  <si>
    <t>G.O. ALTERNATE REVENUE BONDS, 2020B</t>
  </si>
  <si>
    <t>NO CONTRACTS</t>
  </si>
  <si>
    <t>1993 Revenue-Revenue from PE Uniform fees, Parking fees, CACC fees</t>
  </si>
  <si>
    <t>1999 Revenue-Revenue from local contracts, retiree and COBRA insurance payments, miscellaneous local grants</t>
  </si>
  <si>
    <t>4399 Revenue-Title I School Improvement 4331</t>
  </si>
  <si>
    <t>2900 Expenses-Salaries for MS and ES crossing guards</t>
  </si>
  <si>
    <t>4190 Expenses-School Liasion Officer Salary shared with Village of Riverton</t>
  </si>
  <si>
    <t>5400 Expenses-Bond Issuance Cost</t>
  </si>
  <si>
    <t>U.S. DEPARTMENT OF AGRICULTURE PASS-THROUGH</t>
  </si>
  <si>
    <t>PROGRAMS FROM ILLINOIS STATE BOARD OF EDUCATION:</t>
  </si>
  <si>
    <t>CHILD NUTRITION CLUSTER:</t>
  </si>
  <si>
    <t>(M) NATIONAL SCHOOL LUNCH PROGRAM</t>
  </si>
  <si>
    <t>19-4210-00</t>
  </si>
  <si>
    <t xml:space="preserve"> NATIONAL SCHOOL LUNCH PROGRAM</t>
  </si>
  <si>
    <t>(M) SCHOOL BREAKFAST PROGRAM</t>
  </si>
  <si>
    <t>19-4220-00</t>
  </si>
  <si>
    <t>SCHOOL BREAKFAST PROGRAM</t>
  </si>
  <si>
    <t>TOTAL CHILD NUTRITION CLUSTER</t>
  </si>
  <si>
    <t>COMMODITIES (NON-CASH)</t>
  </si>
  <si>
    <t>DEPARTMENT OF DEFENSE FRESH FRUITS &amp; VEGETABLES</t>
  </si>
  <si>
    <t>TOTAL U.S. DEPARTMENT OF AGRICULTURE PASS-THROUGH PROGRAMS</t>
  </si>
  <si>
    <t>20-4210-00</t>
  </si>
  <si>
    <t>20-4220-00</t>
  </si>
  <si>
    <t>N/A</t>
  </si>
  <si>
    <t>20-4250-00</t>
  </si>
  <si>
    <t>(M) SUMMER FOOD SERVICE PROGRAM</t>
  </si>
  <si>
    <t>20-4225-00</t>
  </si>
  <si>
    <t>US DEPARTMENT OF EDUCATION:</t>
  </si>
  <si>
    <t>PASS-THROUGH PROGRAMS FROM IL STATE BOARD OF EDUCATION:</t>
  </si>
  <si>
    <t>TITLE I - LOW INCOME</t>
  </si>
  <si>
    <t>19-4300-00</t>
  </si>
  <si>
    <t xml:space="preserve"> TITLE I - LOW INCOME</t>
  </si>
  <si>
    <t>TITLE I - SCHOOL IMPROVEMENT &amp; ACCOUNTABILITY</t>
  </si>
  <si>
    <t>19-4331-00</t>
  </si>
  <si>
    <t>TITLE II - TEACHER QUALITY</t>
  </si>
  <si>
    <t>19-4932-00</t>
  </si>
  <si>
    <t>TOTAL PASS-THROUGH FROM US DEPARTMENT OF EDUCATION</t>
  </si>
  <si>
    <t>20-4300-00</t>
  </si>
  <si>
    <t>20-4331-00</t>
  </si>
  <si>
    <t>20-4932-00</t>
  </si>
  <si>
    <t>TOTAL FEDERAL FUNDS:</t>
  </si>
  <si>
    <t>PASS-THROUGH IL STATE BOARD OF EDUCATION</t>
  </si>
  <si>
    <t xml:space="preserve"> PASS-THROUGH DEPARTMENT OF HEALTHCARE &amp; FAMILY SERVICES</t>
  </si>
  <si>
    <t>PASS-THROUGH OTHER ENTITIES</t>
  </si>
  <si>
    <t>TOTAL FEDERAL AWARDS</t>
  </si>
  <si>
    <t>US DEPARTMENT OF HEALTH &amp; HUMAN SERVICES:</t>
  </si>
  <si>
    <t>PASS-THROUGH ILLINOIS DEPARTMENT OF HEALTHCARE &amp; FAMILY SERVICES</t>
  </si>
  <si>
    <t>MEDICAID ADMINISTRATIVE OUTREACH</t>
  </si>
  <si>
    <t>TOTAL US DEPARTMENT OF HEALT H &amp; HUMAN SERVICES</t>
  </si>
  <si>
    <t>20-4991-00</t>
  </si>
  <si>
    <t>OTHER PASS-THROUGH ENTITIES -</t>
  </si>
  <si>
    <t>PASS-TRHOUGH FROM SPECIAL EDUCATION REGION 3:</t>
  </si>
  <si>
    <t>IDEA FLOW-THROUGH FED</t>
  </si>
  <si>
    <t>IDEA - ROOM &amp; BOARD</t>
  </si>
  <si>
    <t>IDEA PRESCHOOL</t>
  </si>
  <si>
    <t>TOTAL PASS THROUGH SPECIAL EDUCATION</t>
  </si>
  <si>
    <t>TOTAL OTHER PASS-THROUGH ENTITIES</t>
  </si>
  <si>
    <t>20-4620-00</t>
  </si>
  <si>
    <t>20-4600-00</t>
  </si>
  <si>
    <t>19-4625-00</t>
  </si>
  <si>
    <t>20-4625-00</t>
  </si>
  <si>
    <t>NO FEDERAL AWARDS WERE PROVIDED TO SUBRECIPIENTS</t>
  </si>
  <si>
    <r>
      <t xml:space="preserve">The accompanying Schedule of Expenditures of Federal Awards includes the federal grant activity of </t>
    </r>
    <r>
      <rPr>
        <b/>
        <sz val="9"/>
        <rFont val="Calibri"/>
        <family val="2"/>
        <scheme val="minor"/>
      </rPr>
      <t>Riverton Community Unit School District #14</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</si>
  <si>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Riverton Community Unit School District #14</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</si>
  <si>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Riverton Community Unit School District #14</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</si>
  <si>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t>
  </si>
  <si>
    <t>UNMODIFIED</t>
  </si>
  <si>
    <t xml:space="preserve">NATIONAL SCHOOL LUNCH PROGRAM </t>
  </si>
  <si>
    <t xml:space="preserve"> SUMMER FOOD SERVICE PROGRAM</t>
  </si>
  <si>
    <t>NO AUDIT FINDINGS FOR FISCAL YEAR END JUNE 30, 2020</t>
  </si>
  <si>
    <t>NONE</t>
  </si>
  <si>
    <t>066-004886</t>
  </si>
  <si>
    <t xml:space="preserve">   Riverton CUSD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</si>
</sst>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4">
        <f>+'AFR20'!E4</f>
        <v>44119</v>
      </c>
      <c r="C1" s="2124"/>
      <c r="D1" s="2125"/>
      <c r="I1" s="2083" t="s">
        <v>402</v>
      </c>
      <c r="J1" s="2084"/>
      <c r="K1" s="2084"/>
      <c r="L1" s="2084"/>
      <c r="M1" s="2084"/>
      <c r="N1" s="2084"/>
      <c r="O1" s="2084"/>
      <c r="P1" s="2084"/>
      <c r="Q1" s="2084"/>
      <c r="R1" s="2084"/>
      <c r="S1" s="2084"/>
    </row>
    <row r="2" spans="1:32" ht="12" customHeight="1" x14ac:dyDescent="0.2">
      <c r="A2" s="1831" t="str">
        <f>"Due to ISBE on "</f>
        <v xml:space="preserve">Due to ISBE on </v>
      </c>
      <c r="B2" s="2126">
        <f>+'AFR20'!F4</f>
        <v>44151</v>
      </c>
      <c r="C2" s="2126"/>
      <c r="D2" s="2127"/>
      <c r="I2" s="2085" t="s">
        <v>2000</v>
      </c>
      <c r="J2" s="2084"/>
      <c r="K2" s="2084"/>
      <c r="L2" s="2084"/>
      <c r="M2" s="2084"/>
      <c r="N2" s="2084"/>
      <c r="O2" s="2084"/>
      <c r="P2" s="2084"/>
      <c r="Q2" s="2084"/>
      <c r="R2" s="2084"/>
      <c r="S2" s="2084"/>
    </row>
    <row r="3" spans="1:32" ht="12" customHeight="1" x14ac:dyDescent="0.2">
      <c r="A3" s="1834" t="str">
        <f>"SD/JA"&amp;MID('AFR20'!E2,3,2)</f>
        <v>SD/JA20</v>
      </c>
      <c r="B3" s="151"/>
      <c r="C3" s="151"/>
      <c r="D3" s="152"/>
      <c r="I3" s="2085" t="s">
        <v>52</v>
      </c>
      <c r="J3" s="2084"/>
      <c r="K3" s="2084"/>
      <c r="L3" s="2084"/>
      <c r="M3" s="2084"/>
      <c r="N3" s="2084"/>
      <c r="O3" s="2084"/>
      <c r="P3" s="2084"/>
      <c r="Q3" s="2084"/>
      <c r="R3" s="2084"/>
      <c r="S3" s="2084"/>
    </row>
    <row r="4" spans="1:32" ht="12" customHeight="1" x14ac:dyDescent="0.2">
      <c r="A4" s="37"/>
      <c r="I4" s="2085" t="s">
        <v>521</v>
      </c>
      <c r="J4" s="2084"/>
      <c r="K4" s="2084"/>
      <c r="L4" s="2084"/>
      <c r="M4" s="2084"/>
      <c r="N4" s="2084"/>
      <c r="O4" s="2084"/>
      <c r="P4" s="2084"/>
      <c r="Q4" s="2084"/>
      <c r="R4" s="2084"/>
      <c r="S4" s="2084"/>
    </row>
    <row r="5" spans="1:32" ht="14.1" customHeight="1" x14ac:dyDescent="0.2">
      <c r="B5" s="101" t="s">
        <v>2048</v>
      </c>
      <c r="C5" s="26" t="s">
        <v>904</v>
      </c>
      <c r="D5" s="81"/>
      <c r="E5" s="81"/>
      <c r="H5" s="38"/>
      <c r="I5" s="2093" t="s">
        <v>675</v>
      </c>
      <c r="J5" s="2092"/>
      <c r="K5" s="2092"/>
      <c r="L5" s="2092"/>
      <c r="M5" s="2092"/>
      <c r="N5" s="2092"/>
      <c r="O5" s="2092"/>
      <c r="P5" s="2092"/>
      <c r="Q5" s="2092"/>
      <c r="R5" s="2092"/>
      <c r="S5" s="2092"/>
      <c r="AF5" s="1827"/>
    </row>
    <row r="6" spans="1:32" ht="14.1" customHeight="1" x14ac:dyDescent="0.2">
      <c r="B6" s="101"/>
      <c r="C6" s="26" t="s">
        <v>905</v>
      </c>
      <c r="D6" s="81"/>
      <c r="E6" s="81"/>
      <c r="I6" s="2091" t="s">
        <v>877</v>
      </c>
      <c r="J6" s="2092"/>
      <c r="K6" s="2092"/>
      <c r="L6" s="2092"/>
      <c r="M6" s="2092"/>
      <c r="N6" s="2092"/>
      <c r="O6" s="2092"/>
      <c r="P6" s="2092"/>
      <c r="Q6" s="2092"/>
      <c r="R6" s="2092"/>
      <c r="S6" s="2092"/>
    </row>
    <row r="7" spans="1:32" ht="12.2" customHeight="1" x14ac:dyDescent="0.2">
      <c r="I7" s="2086" t="str">
        <f>"June 30, "&amp;'AFR20'!E2</f>
        <v>June 30, 2020</v>
      </c>
      <c r="J7" s="2087"/>
      <c r="K7" s="2087"/>
      <c r="L7" s="2087"/>
      <c r="M7" s="2087"/>
      <c r="N7" s="2087"/>
      <c r="O7" s="2087"/>
      <c r="P7" s="2087"/>
      <c r="Q7" s="2087"/>
      <c r="R7" s="2087"/>
      <c r="S7" s="208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8" t="s">
        <v>669</v>
      </c>
      <c r="J9" s="2089"/>
      <c r="K9" s="2089"/>
      <c r="L9" s="2089"/>
      <c r="M9" s="2089"/>
      <c r="N9" s="2089"/>
      <c r="O9" s="2089"/>
      <c r="P9" s="2089"/>
      <c r="Q9" s="2089"/>
      <c r="R9" s="2089"/>
      <c r="S9" s="2090"/>
      <c r="T9" s="2141" t="s">
        <v>530</v>
      </c>
      <c r="U9" s="2142"/>
      <c r="V9" s="2142"/>
      <c r="W9" s="2142"/>
      <c r="X9" s="2142"/>
      <c r="Y9" s="2142"/>
      <c r="Z9" s="2142"/>
      <c r="AA9" s="2143"/>
    </row>
    <row r="10" spans="1:32" ht="13.5" customHeight="1" x14ac:dyDescent="0.2">
      <c r="A10" s="2148" t="s">
        <v>670</v>
      </c>
      <c r="B10" s="2149"/>
      <c r="C10" s="2149"/>
      <c r="D10" s="2149"/>
      <c r="E10" s="2149"/>
      <c r="F10" s="2149"/>
      <c r="G10" s="2149"/>
      <c r="H10" s="2150"/>
      <c r="I10" s="29"/>
      <c r="J10" s="30"/>
      <c r="K10" s="28"/>
      <c r="R10" s="30"/>
      <c r="S10" s="30"/>
      <c r="T10" s="2144"/>
      <c r="U10" s="2092"/>
      <c r="V10" s="2092"/>
      <c r="W10" s="2092"/>
      <c r="X10" s="2092"/>
      <c r="Y10" s="2092"/>
      <c r="Z10" s="2092"/>
      <c r="AA10" s="2098"/>
    </row>
    <row r="11" spans="1:32" ht="14.25" customHeight="1" x14ac:dyDescent="0.2">
      <c r="A11" s="2151" t="s">
        <v>949</v>
      </c>
      <c r="B11" s="2152"/>
      <c r="C11" s="2152"/>
      <c r="D11" s="2152"/>
      <c r="E11" s="2152"/>
      <c r="F11" s="2152"/>
      <c r="G11" s="2152"/>
      <c r="H11" s="2153"/>
      <c r="I11" s="27"/>
      <c r="J11" s="71"/>
      <c r="K11" s="27"/>
      <c r="O11" s="144" t="s">
        <v>2048</v>
      </c>
      <c r="P11" s="97" t="s">
        <v>199</v>
      </c>
      <c r="Q11" s="30"/>
      <c r="R11" s="28"/>
      <c r="S11" s="27"/>
      <c r="T11" s="2145"/>
      <c r="U11" s="2146"/>
      <c r="V11" s="2146"/>
      <c r="W11" s="2146"/>
      <c r="X11" s="2146"/>
      <c r="Y11" s="2146"/>
      <c r="Z11" s="2146"/>
      <c r="AA11" s="214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4">
        <v>51084014026</v>
      </c>
      <c r="B13" s="2105"/>
      <c r="C13" s="2105"/>
      <c r="D13" s="2105"/>
      <c r="E13" s="2105"/>
      <c r="F13" s="2105"/>
      <c r="G13" s="2105"/>
      <c r="H13" s="2106"/>
      <c r="I13" s="31"/>
      <c r="J13" s="30"/>
      <c r="K13" s="28"/>
      <c r="L13" s="30"/>
      <c r="M13" s="30"/>
      <c r="N13" s="30"/>
      <c r="O13" s="30"/>
      <c r="P13" s="30"/>
      <c r="Q13" s="30"/>
      <c r="R13" s="30"/>
      <c r="S13" s="30"/>
      <c r="T13" s="2110" t="s">
        <v>2053</v>
      </c>
      <c r="U13" s="2111"/>
      <c r="V13" s="2111"/>
      <c r="W13" s="2111"/>
      <c r="X13" s="2111"/>
      <c r="Y13" s="2112"/>
      <c r="Z13" s="2112"/>
      <c r="AA13" s="2113"/>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7" t="s">
        <v>2049</v>
      </c>
      <c r="B15" s="2108"/>
      <c r="C15" s="2108"/>
      <c r="D15" s="2108"/>
      <c r="E15" s="2108"/>
      <c r="F15" s="2108"/>
      <c r="G15" s="2108"/>
      <c r="H15" s="2109"/>
      <c r="T15" s="2114" t="s">
        <v>2054</v>
      </c>
      <c r="U15" s="2071"/>
      <c r="V15" s="2071"/>
      <c r="W15" s="2071"/>
      <c r="X15" s="2071"/>
      <c r="Y15" s="2115"/>
      <c r="Z15" s="2115"/>
      <c r="AA15" s="211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7" t="s">
        <v>2145</v>
      </c>
      <c r="B17" s="2078"/>
      <c r="C17" s="2078"/>
      <c r="D17" s="2078"/>
      <c r="E17" s="2078"/>
      <c r="F17" s="2078"/>
      <c r="G17" s="2078"/>
      <c r="H17" s="2103"/>
      <c r="T17" s="2121" t="s">
        <v>2055</v>
      </c>
      <c r="U17" s="2122"/>
      <c r="V17" s="2122"/>
      <c r="W17" s="2122"/>
      <c r="X17" s="2122"/>
      <c r="Y17" s="2122"/>
      <c r="Z17" s="2122"/>
      <c r="AA17" s="2123"/>
    </row>
    <row r="18" spans="1:27" ht="13.5" customHeight="1" x14ac:dyDescent="0.2">
      <c r="A18" s="82" t="s">
        <v>527</v>
      </c>
      <c r="B18" s="73"/>
      <c r="C18" s="69"/>
      <c r="D18" s="73"/>
      <c r="E18" s="73"/>
      <c r="F18" s="73"/>
      <c r="G18" s="73"/>
      <c r="H18" s="53"/>
      <c r="I18" s="2102" t="s">
        <v>671</v>
      </c>
      <c r="J18" s="2053"/>
      <c r="K18" s="2053"/>
      <c r="L18" s="2053"/>
      <c r="M18" s="2053"/>
      <c r="N18" s="2053"/>
      <c r="O18" s="2053"/>
      <c r="P18" s="2053"/>
      <c r="Q18" s="2053"/>
      <c r="R18" s="2053"/>
      <c r="S18" s="2054"/>
      <c r="T18" s="82" t="s">
        <v>706</v>
      </c>
      <c r="U18" s="48"/>
      <c r="V18" s="69"/>
      <c r="W18" s="47"/>
      <c r="X18" s="82" t="s">
        <v>264</v>
      </c>
      <c r="Y18" s="78"/>
      <c r="Z18" s="154" t="s">
        <v>672</v>
      </c>
      <c r="AA18" s="44"/>
    </row>
    <row r="19" spans="1:27" ht="13.5" customHeight="1" x14ac:dyDescent="0.2">
      <c r="A19" s="2107" t="s">
        <v>2050</v>
      </c>
      <c r="B19" s="2063"/>
      <c r="C19" s="2063"/>
      <c r="D19" s="2063"/>
      <c r="E19" s="2063"/>
      <c r="F19" s="2063"/>
      <c r="G19" s="2063"/>
      <c r="H19" s="2043"/>
      <c r="I19" s="30"/>
      <c r="J19" s="96"/>
      <c r="K19" s="40"/>
      <c r="L19" s="38"/>
      <c r="M19" s="109" t="s">
        <v>312</v>
      </c>
      <c r="P19" s="27"/>
      <c r="Q19" s="27"/>
      <c r="R19" s="27"/>
      <c r="S19" s="31"/>
      <c r="T19" s="2107" t="s">
        <v>2056</v>
      </c>
      <c r="U19" s="2042"/>
      <c r="V19" s="2042"/>
      <c r="W19" s="2043"/>
      <c r="X19" s="2119" t="s">
        <v>2057</v>
      </c>
      <c r="Y19" s="2120"/>
      <c r="Z19" s="2117">
        <v>62002</v>
      </c>
      <c r="AA19" s="211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1" t="s">
        <v>2051</v>
      </c>
      <c r="B21" s="2042"/>
      <c r="C21" s="2042"/>
      <c r="D21" s="2042"/>
      <c r="E21" s="2042"/>
      <c r="F21" s="2042"/>
      <c r="G21" s="2042"/>
      <c r="H21" s="2043"/>
      <c r="I21" s="2097" t="s">
        <v>673</v>
      </c>
      <c r="J21" s="2092"/>
      <c r="K21" s="2092"/>
      <c r="L21" s="2092"/>
      <c r="M21" s="2092"/>
      <c r="N21" s="2092"/>
      <c r="O21" s="2092"/>
      <c r="P21" s="2092"/>
      <c r="Q21" s="2092"/>
      <c r="R21" s="2092"/>
      <c r="S21" s="2098"/>
      <c r="T21" s="2132" t="s">
        <v>2058</v>
      </c>
      <c r="U21" s="2133"/>
      <c r="V21" s="2133"/>
      <c r="W21" s="2133"/>
      <c r="X21" s="2138" t="s">
        <v>2059</v>
      </c>
      <c r="Y21" s="2139"/>
      <c r="Z21" s="2139"/>
      <c r="AA21" s="2140"/>
    </row>
    <row r="22" spans="1:27" ht="13.5" customHeight="1" x14ac:dyDescent="0.2">
      <c r="A22" s="84" t="s">
        <v>528</v>
      </c>
      <c r="B22" s="56"/>
      <c r="C22" s="56"/>
      <c r="D22" s="56"/>
      <c r="E22" s="56"/>
      <c r="F22" s="56"/>
      <c r="G22" s="56"/>
      <c r="H22" s="57"/>
      <c r="I22" s="2099" t="s">
        <v>1412</v>
      </c>
      <c r="J22" s="2100"/>
      <c r="K22" s="2100"/>
      <c r="L22" s="2100"/>
      <c r="M22" s="2100"/>
      <c r="N22" s="2100"/>
      <c r="O22" s="2100"/>
      <c r="P22" s="2100"/>
      <c r="Q22" s="2100"/>
      <c r="R22" s="2100"/>
      <c r="S22" s="2101"/>
      <c r="T22" s="82" t="s">
        <v>1499</v>
      </c>
      <c r="U22" s="48"/>
      <c r="V22" s="69"/>
      <c r="W22" s="48"/>
      <c r="X22" s="155" t="s">
        <v>1307</v>
      </c>
      <c r="Z22" s="43"/>
      <c r="AA22" s="44"/>
    </row>
    <row r="23" spans="1:27" ht="13.5" customHeight="1" x14ac:dyDescent="0.2">
      <c r="A23" s="2094" t="s">
        <v>2052</v>
      </c>
      <c r="B23" s="2095"/>
      <c r="C23" s="2095"/>
      <c r="D23" s="2095"/>
      <c r="E23" s="2095"/>
      <c r="F23" s="2095"/>
      <c r="G23" s="2095"/>
      <c r="H23" s="2096"/>
      <c r="T23" s="2077" t="s">
        <v>2144</v>
      </c>
      <c r="U23" s="2131"/>
      <c r="V23" s="2131"/>
      <c r="W23" s="2131"/>
      <c r="X23" s="2135">
        <v>44530</v>
      </c>
      <c r="Y23" s="2136"/>
      <c r="Z23" s="2136"/>
      <c r="AA23" s="2137"/>
    </row>
    <row r="24" spans="1:27" ht="14.1" customHeight="1" x14ac:dyDescent="0.2">
      <c r="A24" s="85" t="s">
        <v>672</v>
      </c>
      <c r="B24" s="46"/>
      <c r="C24" s="46"/>
      <c r="D24" s="46"/>
      <c r="E24" s="46"/>
      <c r="F24" s="46"/>
      <c r="G24" s="46"/>
      <c r="H24" s="58"/>
      <c r="J24" s="2064">
        <f>IF(B5="x",IF(AUDITCHECK!D29="AFR form Incomplete.","",IF(AUDITCHECK!D29="Deficit reduction plan is required.","School District must complete a deficit reduction plan in the 2020-2021 Budget",)),"")</f>
        <v>0</v>
      </c>
      <c r="K24" s="2064"/>
      <c r="L24" s="2064"/>
      <c r="M24" s="2064"/>
      <c r="N24" s="2064"/>
      <c r="O24" s="2064"/>
      <c r="P24" s="2064"/>
      <c r="Q24" s="2064"/>
      <c r="R24" s="2064"/>
      <c r="S24" s="2065"/>
      <c r="T24" s="102" t="s">
        <v>528</v>
      </c>
      <c r="U24" s="103"/>
      <c r="V24" s="103"/>
      <c r="W24" s="103"/>
      <c r="X24" s="104"/>
      <c r="Y24" s="104"/>
      <c r="Z24" s="104"/>
      <c r="AA24" s="105"/>
    </row>
    <row r="25" spans="1:27" ht="14.1" customHeight="1" x14ac:dyDescent="0.2">
      <c r="A25" s="2041">
        <v>62561</v>
      </c>
      <c r="B25" s="2042"/>
      <c r="C25" s="2042"/>
      <c r="D25" s="2042"/>
      <c r="E25" s="2042"/>
      <c r="F25" s="2042"/>
      <c r="G25" s="2042"/>
      <c r="H25" s="2043"/>
      <c r="I25" s="110"/>
      <c r="J25" s="2066"/>
      <c r="K25" s="2066"/>
      <c r="L25" s="2066"/>
      <c r="M25" s="2066"/>
      <c r="N25" s="2066"/>
      <c r="O25" s="2066"/>
      <c r="P25" s="2066"/>
      <c r="Q25" s="2066"/>
      <c r="R25" s="2066"/>
      <c r="S25" s="2067"/>
      <c r="T25" s="2128" t="s">
        <v>2060</v>
      </c>
      <c r="U25" s="2129"/>
      <c r="V25" s="2129"/>
      <c r="W25" s="2129"/>
      <c r="X25" s="2129"/>
      <c r="Y25" s="2129"/>
      <c r="Z25" s="2129"/>
      <c r="AA25" s="213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2" t="s">
        <v>1494</v>
      </c>
      <c r="J27" s="2053"/>
      <c r="K27" s="2053"/>
      <c r="L27" s="2053"/>
      <c r="M27" s="2053"/>
      <c r="N27" s="2053"/>
      <c r="O27" s="2053"/>
      <c r="P27" s="2053"/>
      <c r="Q27" s="2053"/>
      <c r="R27" s="2053"/>
      <c r="S27" s="2054"/>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144" t="s">
        <v>2048</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3"/>
      <c r="Q35" s="2042"/>
      <c r="R35" s="204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7" t="s">
        <v>2061</v>
      </c>
      <c r="B38" s="2078"/>
      <c r="C38" s="2078"/>
      <c r="D38" s="2078"/>
      <c r="E38" s="2078"/>
      <c r="F38" s="2042"/>
      <c r="G38" s="2042"/>
      <c r="H38" s="2043"/>
      <c r="I38" s="2070"/>
      <c r="J38" s="2071"/>
      <c r="K38" s="2071"/>
      <c r="L38" s="2071"/>
      <c r="M38" s="2071"/>
      <c r="N38" s="2071"/>
      <c r="O38" s="2071"/>
      <c r="P38" s="2072"/>
      <c r="Q38" s="2072"/>
      <c r="R38" s="2072"/>
      <c r="S38" s="2073"/>
      <c r="T38" s="2114" t="s">
        <v>2065</v>
      </c>
      <c r="U38" s="2071"/>
      <c r="V38" s="2071"/>
      <c r="W38" s="2071"/>
      <c r="X38" s="2072"/>
      <c r="Y38" s="2072"/>
      <c r="Z38" s="2072"/>
      <c r="AA38" s="2073"/>
    </row>
    <row r="39" spans="1:27" ht="12" customHeight="1" x14ac:dyDescent="0.2">
      <c r="A39" s="2047" t="s">
        <v>528</v>
      </c>
      <c r="B39" s="2048"/>
      <c r="C39" s="69"/>
      <c r="D39" s="66"/>
      <c r="E39" s="66"/>
      <c r="F39" s="76"/>
      <c r="G39" s="66"/>
      <c r="H39" s="53"/>
      <c r="I39" s="2047" t="s">
        <v>528</v>
      </c>
      <c r="J39" s="2048"/>
      <c r="K39" s="2048"/>
      <c r="L39" s="2048"/>
      <c r="M39" s="2048"/>
      <c r="N39" s="64"/>
      <c r="O39" s="69"/>
      <c r="P39" s="69"/>
      <c r="Q39" s="75"/>
      <c r="R39" s="69"/>
      <c r="S39" s="53"/>
      <c r="T39" s="69" t="s">
        <v>528</v>
      </c>
      <c r="U39" s="48"/>
      <c r="V39" s="69"/>
      <c r="W39" s="47"/>
      <c r="X39" s="75"/>
      <c r="Y39" s="43"/>
      <c r="Z39" s="43"/>
      <c r="AA39" s="44"/>
    </row>
    <row r="40" spans="1:27" ht="13.5" customHeight="1" x14ac:dyDescent="0.2">
      <c r="A40" s="2055" t="s">
        <v>2062</v>
      </c>
      <c r="B40" s="2056"/>
      <c r="C40" s="2057"/>
      <c r="D40" s="2057"/>
      <c r="E40" s="2057"/>
      <c r="F40" s="2058"/>
      <c r="G40" s="2058"/>
      <c r="H40" s="2059"/>
      <c r="I40" s="2080"/>
      <c r="J40" s="2081"/>
      <c r="K40" s="2081"/>
      <c r="L40" s="2081"/>
      <c r="M40" s="2081"/>
      <c r="N40" s="2081"/>
      <c r="O40" s="2081"/>
      <c r="P40" s="2081"/>
      <c r="Q40" s="2081"/>
      <c r="R40" s="2081"/>
      <c r="S40" s="2082"/>
      <c r="T40" s="2080" t="s">
        <v>2066</v>
      </c>
      <c r="U40" s="2134"/>
      <c r="V40" s="2081"/>
      <c r="W40" s="2081"/>
      <c r="X40" s="2081"/>
      <c r="Y40" s="2081"/>
      <c r="Z40" s="2081"/>
      <c r="AA40" s="208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9" t="s">
        <v>2063</v>
      </c>
      <c r="B42" s="2061"/>
      <c r="C42" s="2062"/>
      <c r="D42" s="2060" t="s">
        <v>2064</v>
      </c>
      <c r="E42" s="2061"/>
      <c r="F42" s="2061"/>
      <c r="G42" s="2061"/>
      <c r="H42" s="2062"/>
      <c r="I42" s="2044"/>
      <c r="J42" s="2045"/>
      <c r="K42" s="2045"/>
      <c r="L42" s="2045"/>
      <c r="M42" s="2045"/>
      <c r="N42" s="2045"/>
      <c r="O42" s="2046"/>
      <c r="P42" s="2079"/>
      <c r="Q42" s="2045"/>
      <c r="R42" s="2045"/>
      <c r="S42" s="2046"/>
      <c r="T42" s="2044" t="s">
        <v>2067</v>
      </c>
      <c r="U42" s="2045"/>
      <c r="V42" s="2045"/>
      <c r="W42" s="2046"/>
      <c r="X42" s="2079"/>
      <c r="Y42" s="2045"/>
      <c r="Z42" s="2045"/>
      <c r="AA42" s="204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4"/>
      <c r="B44" s="2075"/>
      <c r="C44" s="2075"/>
      <c r="D44" s="2075"/>
      <c r="E44" s="2075"/>
      <c r="F44" s="2075"/>
      <c r="G44" s="2075"/>
      <c r="H44" s="2076"/>
      <c r="I44" s="2049"/>
      <c r="J44" s="2050"/>
      <c r="K44" s="2050"/>
      <c r="L44" s="2050"/>
      <c r="M44" s="2050"/>
      <c r="N44" s="2050"/>
      <c r="O44" s="2050"/>
      <c r="P44" s="2050"/>
      <c r="Q44" s="2050"/>
      <c r="R44" s="2050"/>
      <c r="S44" s="2051"/>
      <c r="T44" s="2049"/>
      <c r="U44" s="2068"/>
      <c r="V44" s="2068"/>
      <c r="W44" s="2068"/>
      <c r="X44" s="2068"/>
      <c r="Y44" s="2068"/>
      <c r="Z44" s="2050"/>
      <c r="AA44" s="205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2"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3"/>
      <c r="B3" s="1294"/>
      <c r="C3" s="1295"/>
      <c r="D3" s="1296" t="s">
        <v>254</v>
      </c>
      <c r="E3" s="1295"/>
      <c r="F3" s="1296" t="s">
        <v>255</v>
      </c>
    </row>
    <row r="4" spans="1:8" ht="13.7" customHeight="1" x14ac:dyDescent="0.2">
      <c r="A4" s="579" t="s">
        <v>1145</v>
      </c>
      <c r="B4" s="1721">
        <f>'Revenues 9-14'!C5</f>
        <v>3044910</v>
      </c>
      <c r="C4" s="1722">
        <v>1517062</v>
      </c>
      <c r="D4" s="1723">
        <f>B4-C4</f>
        <v>1527848</v>
      </c>
      <c r="E4" s="1722">
        <v>3249189</v>
      </c>
      <c r="F4" s="1723">
        <f>E4-C4</f>
        <v>1732127</v>
      </c>
    </row>
    <row r="5" spans="1:8" ht="13.7" customHeight="1" x14ac:dyDescent="0.2">
      <c r="A5" s="579" t="s">
        <v>865</v>
      </c>
      <c r="B5" s="1724">
        <f>'Revenues 9-14'!D5</f>
        <v>656450</v>
      </c>
      <c r="C5" s="1664">
        <v>350806</v>
      </c>
      <c r="D5" s="1725">
        <f t="shared" ref="D5:D18" si="0">B5-C5</f>
        <v>305644</v>
      </c>
      <c r="E5" s="1664">
        <v>751344</v>
      </c>
      <c r="F5" s="1725">
        <f>E5-C5</f>
        <v>400538</v>
      </c>
    </row>
    <row r="6" spans="1:8" ht="13.7" customHeight="1" x14ac:dyDescent="0.2">
      <c r="A6" s="579" t="s">
        <v>408</v>
      </c>
      <c r="B6" s="1724">
        <f>'Revenues 9-14'!E5</f>
        <v>902140</v>
      </c>
      <c r="C6" s="1664">
        <v>444569</v>
      </c>
      <c r="D6" s="1725">
        <f t="shared" si="0"/>
        <v>457571</v>
      </c>
      <c r="E6" s="1664">
        <v>952162</v>
      </c>
      <c r="F6" s="1725">
        <f t="shared" ref="F6:F18" si="1">E6-C6</f>
        <v>507593</v>
      </c>
    </row>
    <row r="7" spans="1:8" ht="13.7" customHeight="1" x14ac:dyDescent="0.2">
      <c r="A7" s="579" t="s">
        <v>154</v>
      </c>
      <c r="B7" s="1724">
        <f>'Revenues 9-14'!F5</f>
        <v>333783</v>
      </c>
      <c r="C7" s="1664">
        <v>202775</v>
      </c>
      <c r="D7" s="1725">
        <f t="shared" si="0"/>
        <v>131008</v>
      </c>
      <c r="E7" s="1664">
        <v>434297</v>
      </c>
      <c r="F7" s="1725">
        <f t="shared" si="1"/>
        <v>231522</v>
      </c>
    </row>
    <row r="8" spans="1:8" ht="13.7" customHeight="1" x14ac:dyDescent="0.2">
      <c r="A8" s="579" t="s">
        <v>1169</v>
      </c>
      <c r="B8" s="1724">
        <f>'Revenues 9-14'!G5</f>
        <v>176579</v>
      </c>
      <c r="C8" s="1664">
        <v>45571</v>
      </c>
      <c r="D8" s="1725">
        <f t="shared" si="0"/>
        <v>131008</v>
      </c>
      <c r="E8" s="1664">
        <v>97602</v>
      </c>
      <c r="F8" s="1725">
        <f t="shared" si="1"/>
        <v>52031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71384</v>
      </c>
      <c r="C14" s="1664">
        <v>36457</v>
      </c>
      <c r="D14" s="1725">
        <f t="shared" si="0"/>
        <v>34927</v>
      </c>
      <c r="E14" s="1664">
        <v>78082</v>
      </c>
      <c r="F14" s="1725">
        <f t="shared" si="1"/>
        <v>41625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222149</v>
      </c>
      <c r="C16" s="1664">
        <v>91141</v>
      </c>
      <c r="D16" s="1725">
        <f t="shared" si="0"/>
        <v>131008</v>
      </c>
      <c r="E16" s="1664">
        <v>195204</v>
      </c>
      <c r="F16" s="1725">
        <f t="shared" si="1"/>
        <v>104063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5407395</v>
      </c>
      <c r="C19" s="1726">
        <f>SUM(C4:C18)</f>
        <v>2688381</v>
      </c>
      <c r="D19" s="1726">
        <f>SUM(D4:D18)</f>
        <v>2719014</v>
      </c>
      <c r="E19" s="1726">
        <f>SUM(E4:E18)</f>
        <v>5757880</v>
      </c>
      <c r="F19" s="1726">
        <f>SUM(F4:F18)</f>
        <v>3069499</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9"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4" t="s">
        <v>625</v>
      </c>
      <c r="B1" s="2312"/>
      <c r="C1" s="585"/>
    </row>
    <row r="2" spans="1:7" ht="33.75" x14ac:dyDescent="0.2">
      <c r="A2" s="2319" t="s">
        <v>1776</v>
      </c>
      <c r="B2" s="232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1" t="s">
        <v>1104</v>
      </c>
      <c r="B3" s="2322"/>
      <c r="C3" s="2315"/>
      <c r="D3" s="2316"/>
      <c r="E3" s="2316"/>
      <c r="F3" s="2317"/>
    </row>
    <row r="4" spans="1:7" ht="12.75" customHeight="1" thickBot="1" x14ac:dyDescent="0.25">
      <c r="A4" s="2309" t="s">
        <v>626</v>
      </c>
      <c r="B4" s="2310"/>
      <c r="C4" s="1656"/>
      <c r="D4" s="1656"/>
      <c r="E4" s="1656"/>
      <c r="F4" s="1732">
        <f>SUM(C4+D4)-E4</f>
        <v>0</v>
      </c>
    </row>
    <row r="5" spans="1:7" ht="15.75" customHeight="1" thickTop="1" x14ac:dyDescent="0.2">
      <c r="A5" s="2313" t="s">
        <v>1101</v>
      </c>
      <c r="B5" s="2308"/>
      <c r="C5" s="2302"/>
      <c r="D5" s="2303"/>
      <c r="E5" s="2303"/>
      <c r="F5" s="2304"/>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5" t="s">
        <v>627</v>
      </c>
      <c r="B15" s="2306"/>
      <c r="C15" s="1732">
        <f>SUM(C6:C14)</f>
        <v>0</v>
      </c>
      <c r="D15" s="1732">
        <f>SUM(D6:D14)</f>
        <v>0</v>
      </c>
      <c r="E15" s="1732">
        <f>SUM(E6:E14)</f>
        <v>0</v>
      </c>
      <c r="F15" s="1732">
        <f>SUM(F6:F14)</f>
        <v>0</v>
      </c>
      <c r="G15" s="473"/>
    </row>
    <row r="16" spans="1:7" s="197" customFormat="1" ht="15.75" customHeight="1" thickTop="1" x14ac:dyDescent="0.2">
      <c r="A16" s="2318" t="s">
        <v>1102</v>
      </c>
      <c r="B16" s="2308"/>
      <c r="C16" s="2302"/>
      <c r="D16" s="2303"/>
      <c r="E16" s="2303"/>
      <c r="F16" s="2304"/>
    </row>
    <row r="17" spans="1:11" ht="12.75" customHeight="1" thickBot="1" x14ac:dyDescent="0.25">
      <c r="A17" s="2300" t="s">
        <v>64</v>
      </c>
      <c r="B17" s="2301"/>
      <c r="C17" s="1733"/>
      <c r="D17" s="1664"/>
      <c r="E17" s="1733"/>
      <c r="F17" s="1732">
        <f>SUM(C17+D17)-E17</f>
        <v>0</v>
      </c>
    </row>
    <row r="18" spans="1:11" ht="12.75" customHeight="1" thickTop="1" thickBot="1" x14ac:dyDescent="0.25">
      <c r="A18" s="2300" t="s">
        <v>6</v>
      </c>
      <c r="B18" s="2301"/>
      <c r="C18" s="1733"/>
      <c r="D18" s="1664"/>
      <c r="E18" s="1733"/>
      <c r="F18" s="1732">
        <f>SUM(C18+D18)-E18</f>
        <v>0</v>
      </c>
    </row>
    <row r="19" spans="1:11" ht="12.75" customHeight="1" thickTop="1" thickBot="1" x14ac:dyDescent="0.25">
      <c r="A19" s="2300" t="s">
        <v>385</v>
      </c>
      <c r="B19" s="2301"/>
      <c r="C19" s="1733"/>
      <c r="D19" s="1664"/>
      <c r="E19" s="1733"/>
      <c r="F19" s="1732">
        <f>SUM(C19+D19)-E19</f>
        <v>0</v>
      </c>
    </row>
    <row r="20" spans="1:11" ht="12.75" customHeight="1" thickTop="1" thickBot="1" x14ac:dyDescent="0.25">
      <c r="A20" s="2300" t="s">
        <v>445</v>
      </c>
      <c r="B20" s="2301"/>
      <c r="C20" s="1733"/>
      <c r="D20" s="1664"/>
      <c r="E20" s="1733"/>
      <c r="F20" s="1732">
        <f>SUM(C20+D20)-E20</f>
        <v>0</v>
      </c>
    </row>
    <row r="21" spans="1:11" ht="14.25" thickTop="1" thickBot="1" x14ac:dyDescent="0.25">
      <c r="A21" s="2305" t="s">
        <v>628</v>
      </c>
      <c r="B21" s="2306"/>
      <c r="C21" s="1732">
        <f>SUM(C17:C20)</f>
        <v>0</v>
      </c>
      <c r="D21" s="1732">
        <f>SUM(D17:D20)</f>
        <v>0</v>
      </c>
      <c r="E21" s="1732">
        <f>SUM(E17:E20)</f>
        <v>0</v>
      </c>
      <c r="F21" s="1732">
        <f>SUM(F17:F20)</f>
        <v>0</v>
      </c>
      <c r="G21" s="473"/>
    </row>
    <row r="22" spans="1:11" ht="15.75" customHeight="1" thickTop="1" x14ac:dyDescent="0.2">
      <c r="A22" s="2307" t="s">
        <v>1103</v>
      </c>
      <c r="B22" s="2308"/>
      <c r="C22" s="2302"/>
      <c r="D22" s="2303"/>
      <c r="E22" s="2303"/>
      <c r="F22" s="2304"/>
    </row>
    <row r="23" spans="1:11" ht="13.5" thickBot="1" x14ac:dyDescent="0.25">
      <c r="A23" s="2309" t="s">
        <v>629</v>
      </c>
      <c r="B23" s="2310"/>
      <c r="C23" s="1656"/>
      <c r="D23" s="1656"/>
      <c r="E23" s="1656"/>
      <c r="F23" s="1732">
        <f>SUM(C23+D23)-E23</f>
        <v>0</v>
      </c>
      <c r="G23" s="473"/>
    </row>
    <row r="24" spans="1:11" ht="15.75" customHeight="1" thickTop="1" x14ac:dyDescent="0.2">
      <c r="A24" s="2307" t="s">
        <v>2003</v>
      </c>
      <c r="B24" s="2308"/>
      <c r="C24" s="2302"/>
      <c r="D24" s="2303"/>
      <c r="E24" s="2303"/>
      <c r="F24" s="2304"/>
    </row>
    <row r="25" spans="1:11" ht="13.5" thickBot="1" x14ac:dyDescent="0.25">
      <c r="A25" s="2309" t="s">
        <v>2004</v>
      </c>
      <c r="B25" s="2310"/>
      <c r="C25" s="1656"/>
      <c r="D25" s="1656"/>
      <c r="E25" s="1656"/>
      <c r="F25" s="1732">
        <f>SUM(C25+D25)-E25</f>
        <v>0</v>
      </c>
      <c r="G25" s="473"/>
    </row>
    <row r="26" spans="1:11" ht="15.75" customHeight="1" thickTop="1" x14ac:dyDescent="0.2">
      <c r="A26" s="2313" t="s">
        <v>652</v>
      </c>
      <c r="B26" s="2308"/>
      <c r="C26" s="589"/>
      <c r="D26" s="589"/>
      <c r="E26" s="589"/>
      <c r="F26" s="590"/>
    </row>
    <row r="27" spans="1:11" ht="13.5" thickBot="1" x14ac:dyDescent="0.25">
      <c r="A27" s="2305" t="s">
        <v>1061</v>
      </c>
      <c r="B27" s="2306"/>
      <c r="C27" s="1664"/>
      <c r="D27" s="1664"/>
      <c r="E27" s="1664"/>
      <c r="F27" s="1732">
        <f>SUM(C27+D27)-E27</f>
        <v>0</v>
      </c>
      <c r="G27" s="473"/>
    </row>
    <row r="28" spans="1:11" ht="7.5" customHeight="1" thickTop="1" x14ac:dyDescent="0.2">
      <c r="A28" s="489"/>
    </row>
    <row r="29" spans="1:11" ht="23.25" customHeight="1" x14ac:dyDescent="0.2">
      <c r="A29" s="2311" t="s">
        <v>578</v>
      </c>
      <c r="B29" s="2312"/>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2068</v>
      </c>
      <c r="B31" s="595">
        <v>40226</v>
      </c>
      <c r="C31" s="1734">
        <v>2100000</v>
      </c>
      <c r="D31" s="1735">
        <v>6</v>
      </c>
      <c r="E31" s="1734">
        <v>989261</v>
      </c>
      <c r="F31" s="1734"/>
      <c r="G31" s="1734"/>
      <c r="H31" s="1734">
        <v>134075</v>
      </c>
      <c r="I31" s="1736">
        <f>((E31+F31)-H31)+G31</f>
        <v>855186</v>
      </c>
      <c r="J31" s="1734">
        <v>855186</v>
      </c>
      <c r="K31" s="596"/>
    </row>
    <row r="32" spans="1:11" ht="12" customHeight="1" x14ac:dyDescent="0.2">
      <c r="A32" s="594" t="s">
        <v>2069</v>
      </c>
      <c r="B32" s="595">
        <v>43033</v>
      </c>
      <c r="C32" s="1734">
        <v>2227900</v>
      </c>
      <c r="D32" s="1735">
        <v>3</v>
      </c>
      <c r="E32" s="1734">
        <v>1908100</v>
      </c>
      <c r="F32" s="1734"/>
      <c r="G32" s="1734"/>
      <c r="H32" s="1734">
        <f>343600+499500</f>
        <v>843100</v>
      </c>
      <c r="I32" s="1736">
        <f>((E32+F32)-H32)+G32</f>
        <v>1065000</v>
      </c>
      <c r="J32" s="1734">
        <v>1065000</v>
      </c>
      <c r="K32" s="596"/>
    </row>
    <row r="33" spans="1:11" ht="12" customHeight="1" x14ac:dyDescent="0.2">
      <c r="A33" s="594" t="s">
        <v>2070</v>
      </c>
      <c r="B33" s="595">
        <v>43033</v>
      </c>
      <c r="C33" s="1734">
        <v>2821000</v>
      </c>
      <c r="D33" s="1735">
        <v>3</v>
      </c>
      <c r="E33" s="1734">
        <v>2376600</v>
      </c>
      <c r="F33" s="1734"/>
      <c r="G33" s="1734"/>
      <c r="H33" s="1734">
        <v>459700</v>
      </c>
      <c r="I33" s="1736">
        <f t="shared" ref="I33:I48" si="1">((E33+F33)-H33)+G33</f>
        <v>1916900</v>
      </c>
      <c r="J33" s="1734">
        <v>1916900</v>
      </c>
      <c r="K33" s="596"/>
    </row>
    <row r="34" spans="1:11" ht="12" customHeight="1" x14ac:dyDescent="0.2">
      <c r="A34" s="594" t="s">
        <v>2071</v>
      </c>
      <c r="B34" s="595">
        <v>43875</v>
      </c>
      <c r="C34" s="1734">
        <v>4531000</v>
      </c>
      <c r="D34" s="1735" t="s">
        <v>2072</v>
      </c>
      <c r="E34" s="1734"/>
      <c r="F34" s="1734">
        <v>4531000</v>
      </c>
      <c r="G34" s="1734"/>
      <c r="H34" s="1734"/>
      <c r="I34" s="1736">
        <f t="shared" si="1"/>
        <v>4531000</v>
      </c>
      <c r="J34" s="1734">
        <v>4531000</v>
      </c>
      <c r="K34" s="597"/>
    </row>
    <row r="35" spans="1:11" ht="12" customHeight="1" x14ac:dyDescent="0.2">
      <c r="A35" s="594" t="s">
        <v>2073</v>
      </c>
      <c r="B35" s="595">
        <v>43892</v>
      </c>
      <c r="C35" s="1737">
        <v>5416200</v>
      </c>
      <c r="D35" s="1735">
        <v>6</v>
      </c>
      <c r="E35" s="1737"/>
      <c r="F35" s="1737">
        <v>5416200</v>
      </c>
      <c r="G35" s="1737"/>
      <c r="H35" s="1737"/>
      <c r="I35" s="1736">
        <f t="shared" si="1"/>
        <v>5416200</v>
      </c>
      <c r="J35" s="1737">
        <v>4701519</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17096100</v>
      </c>
      <c r="D49" s="1742"/>
      <c r="E49" s="1736">
        <f t="shared" ref="E49:J49" si="2">SUM(E31:E48)</f>
        <v>5273961</v>
      </c>
      <c r="F49" s="1736">
        <f t="shared" si="2"/>
        <v>9947200</v>
      </c>
      <c r="G49" s="1736">
        <f t="shared" si="2"/>
        <v>0</v>
      </c>
      <c r="H49" s="1736">
        <f t="shared" si="2"/>
        <v>1436875</v>
      </c>
      <c r="I49" s="1736">
        <f t="shared" si="2"/>
        <v>13784286</v>
      </c>
      <c r="J49" s="1736">
        <f t="shared" si="2"/>
        <v>13069605</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4" t="s">
        <v>580</v>
      </c>
      <c r="C52" s="2295"/>
      <c r="D52" s="2295"/>
      <c r="E52" s="603" t="s">
        <v>840</v>
      </c>
      <c r="F52" s="2296"/>
      <c r="G52" s="2297"/>
      <c r="H52" s="596"/>
      <c r="I52" s="596"/>
      <c r="J52" s="600"/>
    </row>
    <row r="53" spans="1:11" ht="11.25" customHeight="1" x14ac:dyDescent="0.2">
      <c r="A53" s="604" t="s">
        <v>907</v>
      </c>
      <c r="B53" s="605" t="s">
        <v>945</v>
      </c>
      <c r="C53" s="600"/>
      <c r="D53" s="597"/>
      <c r="E53" s="603" t="s">
        <v>494</v>
      </c>
      <c r="F53" s="2298"/>
      <c r="G53" s="2299"/>
      <c r="H53" s="596"/>
      <c r="I53" s="596"/>
      <c r="J53" s="600"/>
    </row>
    <row r="54" spans="1:11" ht="11.25" customHeight="1" x14ac:dyDescent="0.2">
      <c r="A54" s="606" t="s">
        <v>908</v>
      </c>
      <c r="B54" s="601" t="s">
        <v>946</v>
      </c>
      <c r="C54" s="600"/>
      <c r="D54" s="597"/>
      <c r="E54" s="603" t="s">
        <v>495</v>
      </c>
      <c r="F54" s="2298"/>
      <c r="G54" s="229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3" sqref="J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3" t="s">
        <v>851</v>
      </c>
      <c r="B1" s="2324"/>
      <c r="C1" s="2324"/>
      <c r="D1" s="2324"/>
      <c r="E1" s="2324"/>
      <c r="F1" s="2324"/>
      <c r="G1" s="2325"/>
      <c r="H1" s="1298"/>
      <c r="I1" s="614"/>
      <c r="J1" s="400"/>
    </row>
    <row r="2" spans="1:11" ht="26.25" x14ac:dyDescent="0.2">
      <c r="A2" s="2342" t="s">
        <v>1658</v>
      </c>
      <c r="B2" s="2343"/>
      <c r="C2" s="2343"/>
      <c r="D2" s="2343"/>
      <c r="E2" s="2344"/>
      <c r="F2" s="615" t="s">
        <v>898</v>
      </c>
      <c r="G2" s="616" t="s">
        <v>1655</v>
      </c>
      <c r="H2" s="616" t="s">
        <v>407</v>
      </c>
      <c r="I2" s="616" t="s">
        <v>1148</v>
      </c>
      <c r="J2" s="616" t="s">
        <v>1786</v>
      </c>
      <c r="K2" s="616" t="s">
        <v>137</v>
      </c>
    </row>
    <row r="3" spans="1:11" x14ac:dyDescent="0.2">
      <c r="A3" s="2345" t="str">
        <f>"Cash Basis Fund Balance as of July 1, "&amp;'AFR20'!E2-1</f>
        <v>Cash Basis Fund Balance as of July 1, 2019</v>
      </c>
      <c r="B3" s="2346"/>
      <c r="C3" s="2346"/>
      <c r="D3" s="2346"/>
      <c r="E3" s="2347"/>
      <c r="F3" s="617"/>
      <c r="G3" s="1744"/>
      <c r="H3" s="1744"/>
      <c r="I3" s="1744"/>
      <c r="J3" s="1745">
        <v>9046</v>
      </c>
      <c r="K3" s="1745"/>
    </row>
    <row r="4" spans="1:11" x14ac:dyDescent="0.2">
      <c r="A4" s="2348" t="s">
        <v>366</v>
      </c>
      <c r="B4" s="2349"/>
      <c r="C4" s="2349"/>
      <c r="D4" s="2349"/>
      <c r="E4" s="2295"/>
      <c r="F4" s="620"/>
      <c r="G4" s="1746"/>
      <c r="H4" s="1747"/>
      <c r="I4" s="1746"/>
      <c r="J4" s="1748"/>
      <c r="K4" s="1748"/>
    </row>
    <row r="5" spans="1:11" x14ac:dyDescent="0.2">
      <c r="A5" s="2326" t="s">
        <v>1060</v>
      </c>
      <c r="B5" s="2327"/>
      <c r="C5" s="2327"/>
      <c r="D5" s="2327"/>
      <c r="E5" s="2328"/>
      <c r="F5" s="622" t="s">
        <v>843</v>
      </c>
      <c r="G5" s="1749"/>
      <c r="H5" s="1744">
        <v>71384</v>
      </c>
      <c r="I5" s="1750"/>
      <c r="J5" s="1751"/>
      <c r="K5" s="1751"/>
    </row>
    <row r="6" spans="1:11" x14ac:dyDescent="0.2">
      <c r="A6" s="625" t="s">
        <v>715</v>
      </c>
      <c r="B6" s="626"/>
      <c r="C6" s="626"/>
      <c r="D6" s="626"/>
      <c r="E6" s="627"/>
      <c r="F6" s="628" t="s">
        <v>844</v>
      </c>
      <c r="G6" s="1744"/>
      <c r="H6" s="1744"/>
      <c r="I6" s="1744"/>
      <c r="J6" s="1745">
        <v>22503</v>
      </c>
      <c r="K6" s="1745"/>
    </row>
    <row r="7" spans="1:11" x14ac:dyDescent="0.2">
      <c r="A7" s="629" t="s">
        <v>244</v>
      </c>
      <c r="B7" s="630"/>
      <c r="C7" s="630"/>
      <c r="D7" s="630"/>
      <c r="E7" s="631"/>
      <c r="F7" s="622" t="s">
        <v>845</v>
      </c>
      <c r="G7" s="1746"/>
      <c r="H7" s="1746"/>
      <c r="I7" s="1746"/>
      <c r="J7" s="1752"/>
      <c r="K7" s="1745">
        <v>8489</v>
      </c>
    </row>
    <row r="8" spans="1:11" x14ac:dyDescent="0.2">
      <c r="A8" s="629" t="s">
        <v>342</v>
      </c>
      <c r="B8" s="630"/>
      <c r="C8" s="630"/>
      <c r="D8" s="630"/>
      <c r="E8" s="631"/>
      <c r="F8" s="622" t="s">
        <v>846</v>
      </c>
      <c r="G8" s="1753"/>
      <c r="H8" s="1753"/>
      <c r="I8" s="1753"/>
      <c r="J8" s="1745">
        <v>749749</v>
      </c>
      <c r="K8" s="1748"/>
    </row>
    <row r="9" spans="1:11" x14ac:dyDescent="0.2">
      <c r="A9" s="629" t="s">
        <v>137</v>
      </c>
      <c r="B9" s="630"/>
      <c r="C9" s="630"/>
      <c r="D9" s="630"/>
      <c r="E9" s="631"/>
      <c r="F9" s="628" t="s">
        <v>848</v>
      </c>
      <c r="G9" s="1753"/>
      <c r="H9" s="1749"/>
      <c r="I9" s="1749"/>
      <c r="J9" s="1752"/>
      <c r="K9" s="1745">
        <v>11525</v>
      </c>
    </row>
    <row r="10" spans="1:11" x14ac:dyDescent="0.2">
      <c r="A10" s="2326" t="s">
        <v>1787</v>
      </c>
      <c r="B10" s="2327"/>
      <c r="C10" s="2327"/>
      <c r="D10" s="2327"/>
      <c r="E10" s="2329"/>
      <c r="F10" s="633" t="s">
        <v>857</v>
      </c>
      <c r="G10" s="1753"/>
      <c r="H10" s="1754"/>
      <c r="I10" s="1744"/>
      <c r="J10" s="1745">
        <f>50000+4100000</f>
        <v>4150000</v>
      </c>
      <c r="K10" s="1745"/>
    </row>
    <row r="11" spans="1:11" x14ac:dyDescent="0.2">
      <c r="A11" s="2326" t="s">
        <v>159</v>
      </c>
      <c r="B11" s="2327"/>
      <c r="C11" s="2327"/>
      <c r="D11" s="2327"/>
      <c r="E11" s="2328"/>
      <c r="F11" s="622" t="s">
        <v>847</v>
      </c>
      <c r="G11" s="1749"/>
      <c r="H11" s="1744"/>
      <c r="I11" s="1744"/>
      <c r="J11" s="1745">
        <v>5416200</v>
      </c>
      <c r="K11" s="1751"/>
    </row>
    <row r="12" spans="1:11" ht="13.5" thickBot="1" x14ac:dyDescent="0.25">
      <c r="A12" s="2353" t="s">
        <v>899</v>
      </c>
      <c r="B12" s="2354"/>
      <c r="C12" s="2354"/>
      <c r="D12" s="2354"/>
      <c r="E12" s="2355"/>
      <c r="F12" s="1433"/>
      <c r="G12" s="1755">
        <f>SUM(G5:G11)</f>
        <v>0</v>
      </c>
      <c r="H12" s="1755">
        <f>SUM(H5:H11)</f>
        <v>71384</v>
      </c>
      <c r="I12" s="1755">
        <f>SUM(I5:I11)</f>
        <v>0</v>
      </c>
      <c r="J12" s="1755">
        <f>SUM(J5:J11)</f>
        <v>10338452</v>
      </c>
      <c r="K12" s="1755">
        <f>SUM(K5:K11)</f>
        <v>20014</v>
      </c>
    </row>
    <row r="13" spans="1:11" ht="13.5" thickTop="1" x14ac:dyDescent="0.2">
      <c r="A13" s="2350" t="s">
        <v>367</v>
      </c>
      <c r="B13" s="2351"/>
      <c r="C13" s="2351"/>
      <c r="D13" s="2351"/>
      <c r="E13" s="2352"/>
      <c r="F13" s="634"/>
      <c r="G13" s="1756"/>
      <c r="H13" s="1757"/>
      <c r="I13" s="1758"/>
      <c r="J13" s="1758"/>
      <c r="K13" s="1758"/>
    </row>
    <row r="14" spans="1:11" x14ac:dyDescent="0.2">
      <c r="A14" s="2333" t="s">
        <v>453</v>
      </c>
      <c r="B14" s="2333"/>
      <c r="C14" s="2333"/>
      <c r="D14" s="2333"/>
      <c r="E14" s="2334"/>
      <c r="F14" s="635" t="s">
        <v>849</v>
      </c>
      <c r="G14" s="1753"/>
      <c r="H14" s="1744">
        <v>71384</v>
      </c>
      <c r="I14" s="1749"/>
      <c r="J14" s="1751"/>
      <c r="K14" s="1745">
        <v>20014</v>
      </c>
    </row>
    <row r="15" spans="1:11" x14ac:dyDescent="0.2">
      <c r="A15" s="2327" t="s">
        <v>4</v>
      </c>
      <c r="B15" s="2327"/>
      <c r="C15" s="2327"/>
      <c r="D15" s="2327"/>
      <c r="E15" s="2328"/>
      <c r="F15" s="635" t="s">
        <v>850</v>
      </c>
      <c r="G15" s="1749"/>
      <c r="H15" s="1744"/>
      <c r="I15" s="1744"/>
      <c r="J15" s="1745">
        <v>2929571</v>
      </c>
      <c r="K15" s="1745"/>
    </row>
    <row r="16" spans="1:11" x14ac:dyDescent="0.2">
      <c r="A16" s="2327" t="s">
        <v>295</v>
      </c>
      <c r="B16" s="2327"/>
      <c r="C16" s="2327"/>
      <c r="D16" s="2327"/>
      <c r="E16" s="2328"/>
      <c r="F16" s="635" t="s">
        <v>917</v>
      </c>
      <c r="G16" s="1750"/>
      <c r="H16" s="1746"/>
      <c r="I16" s="1746"/>
      <c r="J16" s="1748"/>
      <c r="K16" s="1748"/>
    </row>
    <row r="17" spans="1:15" x14ac:dyDescent="0.2">
      <c r="A17" s="2360" t="s">
        <v>929</v>
      </c>
      <c r="B17" s="2360"/>
      <c r="C17" s="2360"/>
      <c r="D17" s="2360"/>
      <c r="E17" s="2361"/>
      <c r="F17" s="636"/>
      <c r="G17" s="1759"/>
      <c r="H17" s="1760"/>
      <c r="I17" s="1760"/>
      <c r="J17" s="1761"/>
      <c r="K17" s="1762"/>
    </row>
    <row r="18" spans="1:15" x14ac:dyDescent="0.2">
      <c r="A18" s="2337" t="s">
        <v>365</v>
      </c>
      <c r="B18" s="2338"/>
      <c r="C18" s="2338"/>
      <c r="D18" s="2338"/>
      <c r="E18" s="2339"/>
      <c r="F18" s="635" t="s">
        <v>926</v>
      </c>
      <c r="G18" s="1753"/>
      <c r="H18" s="1753"/>
      <c r="I18" s="1753"/>
      <c r="J18" s="1745"/>
      <c r="K18" s="1763"/>
    </row>
    <row r="19" spans="1:15" ht="21.75" customHeight="1" x14ac:dyDescent="0.2">
      <c r="A19" s="2335" t="s">
        <v>1783</v>
      </c>
      <c r="B19" s="2335"/>
      <c r="C19" s="2335"/>
      <c r="D19" s="2335"/>
      <c r="E19" s="2336"/>
      <c r="F19" s="635" t="s">
        <v>927</v>
      </c>
      <c r="G19" s="1753"/>
      <c r="H19" s="1753"/>
      <c r="I19" s="1753"/>
      <c r="J19" s="1745"/>
      <c r="K19" s="1763"/>
    </row>
    <row r="20" spans="1:15" x14ac:dyDescent="0.2">
      <c r="A20" s="2337" t="s">
        <v>1788</v>
      </c>
      <c r="B20" s="2338"/>
      <c r="C20" s="2338"/>
      <c r="D20" s="2338"/>
      <c r="E20" s="2339"/>
      <c r="F20" s="635" t="s">
        <v>928</v>
      </c>
      <c r="G20" s="1753"/>
      <c r="H20" s="1753"/>
      <c r="I20" s="1753"/>
      <c r="J20" s="1745"/>
      <c r="K20" s="1763"/>
    </row>
    <row r="21" spans="1:15" ht="13.5" thickBot="1" x14ac:dyDescent="0.25">
      <c r="A21" s="2356" t="s">
        <v>633</v>
      </c>
      <c r="B21" s="2356"/>
      <c r="C21" s="2356"/>
      <c r="D21" s="2356"/>
      <c r="E21" s="2356"/>
      <c r="F21" s="1434"/>
      <c r="G21" s="1760"/>
      <c r="H21" s="1764"/>
      <c r="I21" s="1764"/>
      <c r="J21" s="1765">
        <f>SUM(J18:J20)</f>
        <v>0</v>
      </c>
      <c r="K21" s="1761"/>
    </row>
    <row r="22" spans="1:15" ht="13.5" thickTop="1" x14ac:dyDescent="0.2">
      <c r="A22" s="2327" t="s">
        <v>1789</v>
      </c>
      <c r="B22" s="2327"/>
      <c r="C22" s="2327"/>
      <c r="D22" s="2327"/>
      <c r="E22" s="2328"/>
      <c r="F22" s="635" t="s">
        <v>857</v>
      </c>
      <c r="G22" s="1753"/>
      <c r="H22" s="1744"/>
      <c r="I22" s="1744"/>
      <c r="J22" s="1766">
        <v>56200</v>
      </c>
      <c r="K22" s="1745"/>
    </row>
    <row r="23" spans="1:15" ht="13.5" thickBot="1" x14ac:dyDescent="0.25">
      <c r="A23" s="2357" t="s">
        <v>900</v>
      </c>
      <c r="B23" s="2356"/>
      <c r="C23" s="2356"/>
      <c r="D23" s="2356"/>
      <c r="E23" s="2356"/>
      <c r="F23" s="1436"/>
      <c r="G23" s="1755">
        <f>SUM(G14:G16,G21,G22)</f>
        <v>0</v>
      </c>
      <c r="H23" s="1755">
        <f>SUM(H14:H16,H21,H22)</f>
        <v>71384</v>
      </c>
      <c r="I23" s="1755">
        <f>SUM(I14:I16,I21,I22)</f>
        <v>0</v>
      </c>
      <c r="J23" s="1755">
        <f>SUM(J14:J16,J21,J22)</f>
        <v>2985771</v>
      </c>
      <c r="K23" s="1755">
        <f>SUM(K14:K16,K21,K22)</f>
        <v>20014</v>
      </c>
      <c r="M23" s="1846"/>
      <c r="N23" s="1846"/>
      <c r="O23" s="1846"/>
    </row>
    <row r="24" spans="1:15" ht="14.25" thickTop="1" thickBot="1" x14ac:dyDescent="0.25">
      <c r="A24" s="2358" t="str">
        <f>"Ending Cash Basis Fund Balance as of June 30, "&amp;'AFR20'!E2</f>
        <v>Ending Cash Basis Fund Balance as of June 30, 2020</v>
      </c>
      <c r="B24" s="2359"/>
      <c r="C24" s="2359"/>
      <c r="D24" s="2359"/>
      <c r="E24" s="2359"/>
      <c r="F24" s="1437"/>
      <c r="G24" s="1767">
        <f>SUM(G3,G12)-G23</f>
        <v>0</v>
      </c>
      <c r="H24" s="1767">
        <f>SUM(H3,H12)-H23</f>
        <v>0</v>
      </c>
      <c r="I24" s="1767">
        <f>SUM(I3,I12)-I23</f>
        <v>0</v>
      </c>
      <c r="J24" s="1767">
        <f>SUM(J3,J12)-J23</f>
        <v>7361727</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7361727</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0"/>
      <c r="I31" s="2331"/>
      <c r="J31" s="2331"/>
      <c r="K31" s="2331"/>
    </row>
    <row r="32" spans="1:15" x14ac:dyDescent="0.2">
      <c r="A32" s="649"/>
      <c r="B32" s="232"/>
      <c r="C32" s="232"/>
      <c r="D32" s="232"/>
      <c r="E32" s="645"/>
      <c r="F32" s="651" t="s">
        <v>537</v>
      </c>
      <c r="G32" s="618"/>
      <c r="H32" s="2332"/>
      <c r="I32" s="2331"/>
      <c r="J32" s="2331"/>
      <c r="K32" s="2331"/>
    </row>
    <row r="33" spans="1:11" ht="1.5" customHeight="1" x14ac:dyDescent="0.2">
      <c r="A33" s="652" t="s">
        <v>1159</v>
      </c>
      <c r="B33" s="341"/>
      <c r="C33" s="341"/>
      <c r="D33" s="341"/>
      <c r="E33" s="341"/>
      <c r="F33" s="341"/>
      <c r="G33" s="653"/>
      <c r="H33" s="2332"/>
      <c r="I33" s="2331"/>
      <c r="J33" s="2331"/>
      <c r="K33" s="2331"/>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7" t="s">
        <v>538</v>
      </c>
      <c r="B41" s="2340"/>
      <c r="C41" s="2340"/>
      <c r="D41" s="2340"/>
      <c r="E41" s="2340"/>
      <c r="F41" s="234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4" t="s">
        <v>1872</v>
      </c>
      <c r="B1" s="2365"/>
      <c r="C1" s="2366"/>
      <c r="D1" s="666"/>
      <c r="E1" s="667"/>
      <c r="F1" s="667"/>
      <c r="G1" s="668"/>
      <c r="H1" s="669"/>
      <c r="I1" s="670"/>
      <c r="J1" s="2362"/>
      <c r="K1" s="2363"/>
      <c r="L1" s="2363"/>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1553417</v>
      </c>
      <c r="D5" s="1770"/>
      <c r="E5" s="1770"/>
      <c r="F5" s="1765">
        <f>(C5+D5)-E5</f>
        <v>1553417</v>
      </c>
      <c r="G5" s="676"/>
      <c r="H5" s="680"/>
      <c r="I5" s="680"/>
      <c r="J5" s="680"/>
      <c r="K5" s="637"/>
      <c r="L5" s="1442">
        <f>F5-K5</f>
        <v>1553417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27112037</v>
      </c>
      <c r="D8" s="1771">
        <v>2924772</v>
      </c>
      <c r="E8" s="1771"/>
      <c r="F8" s="1765">
        <f>(C8+D8)-E8</f>
        <v>30036809</v>
      </c>
      <c r="G8" s="681">
        <v>50</v>
      </c>
      <c r="H8" s="619">
        <v>11267041</v>
      </c>
      <c r="I8" s="619">
        <v>600736</v>
      </c>
      <c r="J8" s="619"/>
      <c r="K8" s="1442">
        <f>(H8+I8)-J8</f>
        <v>11867777</v>
      </c>
      <c r="L8" s="1442">
        <f>F8-K8</f>
        <v>18169032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824001</v>
      </c>
      <c r="D10" s="1772"/>
      <c r="E10" s="1772"/>
      <c r="F10" s="1773">
        <f>(C10+D10)-E10</f>
        <v>824001</v>
      </c>
      <c r="G10" s="681">
        <v>20</v>
      </c>
      <c r="H10" s="683">
        <v>674224</v>
      </c>
      <c r="I10" s="683">
        <v>41200</v>
      </c>
      <c r="J10" s="683"/>
      <c r="K10" s="1442">
        <f>(H10+I10)-J10</f>
        <v>715424</v>
      </c>
      <c r="L10" s="1442">
        <f>F10-K10</f>
        <v>108577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2525283</v>
      </c>
      <c r="D12" s="1771">
        <f>5175+166670</f>
        <v>171845</v>
      </c>
      <c r="E12" s="1771"/>
      <c r="F12" s="1765">
        <f>(C12+D12)-E12</f>
        <v>2697128</v>
      </c>
      <c r="G12" s="681">
        <v>10</v>
      </c>
      <c r="H12" s="619">
        <v>2161198</v>
      </c>
      <c r="I12" s="619">
        <v>53593</v>
      </c>
      <c r="J12" s="619"/>
      <c r="K12" s="1442">
        <f>(H12+I12)-J12</f>
        <v>2214791</v>
      </c>
      <c r="L12" s="1442">
        <f>F12-K12</f>
        <v>482337</v>
      </c>
    </row>
    <row r="13" spans="1:14" ht="14.25" thickTop="1" thickBot="1" x14ac:dyDescent="0.25">
      <c r="A13" s="684" t="s">
        <v>1112</v>
      </c>
      <c r="B13" s="679">
        <v>252</v>
      </c>
      <c r="C13" s="1771">
        <v>300519</v>
      </c>
      <c r="D13" s="1771">
        <v>2713</v>
      </c>
      <c r="E13" s="1771"/>
      <c r="F13" s="1765">
        <f>(C13+D13)-E13</f>
        <v>303232</v>
      </c>
      <c r="G13" s="681">
        <v>5</v>
      </c>
      <c r="H13" s="619">
        <v>175608</v>
      </c>
      <c r="I13" s="619">
        <v>17853</v>
      </c>
      <c r="J13" s="619"/>
      <c r="K13" s="1442">
        <f>(H13+I13)-J13</f>
        <v>193461</v>
      </c>
      <c r="L13" s="1442">
        <f>F13-K13</f>
        <v>109771</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32315257</v>
      </c>
      <c r="D16" s="1765">
        <f>SUM(D3,D5:D6,D8:D10,D12:D15)</f>
        <v>3099330</v>
      </c>
      <c r="E16" s="1765">
        <f>SUM(E3,E5:E6,E8:E10,E12:E15)</f>
        <v>0</v>
      </c>
      <c r="F16" s="1765">
        <f>SUM(F3,F5:F6,F8:F10,F12:F15)</f>
        <v>35414587</v>
      </c>
      <c r="G16" s="681"/>
      <c r="H16" s="1435">
        <f>SUM(H3,H6,H8:H10,H12:H14,)</f>
        <v>14278071</v>
      </c>
      <c r="I16" s="1435">
        <f>SUM(I3,I6,I8:I10,I12:I14,)</f>
        <v>713382</v>
      </c>
      <c r="J16" s="1435">
        <f>SUM(J3,J6,J8:J10,J12:J14,)</f>
        <v>0</v>
      </c>
      <c r="K16" s="1435">
        <f>(H16+I16)-J16</f>
        <v>14991453</v>
      </c>
      <c r="L16" s="1435">
        <f>F16-K16</f>
        <v>20423134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713382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1" colorId="8" zoomScale="110" zoomScaleNormal="110"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0" t="str">
        <f>"ESTIMATED OPERATING EXPENSE PER PUPIL (OEPP)/PER CAPITA TUITION CHARGE (PCTC) COMPUTATIONS ("&amp;'AFR20'!E2-1&amp;" - "&amp;'AFR20'!E2&amp;")"</f>
        <v>ESTIMATED OPERATING EXPENSE PER PUPIL (OEPP)/PER CAPITA TUITION CHARGE (PCTC) COMPUTATIONS (2019 - 2020)</v>
      </c>
      <c r="B1" s="2371"/>
      <c r="C1" s="2371"/>
      <c r="D1" s="2371"/>
      <c r="E1" s="2371"/>
      <c r="F1" s="2372"/>
      <c r="G1" s="691"/>
      <c r="I1" s="701"/>
    </row>
    <row r="2" spans="1:9" ht="15" customHeight="1" thickBot="1" x14ac:dyDescent="0.25">
      <c r="A2" s="2373" t="s">
        <v>474</v>
      </c>
      <c r="B2" s="2374"/>
      <c r="C2" s="2374"/>
      <c r="D2" s="2374"/>
      <c r="E2" s="2374"/>
      <c r="F2" s="2375"/>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6"/>
      <c r="B5" s="2377"/>
      <c r="C5" s="2377"/>
      <c r="D5" s="2377"/>
      <c r="E5" s="2377"/>
      <c r="F5" s="2377"/>
    </row>
    <row r="6" spans="1:9" ht="13.5" customHeight="1" thickBot="1" x14ac:dyDescent="0.25">
      <c r="A6" s="2367" t="s">
        <v>1095</v>
      </c>
      <c r="B6" s="2368"/>
      <c r="C6" s="2368"/>
      <c r="D6" s="2368"/>
      <c r="E6" s="2368"/>
      <c r="F6" s="2369"/>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11670568</v>
      </c>
      <c r="G8" s="701"/>
    </row>
    <row r="9" spans="1:9" x14ac:dyDescent="0.2">
      <c r="A9" s="705" t="s">
        <v>457</v>
      </c>
      <c r="B9" s="706" t="s">
        <v>1845</v>
      </c>
      <c r="C9" s="707"/>
      <c r="D9" s="705" t="s">
        <v>498</v>
      </c>
      <c r="E9" s="704"/>
      <c r="F9" s="1775">
        <f>'Expenditures 15-22'!K151</f>
        <v>1282374</v>
      </c>
      <c r="G9" s="708"/>
    </row>
    <row r="10" spans="1:9" x14ac:dyDescent="0.2">
      <c r="A10" s="705" t="s">
        <v>496</v>
      </c>
      <c r="B10" s="706" t="s">
        <v>1846</v>
      </c>
      <c r="C10" s="707"/>
      <c r="D10" s="705" t="s">
        <v>498</v>
      </c>
      <c r="E10" s="704"/>
      <c r="F10" s="1775">
        <f>'Expenditures 15-22'!K174</f>
        <v>1660867</v>
      </c>
      <c r="G10" s="708"/>
    </row>
    <row r="11" spans="1:9" x14ac:dyDescent="0.2">
      <c r="A11" s="705" t="s">
        <v>458</v>
      </c>
      <c r="B11" s="706" t="s">
        <v>1847</v>
      </c>
      <c r="C11" s="707"/>
      <c r="D11" s="705" t="s">
        <v>498</v>
      </c>
      <c r="E11" s="704"/>
      <c r="F11" s="1775">
        <f>'Expenditures 15-22'!K210</f>
        <v>779780</v>
      </c>
      <c r="G11" s="708"/>
    </row>
    <row r="12" spans="1:9" x14ac:dyDescent="0.2">
      <c r="A12" s="705" t="s">
        <v>459</v>
      </c>
      <c r="B12" s="706" t="s">
        <v>1848</v>
      </c>
      <c r="C12" s="707"/>
      <c r="D12" s="705" t="s">
        <v>498</v>
      </c>
      <c r="E12" s="704"/>
      <c r="F12" s="1775">
        <f>'Expenditures 15-22'!K295</f>
        <v>404823</v>
      </c>
      <c r="G12" s="708"/>
    </row>
    <row r="13" spans="1:9" x14ac:dyDescent="0.2">
      <c r="A13" s="705" t="s">
        <v>106</v>
      </c>
      <c r="B13" s="706" t="s">
        <v>1849</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15798412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252972</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145785</v>
      </c>
      <c r="G52" s="701"/>
    </row>
    <row r="53" spans="1:7" x14ac:dyDescent="0.2">
      <c r="A53" s="705" t="s">
        <v>456</v>
      </c>
      <c r="B53" s="705" t="s">
        <v>1458</v>
      </c>
      <c r="C53" s="724">
        <f>'Expenditures 15-22'!B102</f>
        <v>4000</v>
      </c>
      <c r="D53" s="723" t="str">
        <f>'Expenditures 15-22'!A102</f>
        <v>Total Payments to Other Govt Units</v>
      </c>
      <c r="E53" s="704"/>
      <c r="F53" s="1782">
        <f>'Expenditures 15-22'!K102</f>
        <v>1648267</v>
      </c>
      <c r="G53" s="701"/>
    </row>
    <row r="54" spans="1:7" x14ac:dyDescent="0.2">
      <c r="A54" s="705" t="s">
        <v>456</v>
      </c>
      <c r="B54" s="705" t="s">
        <v>1459</v>
      </c>
      <c r="C54" s="724" t="s">
        <v>975</v>
      </c>
      <c r="D54" s="720" t="s">
        <v>1086</v>
      </c>
      <c r="E54" s="704"/>
      <c r="F54" s="1782">
        <f>'Expenditures 15-22'!G114</f>
        <v>124929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46916</v>
      </c>
      <c r="G58" s="701"/>
    </row>
    <row r="59" spans="1:7" x14ac:dyDescent="0.2">
      <c r="A59" s="728" t="s">
        <v>457</v>
      </c>
      <c r="B59" s="692" t="s">
        <v>1852</v>
      </c>
      <c r="C59" s="729" t="s">
        <v>975</v>
      </c>
      <c r="D59" s="692" t="s">
        <v>288</v>
      </c>
      <c r="F59" s="1785">
        <f>'Expenditures 15-22'!I151</f>
        <v>0</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1436875</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2713</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10447</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0</v>
      </c>
      <c r="G71" s="701"/>
    </row>
    <row r="72" spans="1:9" x14ac:dyDescent="0.2">
      <c r="A72" s="705" t="s">
        <v>459</v>
      </c>
      <c r="B72" s="705" t="s">
        <v>1864</v>
      </c>
      <c r="C72" s="721">
        <f>'Expenditures 15-22'!B280</f>
        <v>3000</v>
      </c>
      <c r="D72" s="712" t="s">
        <v>446</v>
      </c>
      <c r="E72" s="704"/>
      <c r="F72" s="1782">
        <f>'Expenditures 15-22'!K280</f>
        <v>11717</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3680621</v>
      </c>
      <c r="G77" s="701"/>
    </row>
    <row r="78" spans="1:9" s="728" customFormat="1" ht="12" customHeight="1" thickTop="1" thickBot="1" x14ac:dyDescent="0.25">
      <c r="A78" s="1450"/>
      <c r="B78" s="1448"/>
      <c r="C78" s="1445"/>
      <c r="D78" s="1449" t="s">
        <v>2009</v>
      </c>
      <c r="E78" s="1447"/>
      <c r="F78" s="1788">
        <f>(F14-F77)</f>
        <v>12117791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1160.2</v>
      </c>
      <c r="G79" s="733"/>
      <c r="H79" s="705"/>
      <c r="I79" s="705"/>
    </row>
    <row r="80" spans="1:9" s="728" customFormat="1" ht="12" customHeight="1" thickBot="1" x14ac:dyDescent="0.25">
      <c r="A80" s="1452"/>
      <c r="B80" s="1448"/>
      <c r="C80" s="1445"/>
      <c r="D80" s="1449" t="s">
        <v>2010</v>
      </c>
      <c r="E80" s="1447" t="s">
        <v>952</v>
      </c>
      <c r="F80" s="1790">
        <f>IF(F79&gt;0,F78/F79," Complete Line 79")</f>
        <v>10444.570763661437</v>
      </c>
      <c r="G80" s="705"/>
    </row>
    <row r="81" spans="1:7" s="728" customFormat="1" ht="8.25" customHeight="1" thickTop="1" x14ac:dyDescent="0.2">
      <c r="A81" s="734"/>
      <c r="B81" s="705"/>
      <c r="C81" s="707"/>
      <c r="D81" s="735"/>
      <c r="E81" s="704"/>
      <c r="F81" s="1791"/>
      <c r="G81" s="705"/>
    </row>
    <row r="82" spans="1:7" s="728" customFormat="1" ht="12" thickBot="1" x14ac:dyDescent="0.25">
      <c r="A82" s="2367" t="s">
        <v>1096</v>
      </c>
      <c r="B82" s="2368"/>
      <c r="C82" s="2368"/>
      <c r="D82" s="2368"/>
      <c r="E82" s="2368"/>
      <c r="F82" s="236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8967</v>
      </c>
      <c r="G95" s="745"/>
    </row>
    <row r="96" spans="1:7" x14ac:dyDescent="0.2">
      <c r="A96" s="741" t="s">
        <v>139</v>
      </c>
      <c r="B96" s="741" t="s">
        <v>174</v>
      </c>
      <c r="C96" s="743">
        <v>1700</v>
      </c>
      <c r="D96" s="751" t="str">
        <f>'Revenues 9-14'!A82</f>
        <v>Total District/School Activity Income</v>
      </c>
      <c r="E96" s="739"/>
      <c r="F96" s="1793">
        <f>SUM('Revenues 9-14'!C82,'Revenues 9-14'!D82)</f>
        <v>63090</v>
      </c>
      <c r="G96" s="745"/>
    </row>
    <row r="97" spans="1:7" x14ac:dyDescent="0.2">
      <c r="A97" s="741" t="s">
        <v>456</v>
      </c>
      <c r="B97" s="741" t="s">
        <v>175</v>
      </c>
      <c r="C97" s="743">
        <f>'Revenues 9-14'!B84</f>
        <v>1811</v>
      </c>
      <c r="D97" s="744" t="str">
        <f>'Revenues 9-14'!A84</f>
        <v>Rentals - Regular Textbooks</v>
      </c>
      <c r="E97" s="739"/>
      <c r="F97" s="1793">
        <f>'Revenues 9-14'!C84</f>
        <v>55486</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14814</v>
      </c>
      <c r="G105" s="745"/>
    </row>
    <row r="106" spans="1:7" x14ac:dyDescent="0.2">
      <c r="A106" s="741" t="s">
        <v>500</v>
      </c>
      <c r="B106" s="741" t="s">
        <v>1907</v>
      </c>
      <c r="C106" s="746">
        <v>3100</v>
      </c>
      <c r="D106" s="752" t="str">
        <f>'Revenues 9-14'!A132</f>
        <v>Total Special Education</v>
      </c>
      <c r="E106" s="739"/>
      <c r="F106" s="1793">
        <f>SUM('Revenues 9-14'!C132:D132,'Revenues 9-14'!F132)</f>
        <v>335467</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9789</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11525</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266833</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740175</v>
      </c>
      <c r="G126" s="763"/>
    </row>
    <row r="127" spans="1:7" x14ac:dyDescent="0.2">
      <c r="A127" s="760" t="s">
        <v>663</v>
      </c>
      <c r="B127" s="760" t="s">
        <v>1928</v>
      </c>
      <c r="C127" s="765">
        <v>4300</v>
      </c>
      <c r="D127" s="766" t="str">
        <f>'Revenues 9-14'!A204</f>
        <v>Total Title I</v>
      </c>
      <c r="E127" s="739"/>
      <c r="F127" s="1793">
        <f>SUM('Revenues 9-14'!C204,'Revenues 9-14'!D204,'Revenues 9-14'!F204,'Revenues 9-14'!G204)</f>
        <v>557867</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184264</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157031</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0</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70261</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11901</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111189</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546285</v>
      </c>
      <c r="G172" s="760"/>
    </row>
    <row r="173" spans="1:7" x14ac:dyDescent="0.2">
      <c r="A173" s="1529" t="s">
        <v>659</v>
      </c>
      <c r="B173" s="1530" t="s">
        <v>1882</v>
      </c>
      <c r="C173" s="1531">
        <v>3300</v>
      </c>
      <c r="D173" s="1532" t="s">
        <v>1885</v>
      </c>
      <c r="E173" s="739"/>
      <c r="F173" s="1794">
        <v>719</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3145663</v>
      </c>
    </row>
    <row r="176" spans="1:7" ht="12" customHeight="1" x14ac:dyDescent="0.2">
      <c r="A176" s="1443"/>
      <c r="B176" s="1453"/>
      <c r="C176" s="1454"/>
      <c r="D176" s="1455" t="s">
        <v>2011</v>
      </c>
      <c r="E176" s="1456"/>
      <c r="F176" s="1793">
        <f>'PCTC-OEPP 27-28'!F78-F175</f>
        <v>8972128</v>
      </c>
    </row>
    <row r="177" spans="1:9" ht="12" customHeight="1" x14ac:dyDescent="0.2">
      <c r="A177" s="1443"/>
      <c r="B177" s="1453"/>
      <c r="C177" s="1454"/>
      <c r="D177" s="1455" t="s">
        <v>1791</v>
      </c>
      <c r="E177" s="1456"/>
      <c r="F177" s="1793">
        <f>'Cap Outlay Deprec 26'!I18</f>
        <v>713382</v>
      </c>
    </row>
    <row r="178" spans="1:9" ht="12" customHeight="1" x14ac:dyDescent="0.2">
      <c r="A178" s="1443"/>
      <c r="B178" s="1453"/>
      <c r="C178" s="1454"/>
      <c r="D178" s="1455" t="s">
        <v>2012</v>
      </c>
      <c r="E178" s="1456"/>
      <c r="F178" s="1793">
        <f>F176+F177</f>
        <v>9685510</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1160.2</v>
      </c>
      <c r="G179" s="763"/>
      <c r="I179" s="701"/>
    </row>
    <row r="180" spans="1:9" ht="12" customHeight="1" thickBot="1" x14ac:dyDescent="0.25">
      <c r="A180" s="1443"/>
      <c r="B180" s="1457"/>
      <c r="C180" s="1454"/>
      <c r="D180" s="1455" t="s">
        <v>2014</v>
      </c>
      <c r="E180" s="1456" t="s">
        <v>1528</v>
      </c>
      <c r="F180" s="1798">
        <f>F178/F179</f>
        <v>8348.138252025512</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9" sqref="A19"/>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1" t="s">
        <v>1792</v>
      </c>
      <c r="B4" s="2382"/>
      <c r="C4" s="2382"/>
      <c r="D4" s="2382"/>
      <c r="E4" s="2382"/>
      <c r="F4" s="2383"/>
    </row>
    <row r="5" spans="1:6" x14ac:dyDescent="0.25">
      <c r="A5" s="2384"/>
      <c r="B5" s="2385"/>
      <c r="C5" s="2385"/>
      <c r="D5" s="2385"/>
      <c r="E5" s="2385"/>
      <c r="F5" s="2386"/>
    </row>
    <row r="6" spans="1:6" ht="18.75" x14ac:dyDescent="0.25">
      <c r="A6" s="1867" t="s">
        <v>1793</v>
      </c>
      <c r="B6" s="1868"/>
      <c r="C6" s="1869"/>
      <c r="D6" s="1869"/>
      <c r="E6" s="1869"/>
      <c r="F6" s="1870"/>
    </row>
    <row r="7" spans="1:6" ht="47.25" customHeight="1" x14ac:dyDescent="0.25">
      <c r="A7" s="2387" t="s">
        <v>1982</v>
      </c>
      <c r="B7" s="2388"/>
      <c r="C7" s="2388"/>
      <c r="D7" s="2388"/>
      <c r="E7" s="2388"/>
      <c r="F7" s="2389"/>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90" t="s">
        <v>1978</v>
      </c>
      <c r="B10" s="2391"/>
      <c r="C10" s="2391"/>
      <c r="D10" s="2391"/>
      <c r="E10" s="2391"/>
      <c r="F10" s="2392"/>
    </row>
    <row r="11" spans="1:6" ht="33" customHeight="1" x14ac:dyDescent="0.25">
      <c r="A11" s="2387" t="s">
        <v>1983</v>
      </c>
      <c r="B11" s="2388"/>
      <c r="C11" s="2388"/>
      <c r="D11" s="2388"/>
      <c r="E11" s="2388"/>
      <c r="F11" s="2389"/>
    </row>
    <row r="12" spans="1:6" ht="15" customHeight="1" x14ac:dyDescent="0.25">
      <c r="A12" s="1873" t="s">
        <v>1979</v>
      </c>
      <c r="B12" s="1874"/>
      <c r="C12" s="1875"/>
      <c r="D12" s="1875"/>
      <c r="E12" s="1875"/>
      <c r="F12" s="1876"/>
    </row>
    <row r="13" spans="1:6" ht="17.25" customHeight="1" x14ac:dyDescent="0.25">
      <c r="A13" s="2387" t="s">
        <v>1980</v>
      </c>
      <c r="B13" s="2388"/>
      <c r="C13" s="2388"/>
      <c r="D13" s="2388"/>
      <c r="E13" s="2388"/>
      <c r="F13" s="2389"/>
    </row>
    <row r="14" spans="1:6" ht="15" customHeight="1" x14ac:dyDescent="0.25">
      <c r="A14" s="1873" t="s">
        <v>1797</v>
      </c>
      <c r="B14" s="1874"/>
      <c r="C14" s="1875"/>
      <c r="D14" s="1875"/>
      <c r="E14" s="1875"/>
      <c r="F14" s="1876"/>
    </row>
    <row r="15" spans="1:6" ht="32.25" customHeight="1" x14ac:dyDescent="0.25">
      <c r="A15" s="237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9"/>
      <c r="C15" s="2379"/>
      <c r="D15" s="2379"/>
      <c r="E15" s="2379"/>
      <c r="F15" s="2380"/>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6" t="s">
        <v>2074</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3" t="s">
        <v>1660</v>
      </c>
      <c r="B5" s="2394"/>
      <c r="C5" s="2394"/>
      <c r="D5" s="2394"/>
      <c r="E5" s="2394"/>
      <c r="F5" s="2394"/>
      <c r="G5" s="239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557139</v>
      </c>
      <c r="F10" s="805"/>
      <c r="G10" s="806"/>
      <c r="H10" s="157"/>
      <c r="I10" s="157"/>
    </row>
    <row r="11" spans="1:13" s="542" customFormat="1" ht="22.5" customHeight="1" x14ac:dyDescent="0.2">
      <c r="A11" s="239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9"/>
      <c r="C11" s="2399"/>
      <c r="D11" s="2400"/>
      <c r="E11" s="1801">
        <f>41382+14999</f>
        <v>56381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7294894</v>
      </c>
      <c r="F19" s="1802"/>
      <c r="G19" s="1804">
        <f>'Expenditures 15-22'!K33-SUM('Expenditures 15-22'!G33,'Expenditures 15-22'!I33)+'Expenditures 15-22'!D229</f>
        <v>7294894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427922</v>
      </c>
      <c r="F21" s="1805"/>
      <c r="G21" s="1808">
        <f>'Expenditures 15-22'!K42-SUM('Expenditures 15-22'!G42,'Expenditures 15-22'!I42)+'Expenditures 15-22'!K120-SUM('Expenditures 15-22'!G120,'Expenditures 15-22'!I120)+'Expenditures 15-22'!K180-SUM('Expenditures 15-22'!G180,'Expenditures 15-22'!I180)+'Expenditures 15-22'!D238</f>
        <v>427922</v>
      </c>
      <c r="H21" s="817"/>
      <c r="I21" s="157"/>
    </row>
    <row r="22" spans="1:9" s="542" customFormat="1" ht="12" customHeight="1" x14ac:dyDescent="0.2">
      <c r="A22" s="824" t="s">
        <v>560</v>
      </c>
      <c r="B22" s="825"/>
      <c r="C22" s="823">
        <v>2200</v>
      </c>
      <c r="D22" s="1805"/>
      <c r="E22" s="1807">
        <f>'Expenditures 15-22'!K47-SUM('Expenditures 15-22'!G47,'Expenditures 15-22'!I47)+'Expenditures 15-22'!D243</f>
        <v>222033</v>
      </c>
      <c r="F22" s="1805"/>
      <c r="G22" s="1808">
        <f>'Expenditures 15-22'!K47-SUM('Expenditures 15-22'!G47,'Expenditures 15-22'!I47)+'Expenditures 15-22'!D243</f>
        <v>222033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517724</v>
      </c>
      <c r="F23" s="1805"/>
      <c r="G23" s="1807">
        <f>'Expenditures 15-22'!K53-SUM('Expenditures 15-22'!G53,'Expenditures 15-22'!I53)+'Expenditures 15-22'!D257+'Expenditures 15-22'!K330-SUM('Expenditures 15-22'!G330,'Expenditures 15-22'!I330)</f>
        <v>517724</v>
      </c>
      <c r="H23" s="817"/>
      <c r="I23" s="157"/>
    </row>
    <row r="24" spans="1:9" s="542" customFormat="1" ht="12" customHeight="1" x14ac:dyDescent="0.2">
      <c r="A24" s="824" t="s">
        <v>562</v>
      </c>
      <c r="B24" s="825"/>
      <c r="C24" s="823">
        <v>2400</v>
      </c>
      <c r="D24" s="1805"/>
      <c r="E24" s="1807">
        <f>'Expenditures 15-22'!K57-SUM('Expenditures 15-22'!G57,'Expenditures 15-22'!I57)+'Expenditures 15-22'!D261</f>
        <v>727823</v>
      </c>
      <c r="F24" s="1805"/>
      <c r="G24" s="1808">
        <f>'Expenditures 15-22'!K57-SUM('Expenditures 15-22'!G57,'Expenditures 15-22'!I57)+'Expenditures 15-22'!D261</f>
        <v>727823</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135512</v>
      </c>
      <c r="E27" s="1807">
        <f>E8</f>
        <v>0</v>
      </c>
      <c r="F27" s="1807">
        <f>'Expenditures 15-22'!K60-SUM('Expenditures 15-22'!G60,'Expenditures 15-22'!I60)+'Expenditures 15-22'!D264-E8</f>
        <v>135512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1336969</v>
      </c>
      <c r="F28" s="1809">
        <f>'Expenditures 15-22'!K61-SUM('Expenditures 15-22'!G61,'Expenditures 15-22'!I61)+'Expenditures 15-22'!K124-SUM('Expenditures 15-22'!G124,'Expenditures 15-22'!I124)+'Expenditures 15-22'!D266-E9</f>
        <v>1336969</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850167</v>
      </c>
      <c r="F29" s="1805"/>
      <c r="G29" s="1808">
        <f>'Expenditures 15-22'!K62-SUM('Expenditures 15-22'!G62,'Expenditures 15-22'!I62)+'Expenditures 15-22'!K125-SUM('Expenditures 15-22'!G125,'Expenditures 15-22'!I125)+'Expenditures 15-22'!K182-SUM('Expenditures 15-22'!G182,'Expenditures 15-22'!I182)+'Expenditures 15-22'!D267</f>
        <v>850167</v>
      </c>
      <c r="H29" s="815"/>
    </row>
    <row r="30" spans="1:9" ht="12" customHeight="1" x14ac:dyDescent="0.2">
      <c r="A30" s="824" t="s">
        <v>100</v>
      </c>
      <c r="B30" s="827"/>
      <c r="C30" s="823">
        <v>2560</v>
      </c>
      <c r="D30" s="1805"/>
      <c r="E30" s="1807">
        <f>'Expenditures 15-22'!K63-SUM('Expenditures 15-22'!G63,'Expenditures 15-22'!I63)+'Expenditures 15-22'!D268-E10</f>
        <v>58062</v>
      </c>
      <c r="F30" s="1805"/>
      <c r="G30" s="1807">
        <f>'Expenditures 15-22'!K63-SUM('Expenditures 15-22'!G63,'Expenditures 15-22'!I63)+'Expenditures 15-22'!D268-E10</f>
        <v>58062</v>
      </c>
    </row>
    <row r="31" spans="1:9" ht="12" customHeight="1" x14ac:dyDescent="0.2">
      <c r="A31" s="824" t="s">
        <v>101</v>
      </c>
      <c r="B31" s="827"/>
      <c r="C31" s="823">
        <v>2570</v>
      </c>
      <c r="D31" s="1807">
        <f>'Expenditures 15-22'!K64-SUM('Expenditures 15-22'!G64,'Expenditures 15-22'!I64)+'Expenditures 15-22'!D269-E12</f>
        <v>1332</v>
      </c>
      <c r="E31" s="1807">
        <f>E12</f>
        <v>0</v>
      </c>
      <c r="F31" s="1807">
        <f>'Expenditures 15-22'!K64-SUM('Expenditures 15-22'!G64,'Expenditures 15-22'!I64)+'Expenditures 15-22'!D269-E12</f>
        <v>1332</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1205</v>
      </c>
      <c r="E36" s="1807">
        <f>E13</f>
        <v>0</v>
      </c>
      <c r="F36" s="1807">
        <f>'Expenditures 15-22'!K70-SUM('Expenditures 15-22'!G70,'Expenditures 15-22'!I70)+'Expenditures 15-22'!D275-E13</f>
        <v>1205</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26436</v>
      </c>
      <c r="F38" s="1805"/>
      <c r="G38" s="1807">
        <f>'Expenditures 15-22'!K73-SUM('Expenditures 15-22'!G73,'Expenditures 15-22'!I73)+'Expenditures 15-22'!K128-SUM('Expenditures 15-22'!G128,'Expenditures 15-22'!I128)+'Expenditures 15-22'!K183-SUM('Expenditures 15-22'!G183,'Expenditures 15-22'!I183)+'Expenditures 15-22'!D278</f>
        <v>26436</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157502</v>
      </c>
      <c r="F39" s="1805"/>
      <c r="G39" s="1807">
        <f>'Expenditures 15-22'!K75-SUM('Expenditures 15-22'!G75,'Expenditures 15-22'!I75)+'Expenditures 15-22'!K130-SUM('Expenditures 15-22'!G130,'Expenditures 15-22'!I130)+'Expenditures 15-22'!K185-SUM('Expenditures 15-22'!G185,'Expenditures 15-22'!I185)+'Expenditures 15-22'!D280</f>
        <v>157502</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138049</v>
      </c>
      <c r="E41" s="1809">
        <f>SUM(E19:E40)</f>
        <v>11619532</v>
      </c>
      <c r="F41" s="1809">
        <f>SUM(F19:F39)</f>
        <v>1475018</v>
      </c>
      <c r="G41" s="1809">
        <f>SUM(G19:G40)</f>
        <v>10282563</v>
      </c>
    </row>
    <row r="42" spans="1:7" x14ac:dyDescent="0.2">
      <c r="A42" s="817"/>
      <c r="B42" s="157"/>
      <c r="C42" s="831"/>
      <c r="D42" s="2396" t="s">
        <v>519</v>
      </c>
      <c r="E42" s="2397"/>
      <c r="F42" s="832" t="s">
        <v>520</v>
      </c>
      <c r="G42" s="833"/>
    </row>
    <row r="43" spans="1:7" ht="12" customHeight="1" x14ac:dyDescent="0.2">
      <c r="A43" s="817"/>
      <c r="B43" s="157"/>
      <c r="C43" s="831"/>
      <c r="D43" s="1458" t="s">
        <v>470</v>
      </c>
      <c r="E43" s="1810">
        <f>D41</f>
        <v>138049</v>
      </c>
      <c r="F43" s="1458" t="s">
        <v>470</v>
      </c>
      <c r="G43" s="1810">
        <f>F41</f>
        <v>1475018</v>
      </c>
    </row>
    <row r="44" spans="1:7" ht="12" customHeight="1" x14ac:dyDescent="0.2">
      <c r="A44" s="817"/>
      <c r="B44" s="157"/>
      <c r="C44" s="831"/>
      <c r="D44" s="1458" t="s">
        <v>471</v>
      </c>
      <c r="E44" s="1810">
        <f>E41</f>
        <v>11619532</v>
      </c>
      <c r="F44" s="1458" t="s">
        <v>471</v>
      </c>
      <c r="G44" s="1810">
        <f>G41</f>
        <v>10282563</v>
      </c>
    </row>
    <row r="45" spans="1:7" ht="12" customHeight="1" x14ac:dyDescent="0.2">
      <c r="A45" s="817"/>
      <c r="B45" s="157"/>
      <c r="C45" s="157"/>
      <c r="D45" s="1459" t="s">
        <v>999</v>
      </c>
      <c r="E45" s="1811">
        <f>(E43/E44)</f>
        <v>1.1880771101624403E-2</v>
      </c>
      <c r="F45" s="1459" t="s">
        <v>999</v>
      </c>
      <c r="G45" s="1811">
        <f>(G43/G44)</f>
        <v>0.14344847680485887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D17" sqref="D1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5" t="s">
        <v>1363</v>
      </c>
      <c r="B1" s="2415"/>
      <c r="C1" s="2415"/>
      <c r="D1" s="2415"/>
      <c r="E1" s="2415"/>
      <c r="F1" s="2415"/>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6" t="s">
        <v>1529</v>
      </c>
      <c r="B5" s="2417"/>
      <c r="C5" s="2418"/>
      <c r="D5" s="2418"/>
      <c r="E5" s="2418"/>
      <c r="F5" s="2418"/>
      <c r="G5" s="1507"/>
      <c r="L5" s="1507"/>
      <c r="M5" s="1855"/>
      <c r="N5" s="1855"/>
      <c r="O5" s="1855"/>
    </row>
    <row r="6" spans="1:15" ht="12" customHeight="1" x14ac:dyDescent="0.25">
      <c r="A6" s="1480"/>
      <c r="B6" s="1481"/>
      <c r="C6" s="2419" t="str">
        <f>COVER!A17</f>
        <v xml:space="preserve">   Riverton CUSD 14</v>
      </c>
      <c r="D6" s="2419"/>
      <c r="E6" s="2419"/>
      <c r="F6" s="1482"/>
      <c r="G6" s="1507"/>
      <c r="L6" s="1507"/>
      <c r="M6" s="1855"/>
      <c r="N6" s="1855"/>
      <c r="O6" s="1855"/>
    </row>
    <row r="7" spans="1:15" ht="11.25" customHeight="1" thickBot="1" x14ac:dyDescent="0.3">
      <c r="A7" s="1480"/>
      <c r="B7" s="1481"/>
      <c r="C7" s="2420">
        <f>COVER!A13</f>
        <v>51084014026</v>
      </c>
      <c r="D7" s="2420"/>
      <c r="E7" s="2420"/>
      <c r="F7" s="1482"/>
      <c r="G7" s="1507"/>
      <c r="L7" s="1507"/>
      <c r="M7" s="1855"/>
      <c r="N7" s="1855"/>
      <c r="O7" s="1855"/>
    </row>
    <row r="8" spans="1:15" ht="25.5" customHeight="1" thickBot="1" x14ac:dyDescent="0.25">
      <c r="A8" s="1519" t="s">
        <v>1871</v>
      </c>
      <c r="B8" s="1483" t="s">
        <v>2048</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21"/>
      <c r="D35" s="2421"/>
      <c r="E35" s="2421"/>
      <c r="F35" s="2422"/>
    </row>
    <row r="36" spans="1:15" ht="12" customHeight="1" x14ac:dyDescent="0.2">
      <c r="A36" s="2404"/>
      <c r="B36" s="2405"/>
      <c r="C36" s="2405"/>
      <c r="D36" s="2405"/>
      <c r="E36" s="2405"/>
      <c r="F36" s="2406"/>
    </row>
    <row r="37" spans="1:15" ht="12" customHeight="1" x14ac:dyDescent="0.2">
      <c r="A37" s="2404"/>
      <c r="B37" s="2405"/>
      <c r="C37" s="2405"/>
      <c r="D37" s="2405"/>
      <c r="E37" s="2405"/>
      <c r="F37" s="2406"/>
    </row>
    <row r="38" spans="1:15" ht="12" customHeight="1" x14ac:dyDescent="0.2">
      <c r="A38" s="2407"/>
      <c r="B38" s="2408"/>
      <c r="C38" s="2408"/>
      <c r="D38" s="2408"/>
      <c r="E38" s="2408"/>
      <c r="F38" s="2409"/>
    </row>
    <row r="39" spans="1:15" ht="4.5" hidden="1" customHeight="1" x14ac:dyDescent="0.2">
      <c r="A39" s="1502"/>
      <c r="B39" s="1502"/>
      <c r="C39" s="1502"/>
      <c r="D39" s="1502"/>
      <c r="E39" s="1502"/>
      <c r="F39" s="1502"/>
    </row>
    <row r="40" spans="1:15" s="1499" customFormat="1" ht="12" customHeight="1" x14ac:dyDescent="0.25">
      <c r="A40" s="1503" t="s">
        <v>1375</v>
      </c>
      <c r="B40" s="1504"/>
      <c r="C40" s="2410"/>
      <c r="D40" s="2410"/>
      <c r="E40" s="2410"/>
      <c r="F40" s="2411"/>
      <c r="H40" s="1508"/>
      <c r="I40" s="1508"/>
      <c r="J40" s="1508"/>
      <c r="K40" s="1508"/>
    </row>
    <row r="41" spans="1:15" s="1499" customFormat="1" ht="12" customHeight="1" x14ac:dyDescent="0.25">
      <c r="A41" s="2412"/>
      <c r="B41" s="2413"/>
      <c r="C41" s="2413"/>
      <c r="D41" s="2413"/>
      <c r="E41" s="2413"/>
      <c r="F41" s="2414"/>
      <c r="H41" s="1508"/>
      <c r="I41" s="1508"/>
      <c r="J41" s="1508"/>
      <c r="K41" s="1508"/>
    </row>
    <row r="42" spans="1:15" s="1499" customFormat="1" ht="12" customHeight="1" x14ac:dyDescent="0.25">
      <c r="A42" s="2412"/>
      <c r="B42" s="2413"/>
      <c r="C42" s="2413"/>
      <c r="D42" s="2413"/>
      <c r="E42" s="2413"/>
      <c r="F42" s="2414"/>
      <c r="H42" s="1508"/>
      <c r="I42" s="1508"/>
      <c r="J42" s="1508"/>
      <c r="K42" s="1508"/>
    </row>
    <row r="43" spans="1:15" s="1499" customFormat="1" ht="15" x14ac:dyDescent="0.25">
      <c r="A43" s="2401"/>
      <c r="B43" s="2402"/>
      <c r="C43" s="2402"/>
      <c r="D43" s="2402"/>
      <c r="E43" s="2402"/>
      <c r="F43" s="2403"/>
      <c r="H43" s="1508"/>
      <c r="I43" s="1508"/>
      <c r="J43" s="1508"/>
      <c r="K43" s="1508"/>
    </row>
    <row r="44" spans="1:15" s="1499" customFormat="1" ht="12" hidden="1" customHeight="1" x14ac:dyDescent="0.25">
      <c r="A44" s="2401"/>
      <c r="B44" s="2402"/>
      <c r="C44" s="2402"/>
      <c r="D44" s="2402"/>
      <c r="E44" s="2402"/>
      <c r="F44" s="240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7" sqref="I17"/>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1" t="str">
        <f>COVER!A17</f>
        <v xml:space="preserve">   Riverton CUSD 14</v>
      </c>
      <c r="K6" s="2441"/>
      <c r="L6" s="2455"/>
      <c r="M6" s="838"/>
      <c r="N6" s="1999"/>
    </row>
    <row r="7" spans="1:14" x14ac:dyDescent="0.2">
      <c r="A7" s="2456" t="s">
        <v>864</v>
      </c>
      <c r="B7" s="2457"/>
      <c r="C7" s="2457"/>
      <c r="D7" s="2457"/>
      <c r="E7" s="2458"/>
      <c r="F7" s="839"/>
      <c r="G7" s="838"/>
      <c r="H7" s="838"/>
      <c r="I7" s="1925" t="s">
        <v>369</v>
      </c>
      <c r="J7" s="2443">
        <f>COVER!A13</f>
        <v>51084014026</v>
      </c>
      <c r="K7" s="2443"/>
      <c r="L7" s="2443"/>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9" t="s">
        <v>478</v>
      </c>
      <c r="B11" s="2460"/>
      <c r="C11" s="2461"/>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285801</v>
      </c>
      <c r="F12" s="1943"/>
      <c r="G12" s="1969">
        <f>G68</f>
        <v>0</v>
      </c>
      <c r="H12" s="1945">
        <f t="shared" ref="H12:H18" si="0">SUM(E12:G12)</f>
        <v>285801</v>
      </c>
      <c r="I12" s="1944">
        <v>294145</v>
      </c>
      <c r="J12" s="1943"/>
      <c r="K12" s="1944"/>
      <c r="L12" s="1945">
        <f t="shared" ref="L12:L18" si="1">SUM(I12:K12)</f>
        <v>294145</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1136</v>
      </c>
      <c r="F16" s="1943"/>
      <c r="G16" s="1969">
        <f>K68</f>
        <v>0</v>
      </c>
      <c r="H16" s="1945">
        <f t="shared" si="0"/>
        <v>1136</v>
      </c>
      <c r="I16" s="1944">
        <v>1700</v>
      </c>
      <c r="J16" s="1943"/>
      <c r="K16" s="1944"/>
      <c r="L16" s="1945">
        <f t="shared" si="1"/>
        <v>1700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2" t="s">
        <v>7</v>
      </c>
      <c r="C18" s="2463"/>
      <c r="D18" s="2464"/>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286937</v>
      </c>
      <c r="F19" s="1951">
        <f t="shared" si="2"/>
        <v>0</v>
      </c>
      <c r="G19" s="1951">
        <f t="shared" ref="G19" si="3">SUM(G12:G17)-G18</f>
        <v>0</v>
      </c>
      <c r="H19" s="1951">
        <f t="shared" si="2"/>
        <v>286937</v>
      </c>
      <c r="I19" s="1951">
        <f t="shared" si="2"/>
        <v>295845</v>
      </c>
      <c r="J19" s="1951">
        <f t="shared" si="2"/>
        <v>0</v>
      </c>
      <c r="K19" s="1951">
        <f t="shared" si="2"/>
        <v>0</v>
      </c>
      <c r="L19" s="1951">
        <f t="shared" si="2"/>
        <v>295845</v>
      </c>
      <c r="M19" s="838"/>
      <c r="N19" s="1999"/>
    </row>
    <row r="20" spans="1:14" ht="13.5" thickTop="1" x14ac:dyDescent="0.2">
      <c r="A20" s="2004">
        <v>9</v>
      </c>
      <c r="B20" s="2465" t="s">
        <v>2018</v>
      </c>
      <c r="C20" s="2465"/>
      <c r="D20" s="2466"/>
      <c r="E20" s="1952"/>
      <c r="F20" s="1952"/>
      <c r="G20" s="1952"/>
      <c r="H20" s="1952"/>
      <c r="I20" s="1952"/>
      <c r="J20" s="1952"/>
      <c r="K20" s="1952"/>
      <c r="L20" s="1953">
        <f>IF(AND(H19&gt;0,L19&gt;0),(((L19-H19)/H19)),"Enter Budget Data")</f>
        <v>3.1045142313469509E-2</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7"/>
      <c r="D27" s="2467"/>
      <c r="E27" s="843"/>
      <c r="F27" s="2468"/>
      <c r="G27" s="2468"/>
      <c r="H27" s="2468"/>
      <c r="I27" s="838"/>
      <c r="J27" s="838"/>
      <c r="K27" s="838"/>
      <c r="L27" s="838"/>
      <c r="M27" s="838"/>
      <c r="N27" s="1999"/>
    </row>
    <row r="28" spans="1:14" x14ac:dyDescent="0.2">
      <c r="A28" s="1998"/>
      <c r="B28" s="2008"/>
      <c r="C28" s="1958" t="s">
        <v>1026</v>
      </c>
      <c r="D28" s="844"/>
      <c r="E28" s="1959"/>
      <c r="F28" s="2469" t="s">
        <v>1492</v>
      </c>
      <c r="G28" s="2469"/>
      <c r="H28" s="2469"/>
      <c r="I28" s="838"/>
      <c r="J28" s="838"/>
      <c r="K28" s="838"/>
      <c r="L28" s="838"/>
      <c r="M28" s="838"/>
      <c r="N28" s="1999"/>
    </row>
    <row r="29" spans="1:14" x14ac:dyDescent="0.2">
      <c r="A29" s="1998"/>
      <c r="B29" s="2008"/>
      <c r="C29" s="2470"/>
      <c r="D29" s="2470"/>
      <c r="E29" s="845"/>
      <c r="F29" s="2470"/>
      <c r="G29" s="2470"/>
      <c r="H29" s="2470"/>
      <c r="I29" s="838"/>
      <c r="J29" s="838"/>
      <c r="K29" s="838"/>
      <c r="L29" s="838"/>
      <c r="M29" s="838"/>
      <c r="N29" s="1999"/>
    </row>
    <row r="30" spans="1:14" x14ac:dyDescent="0.2">
      <c r="A30" s="1998"/>
      <c r="B30" s="2008"/>
      <c r="C30" s="1961" t="s">
        <v>1544</v>
      </c>
      <c r="D30" s="838"/>
      <c r="E30" s="1960"/>
      <c r="F30" s="2454" t="s">
        <v>1493</v>
      </c>
      <c r="G30" s="2454"/>
      <c r="H30" s="2454"/>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1" t="s">
        <v>2021</v>
      </c>
      <c r="D34" s="2432"/>
      <c r="E34" s="2432"/>
      <c r="F34" s="2432"/>
      <c r="G34" s="2432"/>
      <c r="H34" s="2432"/>
      <c r="I34" s="2432"/>
      <c r="J34" s="2432"/>
      <c r="K34" s="2017"/>
      <c r="L34" s="838"/>
      <c r="M34" s="838"/>
      <c r="N34" s="1999"/>
    </row>
    <row r="35" spans="1:14" x14ac:dyDescent="0.2">
      <c r="A35" s="1998"/>
      <c r="B35" s="838"/>
      <c r="C35" s="2432"/>
      <c r="D35" s="2432"/>
      <c r="E35" s="2432"/>
      <c r="F35" s="2432"/>
      <c r="G35" s="2432"/>
      <c r="H35" s="2432"/>
      <c r="I35" s="2432"/>
      <c r="J35" s="2432"/>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1" t="s">
        <v>2022</v>
      </c>
      <c r="D37" s="2432"/>
      <c r="E37" s="2432"/>
      <c r="F37" s="2432"/>
      <c r="G37" s="2432"/>
      <c r="H37" s="2432"/>
      <c r="I37" s="2432"/>
      <c r="J37" s="2432"/>
      <c r="K37" s="2017"/>
      <c r="L37" s="2019"/>
      <c r="M37" s="838"/>
      <c r="N37" s="1999"/>
    </row>
    <row r="38" spans="1:14" x14ac:dyDescent="0.2">
      <c r="A38" s="1998"/>
      <c r="B38" s="838"/>
      <c r="C38" s="2432"/>
      <c r="D38" s="2432"/>
      <c r="E38" s="2432"/>
      <c r="F38" s="2432"/>
      <c r="G38" s="2432"/>
      <c r="H38" s="2432"/>
      <c r="I38" s="2432"/>
      <c r="J38" s="2432"/>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3" t="s">
        <v>2023</v>
      </c>
      <c r="D40" s="2434"/>
      <c r="E40" s="2434"/>
      <c r="F40" s="2434"/>
      <c r="G40" s="2434"/>
      <c r="H40" s="2434"/>
      <c r="I40" s="2434"/>
      <c r="J40" s="2434"/>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5" t="s">
        <v>2024</v>
      </c>
      <c r="B43" s="2436"/>
      <c r="C43" s="2436"/>
      <c r="D43" s="2436"/>
      <c r="E43" s="2436"/>
      <c r="F43" s="2436"/>
      <c r="G43" s="2436"/>
      <c r="H43" s="2436"/>
      <c r="I43" s="2436"/>
      <c r="J43" s="2436"/>
      <c r="K43" s="2436"/>
      <c r="L43" s="2436"/>
      <c r="M43" s="2436"/>
      <c r="N43" s="2437"/>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38" t="s">
        <v>2026</v>
      </c>
      <c r="B46" s="2439"/>
      <c r="C46" s="2439"/>
      <c r="D46" s="2439"/>
      <c r="E46" s="2439"/>
      <c r="F46" s="2439"/>
      <c r="G46" s="2439"/>
      <c r="H46" s="2439"/>
      <c r="I46" s="2439"/>
      <c r="J46" s="2439"/>
      <c r="K46" s="2439"/>
      <c r="L46" s="2439"/>
      <c r="M46" s="2439"/>
      <c r="N46" s="2440"/>
    </row>
    <row r="47" spans="1:14" x14ac:dyDescent="0.2">
      <c r="A47" s="2438"/>
      <c r="B47" s="2439"/>
      <c r="C47" s="2439"/>
      <c r="D47" s="2439"/>
      <c r="E47" s="2439"/>
      <c r="F47" s="2439"/>
      <c r="G47" s="2439"/>
      <c r="H47" s="2439"/>
      <c r="I47" s="2439"/>
      <c r="J47" s="2439"/>
      <c r="K47" s="2439"/>
      <c r="L47" s="2439"/>
      <c r="M47" s="2439"/>
      <c r="N47" s="2440"/>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1" t="str">
        <f>J6</f>
        <v xml:space="preserve">   Riverton CUSD 14</v>
      </c>
      <c r="M52" s="2441"/>
      <c r="N52" s="2442"/>
    </row>
    <row r="53" spans="1:14" x14ac:dyDescent="0.2">
      <c r="A53" s="1983"/>
      <c r="B53" s="1984"/>
      <c r="C53" s="1984"/>
      <c r="D53" s="1984"/>
      <c r="E53" s="1984"/>
      <c r="F53" s="1984"/>
      <c r="G53" s="1984"/>
      <c r="H53" s="1984"/>
      <c r="I53" s="1984"/>
      <c r="J53" s="1984"/>
      <c r="K53" s="1925" t="s">
        <v>369</v>
      </c>
      <c r="L53" s="2443">
        <f>J7</f>
        <v>51084014026</v>
      </c>
      <c r="M53" s="2443"/>
      <c r="N53" s="2444"/>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5"/>
      <c r="B55" s="2446"/>
      <c r="C55" s="2446"/>
      <c r="D55" s="1971"/>
      <c r="E55" s="1971"/>
      <c r="F55" s="1971"/>
      <c r="G55" s="2447" t="s">
        <v>2027</v>
      </c>
      <c r="H55" s="2447"/>
      <c r="I55" s="2447"/>
      <c r="J55" s="2447"/>
      <c r="K55" s="2447"/>
      <c r="L55" s="2447"/>
      <c r="M55" s="2447"/>
      <c r="N55" s="2448"/>
    </row>
    <row r="56" spans="1:14" ht="63.75" x14ac:dyDescent="0.2">
      <c r="A56" s="2449" t="s">
        <v>2028</v>
      </c>
      <c r="B56" s="2450"/>
      <c r="C56" s="2451"/>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52" t="s">
        <v>296</v>
      </c>
      <c r="B57" s="2453"/>
      <c r="C57" s="2453"/>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9" t="s">
        <v>2038</v>
      </c>
      <c r="B58" s="2430"/>
      <c r="C58" s="2430"/>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3" t="s">
        <v>297</v>
      </c>
      <c r="B59" s="2424"/>
      <c r="C59" s="2424"/>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3" t="s">
        <v>236</v>
      </c>
      <c r="B60" s="2424"/>
      <c r="C60" s="2424"/>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3" t="s">
        <v>697</v>
      </c>
      <c r="B61" s="2424"/>
      <c r="C61" s="2424"/>
      <c r="D61" s="1968">
        <v>2365</v>
      </c>
      <c r="E61" s="1978">
        <f>'Expenditures 15-22'!K323</f>
        <v>0</v>
      </c>
      <c r="F61" s="1973"/>
      <c r="G61" s="2032"/>
      <c r="H61" s="2033"/>
      <c r="I61" s="2033"/>
      <c r="J61" s="2033"/>
      <c r="K61" s="2033"/>
      <c r="L61" s="2033"/>
      <c r="M61" s="2033"/>
      <c r="N61" s="1976">
        <f t="shared" si="4"/>
        <v>0</v>
      </c>
    </row>
    <row r="62" spans="1:14" ht="24" customHeight="1" x14ac:dyDescent="0.2">
      <c r="A62" s="2423" t="s">
        <v>237</v>
      </c>
      <c r="B62" s="2424"/>
      <c r="C62" s="2424"/>
      <c r="D62" s="1968">
        <v>2366</v>
      </c>
      <c r="E62" s="1978">
        <f>'Expenditures 15-22'!K324</f>
        <v>0</v>
      </c>
      <c r="F62" s="1973"/>
      <c r="G62" s="2032"/>
      <c r="H62" s="2033"/>
      <c r="I62" s="2033"/>
      <c r="J62" s="2033"/>
      <c r="K62" s="2033"/>
      <c r="L62" s="2033"/>
      <c r="M62" s="2033"/>
      <c r="N62" s="1976">
        <f t="shared" si="4"/>
        <v>0</v>
      </c>
    </row>
    <row r="63" spans="1:14" ht="24" customHeight="1" x14ac:dyDescent="0.2">
      <c r="A63" s="2429" t="s">
        <v>1022</v>
      </c>
      <c r="B63" s="2430"/>
      <c r="C63" s="2430"/>
      <c r="D63" s="1968">
        <v>2367</v>
      </c>
      <c r="E63" s="1978">
        <f>'Expenditures 15-22'!K325</f>
        <v>0</v>
      </c>
      <c r="F63" s="1973"/>
      <c r="G63" s="2032"/>
      <c r="H63" s="2033"/>
      <c r="I63" s="2033"/>
      <c r="J63" s="2033"/>
      <c r="K63" s="2033"/>
      <c r="L63" s="2033"/>
      <c r="M63" s="2033"/>
      <c r="N63" s="1976">
        <f t="shared" si="4"/>
        <v>0</v>
      </c>
    </row>
    <row r="64" spans="1:14" ht="24" customHeight="1" x14ac:dyDescent="0.2">
      <c r="A64" s="2423" t="s">
        <v>1023</v>
      </c>
      <c r="B64" s="2424"/>
      <c r="C64" s="2424"/>
      <c r="D64" s="1968">
        <v>2368</v>
      </c>
      <c r="E64" s="1978">
        <f>'Expenditures 15-22'!K326</f>
        <v>0</v>
      </c>
      <c r="F64" s="1973"/>
      <c r="G64" s="2032"/>
      <c r="H64" s="2033"/>
      <c r="I64" s="2033"/>
      <c r="J64" s="2033"/>
      <c r="K64" s="2033"/>
      <c r="L64" s="2033"/>
      <c r="M64" s="2033"/>
      <c r="N64" s="1976">
        <f t="shared" si="4"/>
        <v>0</v>
      </c>
    </row>
    <row r="65" spans="1:14" ht="24" customHeight="1" x14ac:dyDescent="0.2">
      <c r="A65" s="2423" t="s">
        <v>965</v>
      </c>
      <c r="B65" s="2424"/>
      <c r="C65" s="2424"/>
      <c r="D65" s="1968">
        <v>2369</v>
      </c>
      <c r="E65" s="1978">
        <f>'Expenditures 15-22'!K327</f>
        <v>0</v>
      </c>
      <c r="F65" s="1973"/>
      <c r="G65" s="2032"/>
      <c r="H65" s="2033"/>
      <c r="I65" s="2033"/>
      <c r="J65" s="2033"/>
      <c r="K65" s="2033"/>
      <c r="L65" s="2033"/>
      <c r="M65" s="2033"/>
      <c r="N65" s="1976">
        <f t="shared" si="4"/>
        <v>0</v>
      </c>
    </row>
    <row r="66" spans="1:14" ht="24" customHeight="1" x14ac:dyDescent="0.2">
      <c r="A66" s="2423" t="s">
        <v>469</v>
      </c>
      <c r="B66" s="2424"/>
      <c r="C66" s="2424"/>
      <c r="D66" s="1968">
        <v>2371</v>
      </c>
      <c r="E66" s="1978">
        <f>'Expenditures 15-22'!K328</f>
        <v>0</v>
      </c>
      <c r="F66" s="1973"/>
      <c r="G66" s="2032"/>
      <c r="H66" s="2033"/>
      <c r="I66" s="2033"/>
      <c r="J66" s="2033"/>
      <c r="K66" s="2033"/>
      <c r="L66" s="2033"/>
      <c r="M66" s="2033"/>
      <c r="N66" s="1976">
        <f t="shared" si="4"/>
        <v>0</v>
      </c>
    </row>
    <row r="67" spans="1:14" ht="24.75" customHeight="1" x14ac:dyDescent="0.2">
      <c r="A67" s="2425" t="s">
        <v>2039</v>
      </c>
      <c r="B67" s="2426"/>
      <c r="C67" s="2426"/>
      <c r="D67" s="1970">
        <v>2372</v>
      </c>
      <c r="E67" s="1979">
        <f>'Expenditures 15-22'!K329</f>
        <v>0</v>
      </c>
      <c r="F67" s="1973"/>
      <c r="G67" s="2034"/>
      <c r="H67" s="2035"/>
      <c r="I67" s="2035"/>
      <c r="J67" s="2035"/>
      <c r="K67" s="2035"/>
      <c r="L67" s="2035"/>
      <c r="M67" s="2035"/>
      <c r="N67" s="1976">
        <f t="shared" si="4"/>
        <v>0</v>
      </c>
    </row>
    <row r="68" spans="1:14" x14ac:dyDescent="0.2">
      <c r="A68" s="2427" t="s">
        <v>1151</v>
      </c>
      <c r="B68" s="2428"/>
      <c r="C68" s="2428"/>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2075</v>
      </c>
    </row>
    <row r="6" spans="1:2" x14ac:dyDescent="0.2">
      <c r="A6" s="847">
        <v>2</v>
      </c>
      <c r="B6" s="307" t="s">
        <v>2076</v>
      </c>
    </row>
    <row r="7" spans="1:2" x14ac:dyDescent="0.2">
      <c r="A7" s="847">
        <v>3</v>
      </c>
      <c r="B7" s="307" t="s">
        <v>2077</v>
      </c>
    </row>
    <row r="8" spans="1:2" x14ac:dyDescent="0.2">
      <c r="A8" s="847">
        <v>4</v>
      </c>
      <c r="B8" s="307" t="s">
        <v>2078</v>
      </c>
    </row>
    <row r="9" spans="1:2" x14ac:dyDescent="0.2">
      <c r="A9" s="848">
        <v>5</v>
      </c>
      <c r="B9" s="307" t="s">
        <v>2079</v>
      </c>
    </row>
    <row r="10" spans="1:2" x14ac:dyDescent="0.2">
      <c r="A10" s="848">
        <v>6</v>
      </c>
      <c r="B10" s="307" t="s">
        <v>2080</v>
      </c>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Riverton CUSD 14</v>
      </c>
    </row>
    <row r="65" spans="2:2" x14ac:dyDescent="0.2">
      <c r="B65" s="849">
        <f>COVER!A13</f>
        <v>51084014026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61"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7" t="s">
        <v>1056</v>
      </c>
      <c r="B35" s="2157"/>
      <c r="C35" s="2157"/>
      <c r="D35" s="2157"/>
      <c r="E35" s="215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4" t="s">
        <v>686</v>
      </c>
      <c r="B40" s="2154"/>
      <c r="C40" s="2154"/>
      <c r="D40" s="2154"/>
      <c r="E40" s="2154"/>
    </row>
    <row r="41" spans="1:5" x14ac:dyDescent="0.2">
      <c r="A41" s="2155" t="s">
        <v>1591</v>
      </c>
      <c r="B41" s="2155"/>
      <c r="C41" s="2155"/>
      <c r="D41" s="2155"/>
      <c r="E41" s="2155"/>
    </row>
    <row r="42" spans="1:5" ht="12.75" customHeight="1" x14ac:dyDescent="0.2">
      <c r="A42" s="2156" t="s">
        <v>1015</v>
      </c>
      <c r="B42" s="2156"/>
      <c r="C42" s="2156"/>
      <c r="D42" s="2156"/>
      <c r="E42" s="2156"/>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1" t="s">
        <v>1665</v>
      </c>
      <c r="B18" s="247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2" t="s">
        <v>1669</v>
      </c>
      <c r="B1" s="2473"/>
      <c r="C1" s="2473"/>
      <c r="D1" s="2473"/>
      <c r="E1" s="2473"/>
      <c r="F1" s="2474"/>
    </row>
    <row r="2" spans="1:8" ht="45" customHeight="1" x14ac:dyDescent="0.2">
      <c r="A2" s="248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3"/>
      <c r="C2" s="2483"/>
      <c r="D2" s="2483"/>
      <c r="E2" s="2483"/>
      <c r="F2" s="2484"/>
      <c r="G2" s="853"/>
      <c r="H2" s="853"/>
    </row>
    <row r="3" spans="1:8" ht="57" customHeight="1" x14ac:dyDescent="0.2">
      <c r="A3" s="2485" t="s">
        <v>1969</v>
      </c>
      <c r="B3" s="2486"/>
      <c r="C3" s="2486"/>
      <c r="D3" s="2486"/>
      <c r="E3" s="2486"/>
      <c r="F3" s="2487"/>
      <c r="G3" s="853"/>
      <c r="H3" s="853"/>
    </row>
    <row r="4" spans="1:8" ht="14.25" customHeight="1" x14ac:dyDescent="0.2">
      <c r="A4" s="249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2"/>
      <c r="C4" s="2492"/>
      <c r="D4" s="2492"/>
      <c r="E4" s="2492"/>
      <c r="F4" s="2493"/>
      <c r="G4" s="853"/>
      <c r="H4" s="853"/>
    </row>
    <row r="5" spans="1:8" ht="14.25" customHeight="1" x14ac:dyDescent="0.2">
      <c r="A5" s="249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5"/>
      <c r="C5" s="2495"/>
      <c r="D5" s="2495"/>
      <c r="E5" s="2495"/>
      <c r="F5" s="2496"/>
      <c r="G5" s="853"/>
      <c r="H5" s="853"/>
    </row>
    <row r="6" spans="1:8" s="854" customFormat="1" ht="41.25" customHeight="1" x14ac:dyDescent="0.2">
      <c r="A6" s="2488" t="s">
        <v>1670</v>
      </c>
      <c r="B6" s="2489"/>
      <c r="C6" s="2489"/>
      <c r="D6" s="2489"/>
      <c r="E6" s="2489"/>
      <c r="F6" s="2490"/>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12259684</v>
      </c>
      <c r="C8" s="1813">
        <f>'Acct Summary 7-8'!D8</f>
        <v>1352788</v>
      </c>
      <c r="D8" s="1813">
        <f>'Acct Summary 7-8'!F8</f>
        <v>915871</v>
      </c>
      <c r="E8" s="1813">
        <f>'Acct Summary 7-8'!I8</f>
        <v>0</v>
      </c>
      <c r="F8" s="1813">
        <f>SUM(B8:E8)</f>
        <v>14528343</v>
      </c>
    </row>
    <row r="9" spans="1:8" s="858" customFormat="1" ht="14.25" customHeight="1" thickBot="1" x14ac:dyDescent="0.25">
      <c r="A9" s="857" t="s">
        <v>1353</v>
      </c>
      <c r="B9" s="1814">
        <f>'Acct Summary 7-8'!C17</f>
        <v>11670568</v>
      </c>
      <c r="C9" s="1814">
        <f>'Acct Summary 7-8'!D17</f>
        <v>1282374</v>
      </c>
      <c r="D9" s="1814">
        <f>'Acct Summary 7-8'!F17</f>
        <v>779780</v>
      </c>
      <c r="E9" s="1813"/>
      <c r="F9" s="1813">
        <f>SUM(B9:E9)</f>
        <v>13732722</v>
      </c>
    </row>
    <row r="10" spans="1:8" s="858" customFormat="1" ht="14.25" thickTop="1" thickBot="1" x14ac:dyDescent="0.25">
      <c r="A10" s="859" t="s">
        <v>1354</v>
      </c>
      <c r="B10" s="1815">
        <f>(B8-B9)</f>
        <v>589116</v>
      </c>
      <c r="C10" s="1815">
        <f>(C8-C9)</f>
        <v>70414</v>
      </c>
      <c r="D10" s="1815">
        <f>(D8-D9)</f>
        <v>136091</v>
      </c>
      <c r="E10" s="1814">
        <f>(E8-E9)</f>
        <v>0</v>
      </c>
      <c r="F10" s="1816">
        <f>SUM(F8-F9)</f>
        <v>795621</v>
      </c>
    </row>
    <row r="11" spans="1:8" s="858" customFormat="1" ht="14.25" thickTop="1" thickBot="1" x14ac:dyDescent="0.25">
      <c r="A11" s="860" t="s">
        <v>1900</v>
      </c>
      <c r="B11" s="1817">
        <f>'Acct Summary 7-8'!C81</f>
        <v>9417754</v>
      </c>
      <c r="C11" s="1817">
        <f>'Acct Summary 7-8'!D81</f>
        <v>1308139</v>
      </c>
      <c r="D11" s="1817">
        <f>'Acct Summary 7-8'!F81</f>
        <v>1095730</v>
      </c>
      <c r="E11" s="1817">
        <f>'Acct Summary 7-8'!I81</f>
        <v>2205465</v>
      </c>
      <c r="F11" s="1818">
        <f>SUM(B11:E11)</f>
        <v>14027088</v>
      </c>
    </row>
    <row r="12" spans="1:8" ht="16.5" customHeight="1" thickTop="1" x14ac:dyDescent="0.2">
      <c r="A12" s="861"/>
      <c r="B12" s="862"/>
      <c r="C12" s="2476" t="str">
        <f>IF(AND(F10&lt;0,F11&gt;=0,ABS(F10*3)&gt;ABS(F11)),A16,IF(AND(F10&lt;0,F11&gt;0,ABS(F10*3)&lt;=ABS(F11)),A17,IF(AND(F10&lt;0,F11&lt;0),A16,IF(F11=0,A19,A18))))</f>
        <v>Balanced - no deficit reduction plan is required.</v>
      </c>
      <c r="D12" s="2477"/>
      <c r="E12" s="2477"/>
      <c r="F12" s="2478"/>
    </row>
    <row r="13" spans="1:8" ht="19.5" customHeight="1" x14ac:dyDescent="0.2">
      <c r="A13" s="863"/>
      <c r="B13" s="864"/>
      <c r="C13" s="2476"/>
      <c r="D13" s="2477"/>
      <c r="E13" s="2477"/>
      <c r="F13" s="2478"/>
      <c r="H13" s="853"/>
    </row>
    <row r="14" spans="1:8" ht="19.5" customHeight="1" x14ac:dyDescent="0.2">
      <c r="A14" s="863"/>
      <c r="B14" s="864"/>
      <c r="C14" s="2476"/>
      <c r="D14" s="2477"/>
      <c r="E14" s="2477"/>
      <c r="F14" s="2478"/>
      <c r="H14" s="853"/>
    </row>
    <row r="15" spans="1:8" ht="17.25" customHeight="1" x14ac:dyDescent="0.2">
      <c r="A15" s="863"/>
      <c r="B15" s="864"/>
      <c r="C15" s="2479"/>
      <c r="D15" s="2480"/>
      <c r="E15" s="2480"/>
      <c r="F15" s="2481"/>
      <c r="H15" s="853"/>
    </row>
    <row r="16" spans="1:8" s="288" customFormat="1" ht="51.75" hidden="1" customHeight="1" x14ac:dyDescent="0.2">
      <c r="A16" s="2475" t="s">
        <v>1666</v>
      </c>
      <c r="B16" s="2475"/>
      <c r="C16" s="2475"/>
      <c r="D16" s="2475"/>
      <c r="E16" s="2475"/>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7" t="s">
        <v>660</v>
      </c>
      <c r="B3" s="2498"/>
      <c r="C3" s="2498"/>
      <c r="D3" s="2499"/>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8" t="s">
        <v>1487</v>
      </c>
      <c r="D7" s="2509"/>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0" t="s">
        <v>1001</v>
      </c>
      <c r="B15" s="2501"/>
      <c r="C15" s="2501"/>
      <c r="D15" s="2502"/>
    </row>
    <row r="16" spans="1:4" s="542" customFormat="1" ht="24" customHeight="1" x14ac:dyDescent="0.2">
      <c r="A16" s="2503" t="s">
        <v>658</v>
      </c>
      <c r="B16" s="2504"/>
      <c r="C16" s="2504"/>
      <c r="D16" s="2505"/>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2" t="s">
        <v>311</v>
      </c>
      <c r="D21" s="2513"/>
    </row>
    <row r="22" spans="1:10" ht="12.75" x14ac:dyDescent="0.2">
      <c r="A22" s="918"/>
      <c r="B22" s="919">
        <v>2</v>
      </c>
      <c r="C22" s="2510" t="s">
        <v>1507</v>
      </c>
      <c r="D22" s="251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4" t="s">
        <v>533</v>
      </c>
      <c r="D43" s="2515"/>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6" t="s">
        <v>779</v>
      </c>
      <c r="D56" s="2507"/>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6" t="s">
        <v>1674</v>
      </c>
      <c r="D70" s="2507"/>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51084014026</v>
      </c>
      <c r="E2" s="1542">
        <v>2020</v>
      </c>
      <c r="F2" s="1542">
        <v>1</v>
      </c>
      <c r="G2" s="1899">
        <v>101000300</v>
      </c>
    </row>
    <row r="3" spans="1:7" ht="15" x14ac:dyDescent="0.25">
      <c r="A3" t="s">
        <v>950</v>
      </c>
      <c r="B3" s="135" t="str">
        <f>COVER!A15</f>
        <v>SANGAMON</v>
      </c>
      <c r="E3" s="1830" t="s">
        <v>1968</v>
      </c>
      <c r="F3" s="1830" t="s">
        <v>1967</v>
      </c>
      <c r="G3" s="1899">
        <v>101000400</v>
      </c>
    </row>
    <row r="4" spans="1:7" ht="15" x14ac:dyDescent="0.25">
      <c r="A4" t="s">
        <v>1000</v>
      </c>
      <c r="B4" s="135" t="str">
        <f>COVER!A17</f>
        <v xml:space="preserve">   Riverton CUSD 14</v>
      </c>
      <c r="E4" s="1828">
        <v>44119</v>
      </c>
      <c r="F4" s="1829">
        <v>44151</v>
      </c>
      <c r="G4" s="1899">
        <v>101000600</v>
      </c>
    </row>
    <row r="5" spans="1:7" ht="15" x14ac:dyDescent="0.25">
      <c r="A5" t="s">
        <v>699</v>
      </c>
      <c r="B5" s="135" t="str">
        <f>COVER!A38</f>
        <v>BRAD POLANIN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JEFF VOSE</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066-004886</v>
      </c>
      <c r="G15" s="1899">
        <v>402100400</v>
      </c>
    </row>
    <row r="16" spans="1:7" ht="15" x14ac:dyDescent="0.25">
      <c r="A16" t="s">
        <v>419</v>
      </c>
      <c r="B16" s="135" t="str">
        <f>COVER!T13</f>
        <v>LOY MILLER TALLEY, PC</v>
      </c>
      <c r="G16" s="1899">
        <v>402100600</v>
      </c>
    </row>
    <row r="17" spans="1:7" ht="15" x14ac:dyDescent="0.25">
      <c r="A17" t="s">
        <v>878</v>
      </c>
      <c r="B17" s="135" t="str">
        <f>COVER!T15</f>
        <v xml:space="preserve">KENNETH E. LOY </v>
      </c>
      <c r="G17" s="1899">
        <v>402100800</v>
      </c>
    </row>
    <row r="18" spans="1:7" ht="15" x14ac:dyDescent="0.25">
      <c r="A18" t="s">
        <v>1140</v>
      </c>
      <c r="B18" s="135" t="str">
        <f>COVER!T17</f>
        <v>#2 CROSSROADS COURT</v>
      </c>
      <c r="G18" s="1899">
        <v>102200300</v>
      </c>
    </row>
    <row r="19" spans="1:7" ht="15" x14ac:dyDescent="0.25">
      <c r="A19" t="s">
        <v>880</v>
      </c>
      <c r="B19" s="135" t="str">
        <f>COVER!T25</f>
        <v>KEN@LMTCPAS.COM</v>
      </c>
      <c r="G19" s="1899">
        <v>102200400</v>
      </c>
    </row>
    <row r="20" spans="1:7" ht="15" x14ac:dyDescent="0.25">
      <c r="A20" t="s">
        <v>881</v>
      </c>
      <c r="B20" s="135" t="str">
        <f>COVER!T19</f>
        <v>ALTON</v>
      </c>
      <c r="G20" s="1899">
        <v>102200600</v>
      </c>
    </row>
    <row r="21" spans="1:7" ht="15" x14ac:dyDescent="0.25">
      <c r="A21" t="s">
        <v>476</v>
      </c>
      <c r="B21" s="135" t="str">
        <f>COVER!X19</f>
        <v>IL</v>
      </c>
      <c r="G21" s="1899">
        <v>102200800</v>
      </c>
    </row>
    <row r="22" spans="1:7" ht="15" x14ac:dyDescent="0.25">
      <c r="A22" t="s">
        <v>882</v>
      </c>
      <c r="B22" s="135">
        <f>COVER!Z19</f>
        <v>62002</v>
      </c>
      <c r="G22" s="1899">
        <v>102300300</v>
      </c>
    </row>
    <row r="23" spans="1:7" ht="15" x14ac:dyDescent="0.25">
      <c r="A23" t="s">
        <v>1142</v>
      </c>
      <c r="B23" s="135" t="str">
        <f>COVER!T21</f>
        <v>618-465-1196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t="str">
        <f>COVER!U34</f>
        <v>X</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35431</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3256164</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7512900</v>
      </c>
      <c r="D76" s="2" t="str">
        <f t="shared" si="0"/>
        <v>Error?</v>
      </c>
      <c r="G76" s="1899">
        <v>102570600</v>
      </c>
    </row>
    <row r="77" spans="1:7" ht="15" x14ac:dyDescent="0.25">
      <c r="A77" s="5">
        <v>16</v>
      </c>
      <c r="B77" s="1832">
        <f>'Assets-Liab 5-6'!C13</f>
        <v>10769064</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1351310</v>
      </c>
      <c r="C91" s="2" t="s">
        <v>569</v>
      </c>
      <c r="D91" s="2" t="str">
        <f t="shared" si="0"/>
        <v>Error?</v>
      </c>
      <c r="G91" s="1899">
        <v>102640400</v>
      </c>
    </row>
    <row r="92" spans="1:7" ht="15" x14ac:dyDescent="0.25">
      <c r="A92" s="5">
        <v>31</v>
      </c>
      <c r="B92" s="1832">
        <f>'Assets-Liab 5-6'!C39</f>
        <v>8860230</v>
      </c>
      <c r="D92" s="2" t="str">
        <f t="shared" si="0"/>
        <v>Error?</v>
      </c>
      <c r="G92" s="1899">
        <v>102640600</v>
      </c>
    </row>
    <row r="93" spans="1:7" ht="15" x14ac:dyDescent="0.25">
      <c r="A93" s="5">
        <v>32</v>
      </c>
      <c r="B93" s="1832">
        <f>'Assets-Liab 5-6'!C41</f>
        <v>10769064</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1308139</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1308139</v>
      </c>
      <c r="D123" s="2" t="str">
        <f t="shared" si="0"/>
        <v>Error?</v>
      </c>
      <c r="G123" s="1899">
        <v>203000400</v>
      </c>
    </row>
    <row r="124" spans="1:7" ht="15" x14ac:dyDescent="0.25">
      <c r="A124" s="5">
        <v>63</v>
      </c>
      <c r="B124" s="1832">
        <f>'Assets-Liab 5-6'!D41</f>
        <v>1308139</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714681</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714681</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1095730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1095730</v>
      </c>
      <c r="D170" s="2" t="str">
        <f t="shared" si="1"/>
        <v>Error?</v>
      </c>
    </row>
    <row r="171" spans="1:4" x14ac:dyDescent="0.2">
      <c r="A171" s="5">
        <v>110</v>
      </c>
      <c r="B171" s="1832">
        <f>'Assets-Liab 5-6'!F41</f>
        <v>1095730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385158</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385158</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7268077</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7361727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7361727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1553417</v>
      </c>
      <c r="D273" s="2" t="str">
        <f t="shared" si="3"/>
        <v>Error?</v>
      </c>
    </row>
    <row r="274" spans="1:4" x14ac:dyDescent="0.2">
      <c r="A274" s="5">
        <v>213</v>
      </c>
      <c r="B274" s="1832">
        <f>'Assets-Liab 5-6'!M17</f>
        <v>30036809</v>
      </c>
      <c r="D274" s="2" t="str">
        <f t="shared" si="3"/>
        <v>Error?</v>
      </c>
    </row>
    <row r="275" spans="1:4" x14ac:dyDescent="0.2">
      <c r="A275" s="5">
        <v>214</v>
      </c>
      <c r="B275" s="1832">
        <f>'Assets-Liab 5-6'!M18</f>
        <v>824001</v>
      </c>
      <c r="D275" s="2" t="str">
        <f t="shared" si="3"/>
        <v>Error?</v>
      </c>
    </row>
    <row r="276" spans="1:4" x14ac:dyDescent="0.2">
      <c r="A276" s="5">
        <v>215</v>
      </c>
      <c r="B276" s="1832">
        <f>'Assets-Liab 5-6'!M19</f>
        <v>3000360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35414587</v>
      </c>
      <c r="C279" s="2" t="s">
        <v>569</v>
      </c>
      <c r="D279" s="2" t="str">
        <f t="shared" si="3"/>
        <v>Error?</v>
      </c>
    </row>
    <row r="280" spans="1:4" x14ac:dyDescent="0.2">
      <c r="A280" s="5">
        <v>219</v>
      </c>
      <c r="B280" s="1832">
        <f>'Assets-Liab 5-6'!M40</f>
        <v>35414587</v>
      </c>
      <c r="D280" s="2" t="str">
        <f t="shared" si="3"/>
        <v>Error?</v>
      </c>
    </row>
    <row r="281" spans="1:4" x14ac:dyDescent="0.2">
      <c r="A281" s="5">
        <v>220</v>
      </c>
      <c r="B281" s="1832">
        <f>'Assets-Liab 5-6'!M41</f>
        <v>35414587</v>
      </c>
      <c r="C281" s="2" t="s">
        <v>569</v>
      </c>
      <c r="D281" s="2" t="str">
        <f t="shared" si="3"/>
        <v>Error?</v>
      </c>
    </row>
    <row r="282" spans="1:4" x14ac:dyDescent="0.2">
      <c r="A282" s="5">
        <v>221</v>
      </c>
      <c r="B282" s="1832">
        <f>'Assets-Liab 5-6'!N21</f>
        <v>714681</v>
      </c>
      <c r="D282" s="2" t="str">
        <f t="shared" si="3"/>
        <v>Error?</v>
      </c>
    </row>
    <row r="283" spans="1:4" x14ac:dyDescent="0.2">
      <c r="A283" s="5">
        <v>222</v>
      </c>
      <c r="B283" s="1832">
        <f>'Assets-Liab 5-6'!N22</f>
        <v>13069605</v>
      </c>
      <c r="D283" s="2" t="str">
        <f t="shared" si="3"/>
        <v>Error?</v>
      </c>
    </row>
    <row r="284" spans="1:4" x14ac:dyDescent="0.2">
      <c r="A284" s="5">
        <v>223</v>
      </c>
      <c r="B284" s="1832">
        <f>'Assets-Liab 5-6'!N23</f>
        <v>13784286</v>
      </c>
      <c r="C284" s="2" t="s">
        <v>569</v>
      </c>
      <c r="D284" s="2" t="str">
        <f t="shared" si="3"/>
        <v>Error?</v>
      </c>
    </row>
    <row r="285" spans="1:4" x14ac:dyDescent="0.2">
      <c r="A285" s="5">
        <v>224</v>
      </c>
      <c r="B285" s="1832">
        <f>'Assets-Liab 5-6'!N36</f>
        <v>13784286</v>
      </c>
      <c r="D285" s="2" t="str">
        <f t="shared" si="3"/>
        <v>Error?</v>
      </c>
    </row>
    <row r="286" spans="1:4" x14ac:dyDescent="0.2">
      <c r="A286" s="10">
        <v>225</v>
      </c>
      <c r="B286" s="1832"/>
      <c r="D286" s="2" t="str">
        <f t="shared" si="3"/>
        <v>OK</v>
      </c>
    </row>
    <row r="287" spans="1:4" x14ac:dyDescent="0.2">
      <c r="A287" s="5">
        <v>226</v>
      </c>
      <c r="B287" s="1832">
        <f>'Assets-Liab 5-6'!N37</f>
        <v>13784286</v>
      </c>
      <c r="C287" s="2" t="s">
        <v>569</v>
      </c>
      <c r="D287" s="2" t="str">
        <f t="shared" si="3"/>
        <v>Error?</v>
      </c>
    </row>
    <row r="288" spans="1:4" x14ac:dyDescent="0.2">
      <c r="A288" s="5">
        <v>227</v>
      </c>
      <c r="B288" s="1832">
        <f>'Assets-Liab 5-6'!N41</f>
        <v>13784286</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5416200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3971432</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3800391</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44563</v>
      </c>
      <c r="D717" s="2" t="str">
        <f t="shared" si="10"/>
        <v>Error?</v>
      </c>
    </row>
    <row r="718" spans="1:4" x14ac:dyDescent="0.2">
      <c r="A718" s="5">
        <v>657</v>
      </c>
      <c r="B718" s="1832">
        <f>'Expenditures 15-22'!C14</f>
        <v>217152</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5903245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298028</v>
      </c>
      <c r="D722" s="2" t="str">
        <f t="shared" si="10"/>
        <v>Error?</v>
      </c>
    </row>
    <row r="723" spans="1:4" x14ac:dyDescent="0.2">
      <c r="A723" s="5">
        <v>662</v>
      </c>
      <c r="B723" s="1832">
        <f>'Expenditures 15-22'!C38</f>
        <v>68292</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366320</v>
      </c>
      <c r="C727" s="2" t="s">
        <v>569</v>
      </c>
      <c r="D727" s="2" t="str">
        <f t="shared" si="10"/>
        <v>Error?</v>
      </c>
    </row>
    <row r="728" spans="1:4" x14ac:dyDescent="0.2">
      <c r="A728" s="5">
        <v>667</v>
      </c>
      <c r="B728" s="1832">
        <f>'Expenditures 15-22'!C44</f>
        <v>55963</v>
      </c>
      <c r="D728" s="2" t="str">
        <f t="shared" si="10"/>
        <v>Error?</v>
      </c>
    </row>
    <row r="729" spans="1:4" x14ac:dyDescent="0.2">
      <c r="A729" s="5">
        <v>668</v>
      </c>
      <c r="B729" s="1832">
        <f>'Expenditures 15-22'!C45</f>
        <v>71193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127156</v>
      </c>
      <c r="C731" s="2" t="s">
        <v>569</v>
      </c>
      <c r="D731" s="2" t="str">
        <f t="shared" si="10"/>
        <v>Error?</v>
      </c>
    </row>
    <row r="732" spans="1:4" x14ac:dyDescent="0.2">
      <c r="A732" s="5">
        <v>671</v>
      </c>
      <c r="B732" s="1832">
        <f>'Expenditures 15-22'!C49</f>
        <v>7856</v>
      </c>
      <c r="D732" s="2" t="str">
        <f t="shared" si="10"/>
        <v>Error?</v>
      </c>
    </row>
    <row r="733" spans="1:4" x14ac:dyDescent="0.2">
      <c r="A733" s="5">
        <v>672</v>
      </c>
      <c r="B733" s="1832">
        <f>'Expenditures 15-22'!C50</f>
        <v>203575</v>
      </c>
      <c r="D733" s="2" t="str">
        <f t="shared" si="10"/>
        <v>Error?</v>
      </c>
    </row>
    <row r="734" spans="1:4" x14ac:dyDescent="0.2">
      <c r="A734" s="5">
        <v>673</v>
      </c>
      <c r="B734" s="1832">
        <f>'Expenditures 15-22'!C53</f>
        <v>211431</v>
      </c>
      <c r="C734" s="2" t="s">
        <v>569</v>
      </c>
      <c r="D734" s="2" t="str">
        <f t="shared" si="10"/>
        <v>Error?</v>
      </c>
    </row>
    <row r="735" spans="1:4" x14ac:dyDescent="0.2">
      <c r="A735" s="5">
        <v>674</v>
      </c>
      <c r="B735" s="1832">
        <f>'Expenditures 15-22'!C55</f>
        <v>631508</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631508</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110190</v>
      </c>
      <c r="D739" s="2" t="str">
        <f t="shared" si="10"/>
        <v>Error?</v>
      </c>
    </row>
    <row r="740" spans="1:4" x14ac:dyDescent="0.2">
      <c r="A740" s="5">
        <v>679</v>
      </c>
      <c r="B740" s="1832">
        <f>'Expenditures 15-22'!C61</f>
        <v>24588</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42662</v>
      </c>
      <c r="D742" s="2" t="str">
        <f t="shared" si="10"/>
        <v>Error?</v>
      </c>
    </row>
    <row r="743" spans="1:4" x14ac:dyDescent="0.2">
      <c r="A743" s="5">
        <v>682</v>
      </c>
      <c r="B743" s="1832">
        <f>'Expenditures 15-22'!C64</f>
        <v>1136</v>
      </c>
      <c r="D743" s="2" t="str">
        <f t="shared" si="10"/>
        <v>Error?</v>
      </c>
    </row>
    <row r="744" spans="1:4" x14ac:dyDescent="0.2">
      <c r="A744" s="10">
        <v>683</v>
      </c>
      <c r="B744" s="1832"/>
      <c r="D744" s="2" t="str">
        <f t="shared" si="10"/>
        <v>OK</v>
      </c>
    </row>
    <row r="745" spans="1:4" x14ac:dyDescent="0.2">
      <c r="A745" s="5">
        <v>684</v>
      </c>
      <c r="B745" s="1832">
        <f>'Expenditures 15-22'!C65</f>
        <v>178576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23255</v>
      </c>
      <c r="D754" s="2" t="str">
        <f t="shared" si="10"/>
        <v>Error?</v>
      </c>
    </row>
    <row r="755" spans="1:4" x14ac:dyDescent="0.2">
      <c r="A755" s="5">
        <v>694</v>
      </c>
      <c r="B755" s="1832">
        <f>'Expenditures 15-22'!C74</f>
        <v>1538246</v>
      </c>
      <c r="C755" s="2" t="s">
        <v>569</v>
      </c>
      <c r="D755" s="2" t="str">
        <f t="shared" si="10"/>
        <v>Error?</v>
      </c>
    </row>
    <row r="756" spans="1:4" x14ac:dyDescent="0.2">
      <c r="A756" s="5">
        <v>695</v>
      </c>
      <c r="B756" s="1832">
        <f>'Expenditures 15-22'!C75</f>
        <v>108693</v>
      </c>
      <c r="D756" s="2" t="str">
        <f t="shared" si="10"/>
        <v>Error?</v>
      </c>
    </row>
    <row r="757" spans="1:4" x14ac:dyDescent="0.2">
      <c r="A757" s="5">
        <v>696</v>
      </c>
      <c r="B757" s="1832">
        <f>'Expenditures 15-22'!C114</f>
        <v>7550184</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312121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688</v>
      </c>
      <c r="D775" s="2" t="str">
        <f t="shared" si="11"/>
        <v>Error?</v>
      </c>
    </row>
    <row r="776" spans="1:4" x14ac:dyDescent="0.2">
      <c r="A776" s="5">
        <v>715</v>
      </c>
      <c r="B776" s="1832">
        <f>'Expenditures 15-22'!D14</f>
        <v>7847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480343</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17836</v>
      </c>
      <c r="D780" s="2" t="str">
        <f t="shared" si="11"/>
        <v>Error?</v>
      </c>
    </row>
    <row r="781" spans="1:4" x14ac:dyDescent="0.2">
      <c r="A781" s="5">
        <v>720</v>
      </c>
      <c r="B781" s="1832">
        <f>'Expenditures 15-22'!D38</f>
        <v>7044</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24880</v>
      </c>
      <c r="C785" s="2" t="s">
        <v>569</v>
      </c>
      <c r="D785" s="2" t="str">
        <f t="shared" si="11"/>
        <v>Error?</v>
      </c>
    </row>
    <row r="786" spans="1:4" x14ac:dyDescent="0.2">
      <c r="A786" s="5">
        <v>725</v>
      </c>
      <c r="B786" s="1832">
        <f>'Expenditures 15-22'!D44</f>
        <v>7406</v>
      </c>
      <c r="D786" s="2" t="str">
        <f t="shared" si="11"/>
        <v>Error?</v>
      </c>
    </row>
    <row r="787" spans="1:4" x14ac:dyDescent="0.2">
      <c r="A787" s="5">
        <v>726</v>
      </c>
      <c r="B787" s="1832">
        <f>'Expenditures 15-22'!D45</f>
        <v>5518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12924</v>
      </c>
      <c r="C789" s="2" t="s">
        <v>569</v>
      </c>
      <c r="D789" s="2" t="str">
        <f t="shared" si="11"/>
        <v>Error?</v>
      </c>
    </row>
    <row r="790" spans="1:4" x14ac:dyDescent="0.2">
      <c r="A790" s="5">
        <v>729</v>
      </c>
      <c r="B790" s="1832">
        <f>'Expenditures 15-22'!D49</f>
        <v>79563</v>
      </c>
      <c r="D790" s="2" t="str">
        <f t="shared" si="11"/>
        <v>Error?</v>
      </c>
    </row>
    <row r="791" spans="1:4" x14ac:dyDescent="0.2">
      <c r="A791" s="5">
        <v>730</v>
      </c>
      <c r="B791" s="1832">
        <f>'Expenditures 15-22'!D50</f>
        <v>50456</v>
      </c>
      <c r="D791" s="2" t="str">
        <f t="shared" si="11"/>
        <v>Error?</v>
      </c>
    </row>
    <row r="792" spans="1:4" x14ac:dyDescent="0.2">
      <c r="A792" s="5">
        <v>731</v>
      </c>
      <c r="B792" s="1832">
        <f>'Expenditures 15-22'!D53</f>
        <v>130019</v>
      </c>
      <c r="C792" s="2" t="s">
        <v>569</v>
      </c>
      <c r="D792" s="2" t="str">
        <f t="shared" si="11"/>
        <v>Error?</v>
      </c>
    </row>
    <row r="793" spans="1:4" x14ac:dyDescent="0.2">
      <c r="A793" s="5">
        <v>732</v>
      </c>
      <c r="B793" s="1832">
        <f>'Expenditures 15-22'!D55</f>
        <v>43613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43613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17560</v>
      </c>
      <c r="D797" s="2" t="str">
        <f t="shared" si="11"/>
        <v>Error?</v>
      </c>
    </row>
    <row r="798" spans="1:4" x14ac:dyDescent="0.2">
      <c r="A798" s="5">
        <v>737</v>
      </c>
      <c r="B798" s="1832">
        <f>'Expenditures 15-22'!D61</f>
        <v>986</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4495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23041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234477</v>
      </c>
      <c r="C813" s="2" t="s">
        <v>569</v>
      </c>
      <c r="D813" s="2" t="str">
        <f t="shared" si="11"/>
        <v>Error?</v>
      </c>
    </row>
    <row r="814" spans="1:4" x14ac:dyDescent="0.2">
      <c r="A814" s="5">
        <v>753</v>
      </c>
      <c r="B814" s="1832">
        <f>'Expenditures 15-22'!D75</f>
        <v>7064</v>
      </c>
      <c r="D814" s="2" t="str">
        <f t="shared" si="11"/>
        <v>Error?</v>
      </c>
    </row>
    <row r="815" spans="1:4" x14ac:dyDescent="0.2">
      <c r="A815" s="5">
        <v>754</v>
      </c>
      <c r="B815" s="1832">
        <f>'Expenditures 15-22'!D114</f>
        <v>721884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279406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47497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330976</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436</v>
      </c>
      <c r="D838" s="2" t="str">
        <f t="shared" si="12"/>
        <v>Error?</v>
      </c>
    </row>
    <row r="839" spans="1:4" x14ac:dyDescent="0.2">
      <c r="A839" s="5">
        <v>778</v>
      </c>
      <c r="B839" s="1832">
        <f>'Expenditures 15-22'!E38</f>
        <v>18669</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19105</v>
      </c>
      <c r="C843" s="2" t="s">
        <v>569</v>
      </c>
      <c r="D843" s="2" t="str">
        <f t="shared" si="12"/>
        <v>Error?</v>
      </c>
    </row>
    <row r="844" spans="1:4" x14ac:dyDescent="0.2">
      <c r="A844" s="5">
        <v>783</v>
      </c>
      <c r="B844" s="1832">
        <f>'Expenditures 15-22'!E44</f>
        <v>64254</v>
      </c>
      <c r="D844" s="2" t="str">
        <f t="shared" si="12"/>
        <v>Error?</v>
      </c>
    </row>
    <row r="845" spans="1:4" x14ac:dyDescent="0.2">
      <c r="A845" s="5">
        <v>784</v>
      </c>
      <c r="B845" s="1832">
        <f>'Expenditures 15-22'!E45</f>
        <v>150</v>
      </c>
      <c r="D845" s="2" t="str">
        <f t="shared" si="12"/>
        <v>Error?</v>
      </c>
    </row>
    <row r="846" spans="1:4" x14ac:dyDescent="0.2">
      <c r="A846" s="5">
        <v>785</v>
      </c>
      <c r="B846" s="1832">
        <f>'Expenditures 15-22'!E46</f>
        <v>2500</v>
      </c>
      <c r="D846" s="2" t="str">
        <f t="shared" si="12"/>
        <v>Error?</v>
      </c>
    </row>
    <row r="847" spans="1:4" x14ac:dyDescent="0.2">
      <c r="A847" s="5">
        <v>786</v>
      </c>
      <c r="B847" s="1832">
        <f>'Expenditures 15-22'!E47</f>
        <v>66904</v>
      </c>
      <c r="C847" s="2" t="s">
        <v>569</v>
      </c>
      <c r="D847" s="2" t="str">
        <f t="shared" si="12"/>
        <v>Error?</v>
      </c>
    </row>
    <row r="848" spans="1:4" x14ac:dyDescent="0.2">
      <c r="A848" s="5">
        <v>787</v>
      </c>
      <c r="B848" s="1832">
        <f>'Expenditures 15-22'!E49</f>
        <v>124384</v>
      </c>
      <c r="D848" s="2" t="str">
        <f t="shared" si="12"/>
        <v>Error?</v>
      </c>
    </row>
    <row r="849" spans="1:4" x14ac:dyDescent="0.2">
      <c r="A849" s="5">
        <v>788</v>
      </c>
      <c r="B849" s="1832">
        <f>'Expenditures 15-22'!E50</f>
        <v>26248</v>
      </c>
      <c r="D849" s="2" t="str">
        <f t="shared" si="12"/>
        <v>Error?</v>
      </c>
    </row>
    <row r="850" spans="1:4" x14ac:dyDescent="0.2">
      <c r="A850" s="5">
        <v>789</v>
      </c>
      <c r="B850" s="1832">
        <f>'Expenditures 15-22'!E53</f>
        <v>150632</v>
      </c>
      <c r="C850" s="2" t="s">
        <v>569</v>
      </c>
      <c r="D850" s="2" t="str">
        <f t="shared" si="12"/>
        <v>Error?</v>
      </c>
    </row>
    <row r="851" spans="1:4" x14ac:dyDescent="0.2">
      <c r="A851" s="5">
        <v>790</v>
      </c>
      <c r="B851" s="1832">
        <f>'Expenditures 15-22'!E55</f>
        <v>8668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8668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199</v>
      </c>
      <c r="D855" s="2" t="str">
        <f t="shared" si="12"/>
        <v>Error?</v>
      </c>
    </row>
    <row r="856" spans="1:4" x14ac:dyDescent="0.2">
      <c r="A856" s="5">
        <v>795</v>
      </c>
      <c r="B856" s="1832">
        <f>'Expenditures 15-22'!E61</f>
        <v>12934</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557139</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570272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1205</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1205</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816786</v>
      </c>
      <c r="C871" s="2" t="s">
        <v>569</v>
      </c>
      <c r="D871" s="2" t="str">
        <f t="shared" si="12"/>
        <v>Error?</v>
      </c>
    </row>
    <row r="872" spans="1:4" x14ac:dyDescent="0.2">
      <c r="A872" s="5">
        <v>811</v>
      </c>
      <c r="B872" s="1832">
        <f>'Expenditures 15-22'!E75</f>
        <v>3666</v>
      </c>
      <c r="D872" s="2" t="str">
        <f t="shared" si="12"/>
        <v>Error?</v>
      </c>
    </row>
    <row r="873" spans="1:4" x14ac:dyDescent="0.2">
      <c r="A873" s="5">
        <v>812</v>
      </c>
      <c r="B873" s="1832">
        <f>'Expenditures 15-22'!E114</f>
        <v>2799695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346088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18153</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394931</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336</v>
      </c>
      <c r="D896" s="2" t="str">
        <f t="shared" si="13"/>
        <v>Error?</v>
      </c>
    </row>
    <row r="897" spans="1:4" x14ac:dyDescent="0.2">
      <c r="A897" s="5">
        <v>836</v>
      </c>
      <c r="B897" s="1832">
        <f>'Expenditures 15-22'!F38</f>
        <v>1198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1534</v>
      </c>
      <c r="C901" s="2" t="s">
        <v>569</v>
      </c>
      <c r="D901" s="2" t="str">
        <f t="shared" si="13"/>
        <v>Error?</v>
      </c>
    </row>
    <row r="902" spans="1:4" x14ac:dyDescent="0.2">
      <c r="A902" s="5">
        <v>841</v>
      </c>
      <c r="B902" s="1832">
        <f>'Expenditures 15-22'!F44</f>
        <v>2247</v>
      </c>
      <c r="D902" s="2" t="str">
        <f t="shared" si="13"/>
        <v>Error?</v>
      </c>
    </row>
    <row r="903" spans="1:4" x14ac:dyDescent="0.2">
      <c r="A903" s="5">
        <v>842</v>
      </c>
      <c r="B903" s="1832">
        <f>'Expenditures 15-22'!F45</f>
        <v>7585</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9832</v>
      </c>
      <c r="C905" s="2" t="s">
        <v>569</v>
      </c>
      <c r="D905" s="2" t="str">
        <f t="shared" si="13"/>
        <v>Error?</v>
      </c>
    </row>
    <row r="906" spans="1:4" x14ac:dyDescent="0.2">
      <c r="A906" s="5">
        <v>845</v>
      </c>
      <c r="B906" s="1832">
        <f>'Expenditures 15-22'!F49</f>
        <v>397</v>
      </c>
      <c r="D906" s="2" t="str">
        <f t="shared" si="13"/>
        <v>Error?</v>
      </c>
    </row>
    <row r="907" spans="1:4" x14ac:dyDescent="0.2">
      <c r="A907" s="5">
        <v>846</v>
      </c>
      <c r="B907" s="1832">
        <f>'Expenditures 15-22'!F50</f>
        <v>4266</v>
      </c>
      <c r="D907" s="2" t="str">
        <f t="shared" si="13"/>
        <v>Error?</v>
      </c>
    </row>
    <row r="908" spans="1:4" x14ac:dyDescent="0.2">
      <c r="A908" s="5">
        <v>847</v>
      </c>
      <c r="B908" s="1832">
        <f>'Expenditures 15-22'!F53</f>
        <v>4663</v>
      </c>
      <c r="C908" s="2" t="s">
        <v>569</v>
      </c>
      <c r="D908" s="2" t="str">
        <f t="shared" si="13"/>
        <v>Error?</v>
      </c>
    </row>
    <row r="909" spans="1:4" x14ac:dyDescent="0.2">
      <c r="A909" s="5">
        <v>848</v>
      </c>
      <c r="B909" s="1832">
        <f>'Expenditures 15-22'!F55</f>
        <v>10780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10780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404</v>
      </c>
      <c r="D913" s="2" t="str">
        <f t="shared" si="13"/>
        <v>Error?</v>
      </c>
    </row>
    <row r="914" spans="1:4" x14ac:dyDescent="0.2">
      <c r="A914" s="5">
        <v>853</v>
      </c>
      <c r="B914" s="1832">
        <f>'Expenditures 15-22'!F61</f>
        <v>-850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3714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3268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30077</v>
      </c>
      <c r="C929" s="2" t="s">
        <v>569</v>
      </c>
      <c r="D929" s="2" t="str">
        <f t="shared" si="13"/>
        <v>Error?</v>
      </c>
    </row>
    <row r="930" spans="1:4" x14ac:dyDescent="0.2">
      <c r="A930" s="5">
        <v>869</v>
      </c>
      <c r="B930" s="1832">
        <f>'Expenditures 15-22'!F75</f>
        <v>26362</v>
      </c>
      <c r="D930" s="2" t="str">
        <f t="shared" si="13"/>
        <v>Error?</v>
      </c>
    </row>
    <row r="931" spans="1:4" x14ac:dyDescent="0.2">
      <c r="A931" s="5">
        <v>870</v>
      </c>
      <c r="B931" s="1832">
        <f>'Expenditures 15-22'!F114</f>
        <v>451370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48930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6590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80500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839</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839</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4530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4530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2657</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5175</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7832</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13201</v>
      </c>
      <c r="C987" s="2" t="s">
        <v>569</v>
      </c>
      <c r="D987" s="2" t="str">
        <f t="shared" si="14"/>
        <v>Error?</v>
      </c>
    </row>
    <row r="988" spans="1:4" x14ac:dyDescent="0.2">
      <c r="A988" s="5">
        <v>927</v>
      </c>
      <c r="B988" s="1832">
        <f>'Expenditures 15-22'!G75</f>
        <v>31228</v>
      </c>
      <c r="D988" s="2" t="str">
        <f t="shared" si="14"/>
        <v>Error?</v>
      </c>
    </row>
    <row r="989" spans="1:4" x14ac:dyDescent="0.2">
      <c r="A989" s="5">
        <v>928</v>
      </c>
      <c r="B989" s="1832">
        <f>'Expenditures 15-22'!G114</f>
        <v>124929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885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9531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10416</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3766</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3766</v>
      </c>
      <c r="C1021" s="2" t="s">
        <v>569</v>
      </c>
      <c r="D1021" s="2" t="str">
        <f t="shared" si="14"/>
        <v>Error?</v>
      </c>
    </row>
    <row r="1022" spans="1:4" x14ac:dyDescent="0.2">
      <c r="A1022" s="5">
        <v>961</v>
      </c>
      <c r="B1022" s="1832">
        <f>'Expenditures 15-22'!H49</f>
        <v>4500</v>
      </c>
      <c r="D1022" s="2" t="str">
        <f t="shared" si="14"/>
        <v>Error?</v>
      </c>
    </row>
    <row r="1023" spans="1:4" x14ac:dyDescent="0.2">
      <c r="A1023" s="5">
        <v>962</v>
      </c>
      <c r="B1023" s="1832">
        <f>'Expenditures 15-22'!H50</f>
        <v>1256</v>
      </c>
      <c r="D1023" s="2" t="str">
        <f t="shared" ref="D1023:D1086" si="15">IF(ISBLANK(B1023),"OK",IF(A1023-B1023=0,"OK","Error?"))</f>
        <v>Error?</v>
      </c>
    </row>
    <row r="1024" spans="1:4" x14ac:dyDescent="0.2">
      <c r="A1024" s="5">
        <v>963</v>
      </c>
      <c r="B1024" s="1832">
        <f>'Expenditures 15-22'!H53</f>
        <v>5756</v>
      </c>
      <c r="C1024" s="2" t="s">
        <v>569</v>
      </c>
      <c r="D1024" s="2" t="str">
        <f t="shared" si="15"/>
        <v>Error?</v>
      </c>
    </row>
    <row r="1025" spans="1:4" x14ac:dyDescent="0.2">
      <c r="A1025" s="5">
        <v>964</v>
      </c>
      <c r="B1025" s="1832">
        <f>'Expenditures 15-22'!H55</f>
        <v>1729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1729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839</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839</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12090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22506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4787821</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45251</v>
      </c>
      <c r="C1105" s="2" t="s">
        <v>569</v>
      </c>
      <c r="D1105" s="2" t="str">
        <f t="shared" si="16"/>
        <v>Error?</v>
      </c>
    </row>
    <row r="1106" spans="1:4" x14ac:dyDescent="0.2">
      <c r="A1106" s="5">
        <v>1045</v>
      </c>
      <c r="B1106" s="1832">
        <f>'Expenditures 15-22'!K14</f>
        <v>306770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7200411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316636</v>
      </c>
      <c r="C1110" s="2" t="s">
        <v>569</v>
      </c>
      <c r="D1110" s="2" t="str">
        <f t="shared" si="16"/>
        <v>Error?</v>
      </c>
    </row>
    <row r="1111" spans="1:4" x14ac:dyDescent="0.2">
      <c r="A1111" s="5">
        <v>1050</v>
      </c>
      <c r="B1111" s="1832">
        <f>'Expenditures 15-22'!K38</f>
        <v>95203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411839</v>
      </c>
      <c r="C1115" s="2" t="s">
        <v>569</v>
      </c>
      <c r="D1115" s="2" t="str">
        <f t="shared" si="16"/>
        <v>Error?</v>
      </c>
    </row>
    <row r="1116" spans="1:4" x14ac:dyDescent="0.2">
      <c r="A1116" s="5">
        <v>1055</v>
      </c>
      <c r="B1116" s="1832">
        <f>'Expenditures 15-22'!K44</f>
        <v>129870</v>
      </c>
      <c r="C1116" s="2" t="s">
        <v>569</v>
      </c>
      <c r="D1116" s="2" t="str">
        <f t="shared" si="16"/>
        <v>Error?</v>
      </c>
    </row>
    <row r="1117" spans="1:4" x14ac:dyDescent="0.2">
      <c r="A1117" s="5">
        <v>1056</v>
      </c>
      <c r="B1117" s="1832">
        <f>'Expenditures 15-22'!K45</f>
        <v>89051</v>
      </c>
      <c r="C1117" s="2" t="s">
        <v>569</v>
      </c>
      <c r="D1117" s="2" t="str">
        <f t="shared" si="16"/>
        <v>Error?</v>
      </c>
    </row>
    <row r="1118" spans="1:4" x14ac:dyDescent="0.2">
      <c r="A1118" s="5">
        <v>1057</v>
      </c>
      <c r="B1118" s="1832">
        <f>'Expenditures 15-22'!K46</f>
        <v>2500</v>
      </c>
      <c r="C1118" s="2" t="s">
        <v>569</v>
      </c>
      <c r="D1118" s="2" t="str">
        <f t="shared" si="16"/>
        <v>Error?</v>
      </c>
    </row>
    <row r="1119" spans="1:4" x14ac:dyDescent="0.2">
      <c r="A1119" s="5">
        <v>1058</v>
      </c>
      <c r="B1119" s="1832">
        <f>'Expenditures 15-22'!K47</f>
        <v>221421</v>
      </c>
      <c r="C1119" s="2" t="s">
        <v>569</v>
      </c>
      <c r="D1119" s="2" t="str">
        <f t="shared" si="16"/>
        <v>Error?</v>
      </c>
    </row>
    <row r="1120" spans="1:4" x14ac:dyDescent="0.2">
      <c r="A1120" s="5">
        <v>1059</v>
      </c>
      <c r="B1120" s="1832">
        <f>'Expenditures 15-22'!K49</f>
        <v>216700</v>
      </c>
      <c r="C1120" s="2" t="s">
        <v>569</v>
      </c>
      <c r="D1120" s="2" t="str">
        <f t="shared" si="16"/>
        <v>Error?</v>
      </c>
    </row>
    <row r="1121" spans="1:4" x14ac:dyDescent="0.2">
      <c r="A1121" s="5">
        <v>1060</v>
      </c>
      <c r="B1121" s="1832">
        <f>'Expenditures 15-22'!K50</f>
        <v>285801</v>
      </c>
      <c r="C1121" s="2" t="s">
        <v>569</v>
      </c>
      <c r="D1121" s="2" t="str">
        <f t="shared" si="16"/>
        <v>Error?</v>
      </c>
    </row>
    <row r="1122" spans="1:4" x14ac:dyDescent="0.2">
      <c r="A1122" s="5">
        <v>1061</v>
      </c>
      <c r="B1122" s="1832">
        <f>'Expenditures 15-22'!K53</f>
        <v>502501</v>
      </c>
      <c r="C1122" s="2" t="s">
        <v>569</v>
      </c>
      <c r="D1122" s="2" t="str">
        <f t="shared" si="16"/>
        <v>Error?</v>
      </c>
    </row>
    <row r="1123" spans="1:4" x14ac:dyDescent="0.2">
      <c r="A1123" s="5">
        <v>1062</v>
      </c>
      <c r="B1123" s="1832">
        <f>'Expenditures 15-22'!K55</f>
        <v>700828</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700828</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129192</v>
      </c>
      <c r="C1127" s="2" t="s">
        <v>569</v>
      </c>
      <c r="D1127" s="2" t="str">
        <f t="shared" si="16"/>
        <v>Error?</v>
      </c>
    </row>
    <row r="1128" spans="1:4" x14ac:dyDescent="0.2">
      <c r="A1128" s="5">
        <v>1067</v>
      </c>
      <c r="B1128" s="1832">
        <f>'Expenditures 15-22'!K61</f>
        <v>40315</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613185</v>
      </c>
      <c r="C1130" s="2" t="s">
        <v>569</v>
      </c>
      <c r="D1130" s="2" t="str">
        <f t="shared" si="16"/>
        <v>Error?</v>
      </c>
    </row>
    <row r="1131" spans="1:4" x14ac:dyDescent="0.2">
      <c r="A1131" s="5">
        <v>1070</v>
      </c>
      <c r="B1131" s="1832">
        <f>'Expenditures 15-22'!K64</f>
        <v>1136</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783828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1205</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1205</v>
      </c>
      <c r="C1141" s="2" t="s">
        <v>569</v>
      </c>
      <c r="D1141" s="2" t="str">
        <f t="shared" si="16"/>
        <v>Error?</v>
      </c>
    </row>
    <row r="1142" spans="1:4" x14ac:dyDescent="0.2">
      <c r="A1142" s="5">
        <v>1081</v>
      </c>
      <c r="B1142" s="1832">
        <f>'Expenditures 15-22'!K73</f>
        <v>23255</v>
      </c>
      <c r="C1142" s="2" t="s">
        <v>569</v>
      </c>
      <c r="D1142" s="2" t="str">
        <f t="shared" si="16"/>
        <v>Error?</v>
      </c>
    </row>
    <row r="1143" spans="1:4" x14ac:dyDescent="0.2">
      <c r="A1143" s="5">
        <v>1082</v>
      </c>
      <c r="B1143" s="1832">
        <f>'Expenditures 15-22'!K74</f>
        <v>2644877</v>
      </c>
      <c r="C1143" s="2" t="s">
        <v>569</v>
      </c>
      <c r="D1143" s="2" t="str">
        <f t="shared" si="16"/>
        <v>Error?</v>
      </c>
    </row>
    <row r="1144" spans="1:4" x14ac:dyDescent="0.2">
      <c r="A1144" s="5">
        <v>1083</v>
      </c>
      <c r="B1144" s="1832">
        <f>'Expenditures 15-22'!K75</f>
        <v>177013</v>
      </c>
      <c r="C1144" s="2" t="s">
        <v>569</v>
      </c>
      <c r="D1144" s="2" t="str">
        <f t="shared" si="16"/>
        <v>Error?</v>
      </c>
    </row>
    <row r="1145" spans="1:4" x14ac:dyDescent="0.2">
      <c r="A1145" s="5">
        <v>1084</v>
      </c>
      <c r="B1145" s="1832">
        <f>'Expenditures 15-22'!K102</f>
        <v>1648267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11670568</v>
      </c>
      <c r="C1152" s="2" t="s">
        <v>569</v>
      </c>
      <c r="D1152" s="2" t="str">
        <f t="shared" si="17"/>
        <v>Error?</v>
      </c>
    </row>
    <row r="1153" spans="1:4" x14ac:dyDescent="0.2">
      <c r="A1153" s="5">
        <v>1092</v>
      </c>
      <c r="B1153" s="1832">
        <f>'Expenditures 15-22'!K115</f>
        <v>589116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343447</v>
      </c>
      <c r="D1221" s="2" t="str">
        <f t="shared" si="18"/>
        <v>Error?</v>
      </c>
    </row>
    <row r="1222" spans="1:4" x14ac:dyDescent="0.2">
      <c r="A1222" s="10">
        <v>1161</v>
      </c>
      <c r="B1222" s="1832"/>
      <c r="D1222" s="2" t="str">
        <f t="shared" si="18"/>
        <v>OK</v>
      </c>
    </row>
    <row r="1223" spans="1:4" x14ac:dyDescent="0.2">
      <c r="A1223" s="5">
        <v>1162</v>
      </c>
      <c r="B1223" s="1832">
        <f>'Expenditures 15-22'!C127</f>
        <v>343447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343447</v>
      </c>
      <c r="C1225" s="2" t="s">
        <v>569</v>
      </c>
      <c r="D1225" s="2" t="str">
        <f t="shared" si="18"/>
        <v>Error?</v>
      </c>
    </row>
    <row r="1226" spans="1:4" x14ac:dyDescent="0.2">
      <c r="A1226" s="5">
        <v>1165</v>
      </c>
      <c r="B1226" s="1832">
        <f>'Expenditures 15-22'!C151</f>
        <v>343447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39024</v>
      </c>
      <c r="D1229" s="2" t="str">
        <f t="shared" si="18"/>
        <v>Error?</v>
      </c>
    </row>
    <row r="1230" spans="1:4" x14ac:dyDescent="0.2">
      <c r="A1230" s="10">
        <v>1169</v>
      </c>
      <c r="B1230" s="1832"/>
      <c r="D1230" s="2" t="str">
        <f t="shared" si="18"/>
        <v>OK</v>
      </c>
    </row>
    <row r="1231" spans="1:4" x14ac:dyDescent="0.2">
      <c r="A1231" s="5">
        <v>1170</v>
      </c>
      <c r="B1231" s="1832">
        <f>'Expenditures 15-22'!D127</f>
        <v>39024</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39024</v>
      </c>
      <c r="C1233" s="2" t="s">
        <v>569</v>
      </c>
      <c r="D1233" s="2" t="str">
        <f t="shared" si="18"/>
        <v>Error?</v>
      </c>
    </row>
    <row r="1234" spans="1:4" x14ac:dyDescent="0.2">
      <c r="A1234" s="5">
        <v>1173</v>
      </c>
      <c r="B1234" s="1832">
        <f>'Expenditures 15-22'!D151</f>
        <v>39024</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271715</v>
      </c>
      <c r="D1237" s="2" t="str">
        <f t="shared" si="18"/>
        <v>Error?</v>
      </c>
    </row>
    <row r="1238" spans="1:4" x14ac:dyDescent="0.2">
      <c r="A1238" s="10">
        <v>1177</v>
      </c>
      <c r="B1238" s="1832"/>
      <c r="D1238" s="2" t="str">
        <f t="shared" si="18"/>
        <v>OK</v>
      </c>
    </row>
    <row r="1239" spans="1:4" x14ac:dyDescent="0.2">
      <c r="A1239" s="5">
        <v>1178</v>
      </c>
      <c r="B1239" s="1832">
        <f>'Expenditures 15-22'!E127</f>
        <v>271715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271715</v>
      </c>
      <c r="C1241" s="2" t="s">
        <v>569</v>
      </c>
      <c r="D1241" s="2" t="str">
        <f t="shared" si="18"/>
        <v>Error?</v>
      </c>
    </row>
    <row r="1242" spans="1:4" x14ac:dyDescent="0.2">
      <c r="A1242" s="5">
        <v>1181</v>
      </c>
      <c r="B1242" s="1832">
        <f>'Expenditures 15-22'!E151</f>
        <v>271715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581272</v>
      </c>
      <c r="D1245" s="2" t="str">
        <f t="shared" si="18"/>
        <v>Error?</v>
      </c>
    </row>
    <row r="1246" spans="1:4" x14ac:dyDescent="0.2">
      <c r="A1246" s="10">
        <v>1185</v>
      </c>
      <c r="B1246" s="1832"/>
      <c r="D1246" s="2" t="str">
        <f t="shared" si="18"/>
        <v>OK</v>
      </c>
    </row>
    <row r="1247" spans="1:4" x14ac:dyDescent="0.2">
      <c r="A1247" s="5">
        <v>1186</v>
      </c>
      <c r="B1247" s="1832">
        <f>'Expenditures 15-22'!F127</f>
        <v>581272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581272</v>
      </c>
      <c r="C1249" s="2" t="s">
        <v>569</v>
      </c>
      <c r="D1249" s="2" t="str">
        <f t="shared" si="18"/>
        <v>Error?</v>
      </c>
    </row>
    <row r="1250" spans="1:4" x14ac:dyDescent="0.2">
      <c r="A1250" s="5">
        <v>1189</v>
      </c>
      <c r="B1250" s="1832">
        <f>'Expenditures 15-22'!F151</f>
        <v>581272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46916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46916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46916</v>
      </c>
      <c r="C1258" s="2" t="s">
        <v>569</v>
      </c>
      <c r="D1258" s="2" t="str">
        <f t="shared" si="18"/>
        <v>Error?</v>
      </c>
    </row>
    <row r="1259" spans="1:4" x14ac:dyDescent="0.2">
      <c r="A1259" s="5">
        <v>1198</v>
      </c>
      <c r="B1259" s="1832">
        <f>'Expenditures 15-22'!G151</f>
        <v>46916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1282374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1282374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1282374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1282374</v>
      </c>
      <c r="C1288" s="2" t="s">
        <v>569</v>
      </c>
      <c r="D1288" s="2" t="str">
        <f t="shared" si="19"/>
        <v>Error?</v>
      </c>
    </row>
    <row r="1289" spans="1:4" x14ac:dyDescent="0.2">
      <c r="A1289" s="5">
        <v>1228</v>
      </c>
      <c r="B1289" s="1832">
        <f>'Expenditures 15-22'!K152</f>
        <v>70414</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167492</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1436875</v>
      </c>
      <c r="D1315" s="2" t="str">
        <f t="shared" si="19"/>
        <v>Error?</v>
      </c>
    </row>
    <row r="1316" spans="1:4" x14ac:dyDescent="0.2">
      <c r="A1316" s="5">
        <v>1255</v>
      </c>
      <c r="B1316" s="1832">
        <f>'Expenditures 15-22'!H171</f>
        <v>56500</v>
      </c>
      <c r="D1316" s="2" t="str">
        <f t="shared" si="19"/>
        <v>Error?</v>
      </c>
    </row>
    <row r="1317" spans="1:4" x14ac:dyDescent="0.2">
      <c r="A1317" s="5">
        <v>1256</v>
      </c>
      <c r="B1317" s="1832">
        <f>'Expenditures 15-22'!H172</f>
        <v>1660867</v>
      </c>
      <c r="C1317" s="2" t="s">
        <v>569</v>
      </c>
      <c r="D1317" s="2" t="str">
        <f t="shared" si="19"/>
        <v>Error?</v>
      </c>
    </row>
    <row r="1318" spans="1:4" x14ac:dyDescent="0.2">
      <c r="A1318" s="5">
        <v>1257</v>
      </c>
      <c r="B1318" s="1832">
        <f>'Expenditures 15-22'!H174</f>
        <v>1660867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167492</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1436875</v>
      </c>
      <c r="C1329" s="2" t="s">
        <v>569</v>
      </c>
      <c r="D1329" s="2" t="str">
        <f t="shared" si="19"/>
        <v>Error?</v>
      </c>
    </row>
    <row r="1330" spans="1:4" x14ac:dyDescent="0.2">
      <c r="A1330" s="5">
        <v>1269</v>
      </c>
      <c r="B1330" s="1832">
        <f>'Expenditures 15-22'!K171</f>
        <v>56500</v>
      </c>
      <c r="C1330" s="2" t="s">
        <v>569</v>
      </c>
      <c r="D1330" s="2" t="str">
        <f t="shared" si="19"/>
        <v>Error?</v>
      </c>
    </row>
    <row r="1331" spans="1:4" x14ac:dyDescent="0.2">
      <c r="A1331" s="5">
        <v>1270</v>
      </c>
      <c r="B1331" s="1832">
        <f>'Expenditures 15-22'!K172</f>
        <v>1660867</v>
      </c>
      <c r="C1331" s="2" t="s">
        <v>569</v>
      </c>
      <c r="D1331" s="2" t="str">
        <f t="shared" si="19"/>
        <v>Error?</v>
      </c>
    </row>
    <row r="1332" spans="1:4" x14ac:dyDescent="0.2">
      <c r="A1332" s="5">
        <v>1271</v>
      </c>
      <c r="B1332" s="1832">
        <f>'Expenditures 15-22'!K174</f>
        <v>1660867</v>
      </c>
      <c r="C1332" s="2" t="s">
        <v>569</v>
      </c>
      <c r="D1332" s="2" t="str">
        <f t="shared" si="19"/>
        <v>Error?</v>
      </c>
    </row>
    <row r="1333" spans="1:4" x14ac:dyDescent="0.2">
      <c r="A1333" s="5">
        <v>1272</v>
      </c>
      <c r="B1333" s="1832">
        <f>'Expenditures 15-22'!K175</f>
        <v>-606751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449078</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449078</v>
      </c>
      <c r="C1339" s="2" t="s">
        <v>569</v>
      </c>
      <c r="D1339" s="2" t="str">
        <f t="shared" si="19"/>
        <v>Error?</v>
      </c>
    </row>
    <row r="1340" spans="1:4" x14ac:dyDescent="0.2">
      <c r="A1340" s="5">
        <v>1279</v>
      </c>
      <c r="B1340" s="1832">
        <f>'Expenditures 15-22'!C210</f>
        <v>449078</v>
      </c>
      <c r="C1340" s="2" t="s">
        <v>569</v>
      </c>
      <c r="D1340" s="2" t="str">
        <f t="shared" si="19"/>
        <v>Error?</v>
      </c>
    </row>
    <row r="1341" spans="1:4" x14ac:dyDescent="0.2">
      <c r="A1341" s="5">
        <v>1280</v>
      </c>
      <c r="B1341" s="1832">
        <f>'Expenditures 15-22'!D182</f>
        <v>28919</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28919</v>
      </c>
      <c r="C1345" s="2" t="s">
        <v>569</v>
      </c>
      <c r="D1345" s="2" t="str">
        <f t="shared" si="20"/>
        <v>Error?</v>
      </c>
    </row>
    <row r="1346" spans="1:4" x14ac:dyDescent="0.2">
      <c r="A1346" s="5">
        <v>1285</v>
      </c>
      <c r="B1346" s="1832">
        <f>'Expenditures 15-22'!D210</f>
        <v>28919</v>
      </c>
      <c r="C1346" s="2" t="s">
        <v>569</v>
      </c>
      <c r="D1346" s="2" t="str">
        <f t="shared" si="20"/>
        <v>Error?</v>
      </c>
    </row>
    <row r="1347" spans="1:4" x14ac:dyDescent="0.2">
      <c r="A1347" s="5">
        <v>1286</v>
      </c>
      <c r="B1347" s="1832">
        <f>'Expenditures 15-22'!E182</f>
        <v>230186</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230186</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230186</v>
      </c>
      <c r="C1353" s="2" t="s">
        <v>569</v>
      </c>
      <c r="D1353" s="2" t="str">
        <f t="shared" si="20"/>
        <v>Error?</v>
      </c>
    </row>
    <row r="1354" spans="1:4" x14ac:dyDescent="0.2">
      <c r="A1354" s="5">
        <v>1293</v>
      </c>
      <c r="B1354" s="1832">
        <f>'Expenditures 15-22'!F182</f>
        <v>68884</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68884</v>
      </c>
      <c r="C1358" s="2" t="s">
        <v>569</v>
      </c>
      <c r="D1358" s="2" t="str">
        <f t="shared" si="20"/>
        <v>Error?</v>
      </c>
    </row>
    <row r="1359" spans="1:4" x14ac:dyDescent="0.2">
      <c r="A1359" s="5">
        <v>1298</v>
      </c>
      <c r="B1359" s="1832">
        <f>'Expenditures 15-22'!F210</f>
        <v>68884</v>
      </c>
      <c r="C1359" s="2" t="s">
        <v>569</v>
      </c>
      <c r="D1359" s="2" t="str">
        <f t="shared" si="20"/>
        <v>Error?</v>
      </c>
    </row>
    <row r="1360" spans="1:4" x14ac:dyDescent="0.2">
      <c r="A1360" s="5">
        <v>1299</v>
      </c>
      <c r="B1360" s="1832">
        <f>'Expenditures 15-22'!G182</f>
        <v>2713</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2713</v>
      </c>
      <c r="C1364" s="2" t="s">
        <v>569</v>
      </c>
      <c r="D1364" s="2" t="str">
        <f t="shared" si="20"/>
        <v>Error?</v>
      </c>
    </row>
    <row r="1365" spans="1:4" x14ac:dyDescent="0.2">
      <c r="A1365" s="5">
        <v>1304</v>
      </c>
      <c r="B1365" s="1832">
        <f>'Expenditures 15-22'!G210</f>
        <v>2713</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779780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779780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779780</v>
      </c>
      <c r="C1388" s="2" t="s">
        <v>569</v>
      </c>
      <c r="D1388" s="2" t="str">
        <f t="shared" si="20"/>
        <v>Error?</v>
      </c>
    </row>
    <row r="1389" spans="1:4" x14ac:dyDescent="0.2">
      <c r="A1389" s="5">
        <v>1328</v>
      </c>
      <c r="B1389" s="1832">
        <f>'Expenditures 15-22'!K211</f>
        <v>136091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646</v>
      </c>
      <c r="D1407" s="2" t="str">
        <f t="shared" ref="D1407:D1470" si="21">IF(ISBLANK(B1407),"OK",IF(A1407-B1407=0,"OK","Error?"))</f>
        <v>Error?</v>
      </c>
    </row>
    <row r="1408" spans="1:4" x14ac:dyDescent="0.2">
      <c r="A1408" s="5">
        <v>1347</v>
      </c>
      <c r="B1408" s="1832">
        <f>'Expenditures 15-22'!D223</f>
        <v>10707</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174983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4075</v>
      </c>
      <c r="D1412" s="2" t="str">
        <f t="shared" si="21"/>
        <v>Error?</v>
      </c>
    </row>
    <row r="1413" spans="1:4" x14ac:dyDescent="0.2">
      <c r="A1413" s="5">
        <v>1352</v>
      </c>
      <c r="B1413" s="1832">
        <f>'Expenditures 15-22'!D234</f>
        <v>12008</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16083</v>
      </c>
      <c r="C1417" s="2" t="s">
        <v>569</v>
      </c>
      <c r="D1417" s="2" t="str">
        <f t="shared" si="21"/>
        <v>Error?</v>
      </c>
    </row>
    <row r="1418" spans="1:4" x14ac:dyDescent="0.2">
      <c r="A1418" s="5">
        <v>1357</v>
      </c>
      <c r="B1418" s="1832">
        <f>'Expenditures 15-22'!D240</f>
        <v>481</v>
      </c>
      <c r="D1418" s="2" t="str">
        <f t="shared" si="21"/>
        <v>Error?</v>
      </c>
    </row>
    <row r="1419" spans="1:4" x14ac:dyDescent="0.2">
      <c r="A1419" s="5">
        <v>1358</v>
      </c>
      <c r="B1419" s="1832">
        <f>'Expenditures 15-22'!D241</f>
        <v>970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1451</v>
      </c>
      <c r="C1421" s="2" t="s">
        <v>569</v>
      </c>
      <c r="D1421" s="2" t="str">
        <f t="shared" si="21"/>
        <v>Error?</v>
      </c>
    </row>
    <row r="1422" spans="1:4" x14ac:dyDescent="0.2">
      <c r="A1422" s="5">
        <v>1361</v>
      </c>
      <c r="B1422" s="1832">
        <f>'Expenditures 15-22'!D245</f>
        <v>1394</v>
      </c>
      <c r="D1422" s="2" t="str">
        <f t="shared" si="21"/>
        <v>Error?</v>
      </c>
    </row>
    <row r="1423" spans="1:4" x14ac:dyDescent="0.2">
      <c r="A1423" s="5">
        <v>1362</v>
      </c>
      <c r="B1423" s="1832">
        <f>'Expenditures 15-22'!D246</f>
        <v>13829</v>
      </c>
      <c r="D1423" s="2" t="str">
        <f t="shared" si="21"/>
        <v>Error?</v>
      </c>
    </row>
    <row r="1424" spans="1:4" x14ac:dyDescent="0.2">
      <c r="A1424" s="5">
        <v>1363</v>
      </c>
      <c r="B1424" s="1832">
        <f>'Expenditures 15-22'!D257</f>
        <v>15223</v>
      </c>
      <c r="C1424" s="2" t="s">
        <v>569</v>
      </c>
      <c r="D1424" s="2" t="str">
        <f t="shared" si="21"/>
        <v>Error?</v>
      </c>
    </row>
    <row r="1425" spans="1:4" x14ac:dyDescent="0.2">
      <c r="A1425" s="5">
        <v>1364</v>
      </c>
      <c r="B1425" s="1832">
        <f>'Expenditures 15-22'!D259</f>
        <v>31525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31525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6320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63853</v>
      </c>
      <c r="D1431" s="2" t="str">
        <f t="shared" si="21"/>
        <v>Error?</v>
      </c>
    </row>
    <row r="1432" spans="1:4" x14ac:dyDescent="0.2">
      <c r="A1432" s="5">
        <v>1371</v>
      </c>
      <c r="B1432" s="1832">
        <f>'Expenditures 15-22'!D267</f>
        <v>73100</v>
      </c>
      <c r="D1432" s="2" t="str">
        <f t="shared" si="21"/>
        <v>Error?</v>
      </c>
    </row>
    <row r="1433" spans="1:4" x14ac:dyDescent="0.2">
      <c r="A1433" s="5">
        <v>1372</v>
      </c>
      <c r="B1433" s="1832">
        <f>'Expenditures 15-22'!D268</f>
        <v>7191</v>
      </c>
      <c r="D1433" s="2" t="str">
        <f t="shared" si="21"/>
        <v>Error?</v>
      </c>
    </row>
    <row r="1434" spans="1:4" x14ac:dyDescent="0.2">
      <c r="A1434" s="5">
        <v>1373</v>
      </c>
      <c r="B1434" s="1832">
        <f>'Expenditures 15-22'!D269</f>
        <v>196</v>
      </c>
      <c r="D1434" s="2" t="str">
        <f t="shared" si="21"/>
        <v>Error?</v>
      </c>
    </row>
    <row r="1435" spans="1:4" x14ac:dyDescent="0.2">
      <c r="A1435" s="10">
        <v>1374</v>
      </c>
      <c r="B1435" s="1832"/>
      <c r="D1435" s="2" t="str">
        <f t="shared" si="21"/>
        <v>OK</v>
      </c>
    </row>
    <row r="1436" spans="1:4" x14ac:dyDescent="0.2">
      <c r="A1436" s="5">
        <v>1375</v>
      </c>
      <c r="B1436" s="1832">
        <f>'Expenditures 15-22'!D270</f>
        <v>150660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3181</v>
      </c>
      <c r="D1445" s="2" t="str">
        <f t="shared" si="21"/>
        <v>Error?</v>
      </c>
    </row>
    <row r="1446" spans="1:4" x14ac:dyDescent="0.2">
      <c r="A1446" s="5">
        <v>1385</v>
      </c>
      <c r="B1446" s="1832">
        <f>'Expenditures 15-22'!D279</f>
        <v>218123</v>
      </c>
      <c r="C1446" s="2" t="s">
        <v>569</v>
      </c>
      <c r="D1446" s="2" t="str">
        <f t="shared" si="21"/>
        <v>Error?</v>
      </c>
    </row>
    <row r="1447" spans="1:4" x14ac:dyDescent="0.2">
      <c r="A1447" s="5">
        <v>1386</v>
      </c>
      <c r="B1447" s="1832">
        <f>'Expenditures 15-22'!D280</f>
        <v>11717</v>
      </c>
      <c r="D1447" s="2" t="str">
        <f t="shared" si="21"/>
        <v>Error?</v>
      </c>
    </row>
    <row r="1448" spans="1:4" x14ac:dyDescent="0.2">
      <c r="A1448" s="5">
        <v>1387</v>
      </c>
      <c r="B1448" s="1832">
        <f>'Expenditures 15-22'!D295</f>
        <v>404823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646</v>
      </c>
      <c r="C1471" s="2" t="s">
        <v>569</v>
      </c>
      <c r="D1471" s="2" t="str">
        <f t="shared" ref="D1471:D1534" si="22">IF(ISBLANK(B1471),"OK",IF(A1471-B1471=0,"OK","Error?"))</f>
        <v>Error?</v>
      </c>
    </row>
    <row r="1472" spans="1:4" x14ac:dyDescent="0.2">
      <c r="A1472" s="5">
        <v>1411</v>
      </c>
      <c r="B1472" s="1832">
        <f>'Expenditures 15-22'!K223</f>
        <v>10707</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174983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4075</v>
      </c>
      <c r="C1476" s="2" t="s">
        <v>569</v>
      </c>
      <c r="D1476" s="2" t="str">
        <f t="shared" si="22"/>
        <v>Error?</v>
      </c>
    </row>
    <row r="1477" spans="1:4" x14ac:dyDescent="0.2">
      <c r="A1477" s="5">
        <v>1416</v>
      </c>
      <c r="B1477" s="1832">
        <f>'Expenditures 15-22'!K234</f>
        <v>12008</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16083</v>
      </c>
      <c r="C1481" s="2" t="s">
        <v>569</v>
      </c>
      <c r="D1481" s="2" t="str">
        <f t="shared" si="22"/>
        <v>Error?</v>
      </c>
    </row>
    <row r="1482" spans="1:4" x14ac:dyDescent="0.2">
      <c r="A1482" s="5">
        <v>1421</v>
      </c>
      <c r="B1482" s="1832">
        <f>'Expenditures 15-22'!K240</f>
        <v>481</v>
      </c>
      <c r="C1482" s="2" t="s">
        <v>569</v>
      </c>
      <c r="D1482" s="2" t="str">
        <f t="shared" si="22"/>
        <v>Error?</v>
      </c>
    </row>
    <row r="1483" spans="1:4" x14ac:dyDescent="0.2">
      <c r="A1483" s="5">
        <v>1422</v>
      </c>
      <c r="B1483" s="1832">
        <f>'Expenditures 15-22'!K241</f>
        <v>970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1451</v>
      </c>
      <c r="C1485" s="2" t="s">
        <v>569</v>
      </c>
      <c r="D1485" s="2" t="str">
        <f t="shared" si="22"/>
        <v>Error?</v>
      </c>
    </row>
    <row r="1486" spans="1:4" x14ac:dyDescent="0.2">
      <c r="A1486" s="5">
        <v>1425</v>
      </c>
      <c r="B1486" s="1832">
        <f>'Expenditures 15-22'!K245</f>
        <v>1394</v>
      </c>
      <c r="C1486" s="2" t="s">
        <v>569</v>
      </c>
      <c r="D1486" s="2" t="str">
        <f t="shared" si="22"/>
        <v>Error?</v>
      </c>
    </row>
    <row r="1487" spans="1:4" x14ac:dyDescent="0.2">
      <c r="A1487" s="5">
        <v>1426</v>
      </c>
      <c r="B1487" s="1832">
        <f>'Expenditures 15-22'!K246</f>
        <v>13829</v>
      </c>
      <c r="C1487" s="2" t="s">
        <v>569</v>
      </c>
      <c r="D1487" s="2" t="str">
        <f t="shared" si="22"/>
        <v>Error?</v>
      </c>
    </row>
    <row r="1488" spans="1:4" x14ac:dyDescent="0.2">
      <c r="A1488" s="5">
        <v>1427</v>
      </c>
      <c r="B1488" s="1832">
        <f>'Expenditures 15-22'!K257</f>
        <v>15223</v>
      </c>
      <c r="C1488" s="2" t="s">
        <v>569</v>
      </c>
      <c r="D1488" s="2" t="str">
        <f t="shared" si="22"/>
        <v>Error?</v>
      </c>
    </row>
    <row r="1489" spans="1:4" x14ac:dyDescent="0.2">
      <c r="A1489" s="5">
        <v>1428</v>
      </c>
      <c r="B1489" s="1832">
        <f>'Expenditures 15-22'!K259</f>
        <v>31525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31525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6320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63853</v>
      </c>
      <c r="C1495" s="2" t="s">
        <v>569</v>
      </c>
      <c r="D1495" s="2" t="str">
        <f t="shared" si="22"/>
        <v>Error?</v>
      </c>
    </row>
    <row r="1496" spans="1:4" x14ac:dyDescent="0.2">
      <c r="A1496" s="5">
        <v>1435</v>
      </c>
      <c r="B1496" s="1832">
        <f>'Expenditures 15-22'!K267</f>
        <v>73100</v>
      </c>
      <c r="C1496" s="2" t="s">
        <v>569</v>
      </c>
      <c r="D1496" s="2" t="str">
        <f t="shared" si="22"/>
        <v>Error?</v>
      </c>
    </row>
    <row r="1497" spans="1:4" x14ac:dyDescent="0.2">
      <c r="A1497" s="5">
        <v>1436</v>
      </c>
      <c r="B1497" s="1832">
        <f>'Expenditures 15-22'!K268</f>
        <v>7191</v>
      </c>
      <c r="C1497" s="2" t="s">
        <v>569</v>
      </c>
      <c r="D1497" s="2" t="str">
        <f t="shared" si="22"/>
        <v>Error?</v>
      </c>
    </row>
    <row r="1498" spans="1:4" x14ac:dyDescent="0.2">
      <c r="A1498" s="5">
        <v>1437</v>
      </c>
      <c r="B1498" s="1832">
        <f>'Expenditures 15-22'!K269</f>
        <v>196</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150660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3181</v>
      </c>
      <c r="C1509" s="2" t="s">
        <v>569</v>
      </c>
      <c r="D1509" s="2" t="str">
        <f t="shared" si="22"/>
        <v>Error?</v>
      </c>
    </row>
    <row r="1510" spans="1:4" x14ac:dyDescent="0.2">
      <c r="A1510" s="5">
        <v>1449</v>
      </c>
      <c r="B1510" s="1832">
        <f>'Expenditures 15-22'!K279</f>
        <v>218123</v>
      </c>
      <c r="C1510" s="2" t="s">
        <v>569</v>
      </c>
      <c r="D1510" s="2" t="str">
        <f t="shared" si="22"/>
        <v>Error?</v>
      </c>
    </row>
    <row r="1511" spans="1:4" x14ac:dyDescent="0.2">
      <c r="A1511" s="5">
        <v>1450</v>
      </c>
      <c r="B1511" s="1832">
        <f>'Expenditures 15-22'!K280</f>
        <v>11717</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404823</v>
      </c>
      <c r="C1517" s="2" t="s">
        <v>569</v>
      </c>
      <c r="D1517" s="2" t="str">
        <f t="shared" si="22"/>
        <v>Error?</v>
      </c>
    </row>
    <row r="1518" spans="1:4" x14ac:dyDescent="0.2">
      <c r="A1518" s="5">
        <v>1457</v>
      </c>
      <c r="B1518" s="1832">
        <f>'Expenditures 15-22'!K296</f>
        <v>-5765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4800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4800</v>
      </c>
      <c r="C1535" s="2" t="s">
        <v>569</v>
      </c>
      <c r="D1535" s="2" t="str">
        <f t="shared" ref="D1535:D1598" si="23">IF(ISBLANK(B1535),"OK",IF(A1535-B1535=0,"OK","Error?"))</f>
        <v>Error?</v>
      </c>
    </row>
    <row r="1536" spans="1:4" x14ac:dyDescent="0.2">
      <c r="A1536" s="5">
        <v>1475</v>
      </c>
      <c r="B1536" s="1832">
        <f>'Expenditures 15-22'!E312</f>
        <v>4800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2924771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2924771</v>
      </c>
      <c r="C1547" s="2" t="s">
        <v>569</v>
      </c>
      <c r="D1547" s="2" t="str">
        <f t="shared" si="23"/>
        <v>Error?</v>
      </c>
    </row>
    <row r="1548" spans="1:4" x14ac:dyDescent="0.2">
      <c r="A1548" s="5">
        <v>1487</v>
      </c>
      <c r="B1548" s="1832">
        <f>'Expenditures 15-22'!G312</f>
        <v>2924771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56200</v>
      </c>
      <c r="D1552" s="2" t="str">
        <f t="shared" si="23"/>
        <v>Error?</v>
      </c>
    </row>
    <row r="1553" spans="1:4" x14ac:dyDescent="0.2">
      <c r="A1553" s="5">
        <v>1492</v>
      </c>
      <c r="B1553" s="1832">
        <f>'Expenditures 15-22'!H303</f>
        <v>56200</v>
      </c>
      <c r="C1553" s="2" t="s">
        <v>569</v>
      </c>
      <c r="D1553" s="2" t="str">
        <f t="shared" si="23"/>
        <v>Error?</v>
      </c>
    </row>
    <row r="1554" spans="1:4" x14ac:dyDescent="0.2">
      <c r="A1554" s="5">
        <v>1493</v>
      </c>
      <c r="B1554" s="1832">
        <f>'Expenditures 15-22'!H312</f>
        <v>56200</v>
      </c>
      <c r="C1554" s="2" t="s">
        <v>569</v>
      </c>
      <c r="D1554" s="2" t="str">
        <f t="shared" si="23"/>
        <v>Error?</v>
      </c>
    </row>
    <row r="1555" spans="1:4" x14ac:dyDescent="0.2">
      <c r="A1555" s="5">
        <v>1494</v>
      </c>
      <c r="B1555" s="1832">
        <f>'Expenditures 15-22'!K301</f>
        <v>2929571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56200</v>
      </c>
      <c r="C1558" s="2" t="s">
        <v>569</v>
      </c>
      <c r="D1558" s="2" t="str">
        <f t="shared" si="23"/>
        <v>Error?</v>
      </c>
    </row>
    <row r="1559" spans="1:4" x14ac:dyDescent="0.2">
      <c r="A1559" s="5">
        <v>1498</v>
      </c>
      <c r="B1559" s="1832">
        <f>'Expenditures 15-22'!K303</f>
        <v>2985771</v>
      </c>
      <c r="C1559" s="2" t="s">
        <v>569</v>
      </c>
      <c r="D1559" s="2" t="str">
        <f t="shared" si="23"/>
        <v>Error?</v>
      </c>
    </row>
    <row r="1560" spans="1:4" x14ac:dyDescent="0.2">
      <c r="A1560" s="5">
        <v>1499</v>
      </c>
      <c r="B1560" s="1832">
        <f>'Expenditures 15-22'!K312</f>
        <v>2985771</v>
      </c>
      <c r="C1560" s="2" t="s">
        <v>569</v>
      </c>
      <c r="D1560" s="2" t="str">
        <f t="shared" si="23"/>
        <v>Error?</v>
      </c>
    </row>
    <row r="1561" spans="1:4" x14ac:dyDescent="0.2">
      <c r="A1561" s="5">
        <v>1500</v>
      </c>
      <c r="B1561" s="1832">
        <f>'Expenditures 15-22'!K313</f>
        <v>-2163519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8828638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9417754</v>
      </c>
      <c r="C1630" s="2" t="s">
        <v>569</v>
      </c>
      <c r="D1630" s="2" t="str">
        <f t="shared" si="24"/>
        <v>Error?</v>
      </c>
    </row>
    <row r="1631" spans="1:4" x14ac:dyDescent="0.2">
      <c r="A1631" s="5">
        <v>1570</v>
      </c>
      <c r="B1631" s="1832">
        <f>'Acct Summary 7-8'!D79</f>
        <v>1237725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1308139</v>
      </c>
      <c r="C1644" s="2" t="s">
        <v>569</v>
      </c>
      <c r="D1644" s="2" t="str">
        <f t="shared" si="24"/>
        <v>Error?</v>
      </c>
    </row>
    <row r="1645" spans="1:4" x14ac:dyDescent="0.2">
      <c r="A1645" s="5">
        <v>1584</v>
      </c>
      <c r="B1645" s="1832">
        <f>'Acct Summary 7-8'!E79</f>
        <v>761864</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714681</v>
      </c>
      <c r="C1658" s="2" t="s">
        <v>569</v>
      </c>
      <c r="D1658" s="2" t="str">
        <f t="shared" si="24"/>
        <v>Error?</v>
      </c>
    </row>
    <row r="1659" spans="1:4" x14ac:dyDescent="0.2">
      <c r="A1659" s="5">
        <v>1598</v>
      </c>
      <c r="B1659" s="1832">
        <f>'Acct Summary 7-8'!F79</f>
        <v>959639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1095730</v>
      </c>
      <c r="C1672" s="2" t="s">
        <v>569</v>
      </c>
      <c r="D1672" s="2" t="str">
        <f t="shared" si="25"/>
        <v>Error?</v>
      </c>
    </row>
    <row r="1673" spans="1:4" x14ac:dyDescent="0.2">
      <c r="A1673" s="5">
        <v>1612</v>
      </c>
      <c r="B1673" s="1832">
        <f>'Acct Summary 7-8'!G79</f>
        <v>390923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385158</v>
      </c>
      <c r="C1686" s="2" t="s">
        <v>569</v>
      </c>
      <c r="D1686" s="2" t="str">
        <f t="shared" si="25"/>
        <v>Error?</v>
      </c>
    </row>
    <row r="1687" spans="1:4" x14ac:dyDescent="0.2">
      <c r="A1687" s="5">
        <v>1626</v>
      </c>
      <c r="B1687" s="1832">
        <f>'Acct Summary 7-8'!H79</f>
        <v>9046</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7361727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3044910</v>
      </c>
      <c r="C1744" s="2" t="s">
        <v>569</v>
      </c>
      <c r="D1744" s="2" t="str">
        <f t="shared" si="26"/>
        <v>Error?</v>
      </c>
    </row>
    <row r="1745" spans="1:5" x14ac:dyDescent="0.2">
      <c r="A1745" s="5">
        <v>1684</v>
      </c>
      <c r="B1745" s="1832">
        <f>'Tax Sched 23'!B5</f>
        <v>656450</v>
      </c>
      <c r="C1745" s="2" t="s">
        <v>569</v>
      </c>
      <c r="D1745" s="2" t="str">
        <f t="shared" si="26"/>
        <v>Error?</v>
      </c>
    </row>
    <row r="1746" spans="1:5" x14ac:dyDescent="0.2">
      <c r="A1746" s="5">
        <v>1685</v>
      </c>
      <c r="B1746" s="1832">
        <f>'Tax Sched 23'!B6</f>
        <v>902140</v>
      </c>
      <c r="C1746" s="2" t="s">
        <v>569</v>
      </c>
      <c r="D1746" s="2" t="str">
        <f t="shared" si="26"/>
        <v>Error?</v>
      </c>
    </row>
    <row r="1747" spans="1:5" x14ac:dyDescent="0.2">
      <c r="A1747" s="5">
        <v>1686</v>
      </c>
      <c r="B1747" s="1832">
        <f>'Tax Sched 23'!B7</f>
        <v>333783</v>
      </c>
      <c r="C1747" s="2" t="s">
        <v>569</v>
      </c>
      <c r="D1747" s="2" t="str">
        <f t="shared" si="26"/>
        <v>Error?</v>
      </c>
    </row>
    <row r="1748" spans="1:5" x14ac:dyDescent="0.2">
      <c r="A1748" s="5">
        <v>1687</v>
      </c>
      <c r="B1748" s="1832">
        <f>'Tax Sched 23'!B8</f>
        <v>176579</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71384</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5407395</v>
      </c>
      <c r="C1759" s="2" t="s">
        <v>569</v>
      </c>
      <c r="D1759" s="2" t="str">
        <f t="shared" si="26"/>
        <v>Error?</v>
      </c>
    </row>
    <row r="1760" spans="1:5" x14ac:dyDescent="0.2">
      <c r="A1760" s="5">
        <v>1699</v>
      </c>
      <c r="B1760" s="1832">
        <f>'Tax Sched 23'!D4</f>
        <v>1527848</v>
      </c>
      <c r="C1760" s="2" t="s">
        <v>569</v>
      </c>
      <c r="D1760" s="2" t="str">
        <f t="shared" si="26"/>
        <v>Error?</v>
      </c>
    </row>
    <row r="1761" spans="1:7" x14ac:dyDescent="0.2">
      <c r="A1761" s="5">
        <v>1700</v>
      </c>
      <c r="B1761" s="1832">
        <f>'Tax Sched 23'!D5</f>
        <v>305644</v>
      </c>
      <c r="C1761" s="2" t="s">
        <v>569</v>
      </c>
      <c r="D1761" s="2" t="str">
        <f t="shared" si="26"/>
        <v>Error?</v>
      </c>
    </row>
    <row r="1762" spans="1:7" s="8" customFormat="1" x14ac:dyDescent="0.2">
      <c r="A1762" s="5">
        <v>1701</v>
      </c>
      <c r="B1762" s="1832">
        <f>'Tax Sched 23'!D6</f>
        <v>457571</v>
      </c>
      <c r="C1762" s="2" t="s">
        <v>569</v>
      </c>
      <c r="D1762" s="2" t="str">
        <f t="shared" si="26"/>
        <v>Error?</v>
      </c>
      <c r="E1762" s="9"/>
      <c r="G1762"/>
    </row>
    <row r="1763" spans="1:7" x14ac:dyDescent="0.2">
      <c r="A1763" s="5">
        <v>1702</v>
      </c>
      <c r="B1763" s="1832">
        <f>'Tax Sched 23'!D7</f>
        <v>131008</v>
      </c>
      <c r="C1763" s="2" t="s">
        <v>569</v>
      </c>
      <c r="D1763" s="2" t="str">
        <f t="shared" si="26"/>
        <v>Error?</v>
      </c>
    </row>
    <row r="1764" spans="1:7" x14ac:dyDescent="0.2">
      <c r="A1764" s="5">
        <v>1703</v>
      </c>
      <c r="B1764" s="1832">
        <f>'Tax Sched 23'!D8</f>
        <v>131008</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34927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2719014</v>
      </c>
      <c r="C1775" s="2" t="s">
        <v>569</v>
      </c>
      <c r="D1775" s="2" t="str">
        <f t="shared" si="26"/>
        <v>Error?</v>
      </c>
    </row>
    <row r="1776" spans="1:7" x14ac:dyDescent="0.2">
      <c r="A1776" s="5">
        <v>1715</v>
      </c>
      <c r="B1776" s="1832">
        <f>'Tax Sched 23'!C4</f>
        <v>1517062</v>
      </c>
      <c r="D1776" s="2" t="str">
        <f t="shared" si="26"/>
        <v>Error?</v>
      </c>
    </row>
    <row r="1777" spans="1:4" x14ac:dyDescent="0.2">
      <c r="A1777" s="5">
        <v>1716</v>
      </c>
      <c r="B1777" s="1832">
        <f>'Tax Sched 23'!C5</f>
        <v>350806</v>
      </c>
      <c r="D1777" s="2" t="str">
        <f t="shared" si="26"/>
        <v>Error?</v>
      </c>
    </row>
    <row r="1778" spans="1:4" x14ac:dyDescent="0.2">
      <c r="A1778" s="5">
        <v>1717</v>
      </c>
      <c r="B1778" s="1832">
        <f>'Tax Sched 23'!C6</f>
        <v>444569</v>
      </c>
      <c r="D1778" s="2" t="str">
        <f t="shared" si="26"/>
        <v>Error?</v>
      </c>
    </row>
    <row r="1779" spans="1:4" x14ac:dyDescent="0.2">
      <c r="A1779" s="5">
        <v>1718</v>
      </c>
      <c r="B1779" s="1832">
        <f>'Tax Sched 23'!C7</f>
        <v>202775</v>
      </c>
      <c r="D1779" s="2" t="str">
        <f t="shared" si="26"/>
        <v>Error?</v>
      </c>
    </row>
    <row r="1780" spans="1:4" x14ac:dyDescent="0.2">
      <c r="A1780" s="5">
        <v>1719</v>
      </c>
      <c r="B1780" s="1832">
        <f>'Tax Sched 23'!C8</f>
        <v>45571</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36457</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2688381</v>
      </c>
      <c r="C1791" s="2" t="s">
        <v>569</v>
      </c>
      <c r="D1791" s="2" t="str">
        <f t="shared" ref="D1791:D1854" si="27">IF(ISBLANK(B1791),"OK",IF(A1791-B1791=0,"OK","Error?"))</f>
        <v>Error?</v>
      </c>
    </row>
    <row r="1792" spans="1:4" x14ac:dyDescent="0.2">
      <c r="A1792" s="5">
        <v>1731</v>
      </c>
      <c r="B1792" s="1832">
        <f>'Tax Sched 23'!F4</f>
        <v>1732127</v>
      </c>
      <c r="C1792" s="2" t="s">
        <v>569</v>
      </c>
      <c r="D1792" s="2" t="str">
        <f t="shared" si="27"/>
        <v>Error?</v>
      </c>
    </row>
    <row r="1793" spans="1:4" x14ac:dyDescent="0.2">
      <c r="A1793" s="5">
        <v>1732</v>
      </c>
      <c r="B1793" s="1832">
        <f>'Tax Sched 23'!F5</f>
        <v>400538</v>
      </c>
      <c r="C1793" s="2" t="s">
        <v>569</v>
      </c>
      <c r="D1793" s="2" t="str">
        <f t="shared" si="27"/>
        <v>Error?</v>
      </c>
    </row>
    <row r="1794" spans="1:4" x14ac:dyDescent="0.2">
      <c r="A1794" s="5">
        <v>1733</v>
      </c>
      <c r="B1794" s="1832">
        <f>'Tax Sched 23'!F6</f>
        <v>507593</v>
      </c>
      <c r="C1794" s="2" t="s">
        <v>569</v>
      </c>
      <c r="D1794" s="2" t="str">
        <f t="shared" si="27"/>
        <v>Error?</v>
      </c>
    </row>
    <row r="1795" spans="1:4" x14ac:dyDescent="0.2">
      <c r="A1795" s="5">
        <v>1734</v>
      </c>
      <c r="B1795" s="1832">
        <f>'Tax Sched 23'!F7</f>
        <v>231522</v>
      </c>
      <c r="C1795" s="2" t="s">
        <v>569</v>
      </c>
      <c r="D1795" s="2" t="str">
        <f t="shared" si="27"/>
        <v>Error?</v>
      </c>
    </row>
    <row r="1796" spans="1:4" x14ac:dyDescent="0.2">
      <c r="A1796" s="5">
        <v>1735</v>
      </c>
      <c r="B1796" s="1832">
        <f>'Tax Sched 23'!F8</f>
        <v>52031</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41625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3069499</v>
      </c>
      <c r="C1807" s="2" t="s">
        <v>569</v>
      </c>
      <c r="D1807" s="2" t="str">
        <f t="shared" si="27"/>
        <v>Error?</v>
      </c>
    </row>
    <row r="1808" spans="1:4" x14ac:dyDescent="0.2">
      <c r="A1808" s="5">
        <v>1747</v>
      </c>
      <c r="B1808" s="1832">
        <f>'Tax Sched 23'!E4</f>
        <v>3249189</v>
      </c>
      <c r="D1808" s="2" t="str">
        <f t="shared" si="27"/>
        <v>Error?</v>
      </c>
    </row>
    <row r="1809" spans="1:4" x14ac:dyDescent="0.2">
      <c r="A1809" s="5">
        <v>1748</v>
      </c>
      <c r="B1809" s="1832">
        <f>'Tax Sched 23'!E5</f>
        <v>751344</v>
      </c>
      <c r="D1809" s="2" t="str">
        <f t="shared" si="27"/>
        <v>Error?</v>
      </c>
    </row>
    <row r="1810" spans="1:4" x14ac:dyDescent="0.2">
      <c r="A1810" s="5">
        <v>1749</v>
      </c>
      <c r="B1810" s="1832">
        <f>'Tax Sched 23'!E6</f>
        <v>952162</v>
      </c>
      <c r="D1810" s="2" t="str">
        <f t="shared" si="27"/>
        <v>Error?</v>
      </c>
    </row>
    <row r="1811" spans="1:4" x14ac:dyDescent="0.2">
      <c r="A1811" s="5">
        <v>1750</v>
      </c>
      <c r="B1811" s="1832">
        <f>'Tax Sched 23'!E7</f>
        <v>434297</v>
      </c>
      <c r="D1811" s="2" t="str">
        <f t="shared" si="27"/>
        <v>Error?</v>
      </c>
    </row>
    <row r="1812" spans="1:4" x14ac:dyDescent="0.2">
      <c r="A1812" s="5">
        <v>1751</v>
      </c>
      <c r="B1812" s="1832">
        <f>'Tax Sched 23'!E8</f>
        <v>97602</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78082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5757880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5273961</v>
      </c>
      <c r="C1939" s="2" t="s">
        <v>569</v>
      </c>
      <c r="D1939" s="2" t="str">
        <f t="shared" si="29"/>
        <v>Error?</v>
      </c>
    </row>
    <row r="1940" spans="1:5" x14ac:dyDescent="0.2">
      <c r="A1940" s="5">
        <v>1879</v>
      </c>
      <c r="B1940" s="1832">
        <f>'Short-Term Long-Term Debt 24'!F49</f>
        <v>9947200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71384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71384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71384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1553417</v>
      </c>
      <c r="D2008" s="2" t="str">
        <f t="shared" si="30"/>
        <v>Error?</v>
      </c>
    </row>
    <row r="2009" spans="1:4" x14ac:dyDescent="0.2">
      <c r="A2009" s="5">
        <v>1948</v>
      </c>
      <c r="B2009" s="1832">
        <f>'Cap Outlay Deprec 26'!C8</f>
        <v>27112037</v>
      </c>
      <c r="D2009" s="2" t="str">
        <f t="shared" si="30"/>
        <v>Error?</v>
      </c>
    </row>
    <row r="2010" spans="1:4" x14ac:dyDescent="0.2">
      <c r="A2010" s="5">
        <v>1949</v>
      </c>
      <c r="B2010" s="1832">
        <f>'Cap Outlay Deprec 26'!C10</f>
        <v>824001</v>
      </c>
      <c r="D2010" s="2" t="str">
        <f t="shared" si="30"/>
        <v>Error?</v>
      </c>
    </row>
    <row r="2011" spans="1:4" x14ac:dyDescent="0.2">
      <c r="A2011" s="5">
        <v>1950</v>
      </c>
      <c r="B2011" s="1832">
        <f>'Cap Outlay Deprec 26'!C12</f>
        <v>2525283</v>
      </c>
      <c r="D2011" s="2" t="str">
        <f t="shared" si="30"/>
        <v>Error?</v>
      </c>
    </row>
    <row r="2012" spans="1:4" x14ac:dyDescent="0.2">
      <c r="A2012" s="5">
        <v>1951</v>
      </c>
      <c r="B2012" s="1832">
        <f>'Cap Outlay Deprec 26'!C13</f>
        <v>300519</v>
      </c>
      <c r="D2012" s="2" t="str">
        <f t="shared" si="30"/>
        <v>Error?</v>
      </c>
    </row>
    <row r="2013" spans="1:4" x14ac:dyDescent="0.2">
      <c r="A2013" s="5">
        <v>1952</v>
      </c>
      <c r="B2013" s="1832">
        <f>'Cap Outlay Deprec 26'!C16</f>
        <v>32315257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2924772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171845</v>
      </c>
      <c r="D2017" s="2" t="str">
        <f t="shared" si="30"/>
        <v>Error?</v>
      </c>
    </row>
    <row r="2018" spans="1:4" x14ac:dyDescent="0.2">
      <c r="A2018" s="5">
        <v>1957</v>
      </c>
      <c r="B2018" s="1832">
        <f>'Cap Outlay Deprec 26'!D13</f>
        <v>2713</v>
      </c>
      <c r="D2018" s="2" t="str">
        <f t="shared" si="30"/>
        <v>Error?</v>
      </c>
    </row>
    <row r="2019" spans="1:4" x14ac:dyDescent="0.2">
      <c r="A2019" s="5">
        <v>1958</v>
      </c>
      <c r="B2019" s="1832">
        <f>'Cap Outlay Deprec 26'!D16</f>
        <v>3099330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1553417</v>
      </c>
      <c r="C2026" s="2" t="s">
        <v>569</v>
      </c>
      <c r="D2026" s="2" t="str">
        <f t="shared" si="30"/>
        <v>Error?</v>
      </c>
    </row>
    <row r="2027" spans="1:4" x14ac:dyDescent="0.2">
      <c r="A2027" s="5">
        <v>1966</v>
      </c>
      <c r="B2027" s="1832">
        <f>'Cap Outlay Deprec 26'!F8</f>
        <v>30036809</v>
      </c>
      <c r="C2027" s="2" t="s">
        <v>569</v>
      </c>
      <c r="D2027" s="2" t="str">
        <f t="shared" si="30"/>
        <v>Error?</v>
      </c>
    </row>
    <row r="2028" spans="1:4" x14ac:dyDescent="0.2">
      <c r="A2028" s="5">
        <v>1967</v>
      </c>
      <c r="B2028" s="1832">
        <f>'Cap Outlay Deprec 26'!F10</f>
        <v>824001</v>
      </c>
      <c r="C2028" s="2" t="s">
        <v>569</v>
      </c>
      <c r="D2028" s="2" t="str">
        <f t="shared" si="30"/>
        <v>Error?</v>
      </c>
    </row>
    <row r="2029" spans="1:4" x14ac:dyDescent="0.2">
      <c r="A2029" s="5">
        <v>1968</v>
      </c>
      <c r="B2029" s="1832">
        <f>'Cap Outlay Deprec 26'!F12</f>
        <v>2697128</v>
      </c>
      <c r="C2029" s="2" t="s">
        <v>569</v>
      </c>
      <c r="D2029" s="2" t="str">
        <f t="shared" si="30"/>
        <v>Error?</v>
      </c>
    </row>
    <row r="2030" spans="1:4" x14ac:dyDescent="0.2">
      <c r="A2030" s="5">
        <v>1969</v>
      </c>
      <c r="B2030" s="1832">
        <f>'Cap Outlay Deprec 26'!F13</f>
        <v>303232</v>
      </c>
      <c r="C2030" s="2" t="s">
        <v>569</v>
      </c>
      <c r="D2030" s="2" t="str">
        <f t="shared" si="30"/>
        <v>Error?</v>
      </c>
    </row>
    <row r="2031" spans="1:4" x14ac:dyDescent="0.2">
      <c r="A2031" s="5">
        <v>1970</v>
      </c>
      <c r="B2031" s="1832">
        <f>'Cap Outlay Deprec 26'!F16</f>
        <v>35414587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11267041</v>
      </c>
      <c r="D2033" s="2" t="str">
        <f t="shared" si="30"/>
        <v>Error?</v>
      </c>
    </row>
    <row r="2034" spans="1:4" x14ac:dyDescent="0.2">
      <c r="A2034" s="5">
        <v>1973</v>
      </c>
      <c r="B2034" s="1832">
        <f>'Cap Outlay Deprec 26'!H10</f>
        <v>674224</v>
      </c>
      <c r="D2034" s="2" t="str">
        <f t="shared" si="30"/>
        <v>Error?</v>
      </c>
    </row>
    <row r="2035" spans="1:4" x14ac:dyDescent="0.2">
      <c r="A2035" s="5">
        <v>1974</v>
      </c>
      <c r="B2035" s="1832">
        <f>'Cap Outlay Deprec 26'!H12</f>
        <v>2161198</v>
      </c>
      <c r="D2035" s="2" t="str">
        <f t="shared" si="30"/>
        <v>Error?</v>
      </c>
    </row>
    <row r="2036" spans="1:4" x14ac:dyDescent="0.2">
      <c r="A2036" s="5">
        <v>1975</v>
      </c>
      <c r="B2036" s="1832">
        <f>'Cap Outlay Deprec 26'!H13</f>
        <v>175608</v>
      </c>
      <c r="D2036" s="2" t="str">
        <f t="shared" si="30"/>
        <v>Error?</v>
      </c>
    </row>
    <row r="2037" spans="1:4" x14ac:dyDescent="0.2">
      <c r="A2037" s="5">
        <v>1976</v>
      </c>
      <c r="B2037" s="1832">
        <f>'Cap Outlay Deprec 26'!H16</f>
        <v>14278071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600736</v>
      </c>
      <c r="D2039" s="2" t="str">
        <f t="shared" si="30"/>
        <v>Error?</v>
      </c>
    </row>
    <row r="2040" spans="1:4" x14ac:dyDescent="0.2">
      <c r="A2040" s="5">
        <v>1979</v>
      </c>
      <c r="B2040" s="1832">
        <f>'Cap Outlay Deprec 26'!I10</f>
        <v>41200</v>
      </c>
      <c r="D2040" s="2" t="str">
        <f t="shared" si="30"/>
        <v>Error?</v>
      </c>
    </row>
    <row r="2041" spans="1:4" x14ac:dyDescent="0.2">
      <c r="A2041" s="5">
        <v>1980</v>
      </c>
      <c r="B2041" s="1832">
        <f>'Cap Outlay Deprec 26'!I12</f>
        <v>53593</v>
      </c>
      <c r="D2041" s="2" t="str">
        <f t="shared" si="30"/>
        <v>Error?</v>
      </c>
    </row>
    <row r="2042" spans="1:4" x14ac:dyDescent="0.2">
      <c r="A2042" s="5">
        <v>1981</v>
      </c>
      <c r="B2042" s="1832">
        <f>'Cap Outlay Deprec 26'!I13</f>
        <v>17853</v>
      </c>
      <c r="D2042" s="2" t="str">
        <f t="shared" si="30"/>
        <v>Error?</v>
      </c>
    </row>
    <row r="2043" spans="1:4" x14ac:dyDescent="0.2">
      <c r="A2043" s="5">
        <v>1982</v>
      </c>
      <c r="B2043" s="1832">
        <f>'Cap Outlay Deprec 26'!I16</f>
        <v>713382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11867777</v>
      </c>
      <c r="C2051" s="2" t="s">
        <v>569</v>
      </c>
      <c r="D2051" s="2" t="str">
        <f t="shared" si="31"/>
        <v>Error?</v>
      </c>
    </row>
    <row r="2052" spans="1:4" x14ac:dyDescent="0.2">
      <c r="A2052" s="5">
        <v>1991</v>
      </c>
      <c r="B2052" s="1832">
        <f>'Cap Outlay Deprec 26'!K10</f>
        <v>715424</v>
      </c>
      <c r="C2052" s="2" t="s">
        <v>569</v>
      </c>
      <c r="D2052" s="2" t="str">
        <f t="shared" si="31"/>
        <v>Error?</v>
      </c>
    </row>
    <row r="2053" spans="1:4" x14ac:dyDescent="0.2">
      <c r="A2053" s="5">
        <v>1992</v>
      </c>
      <c r="B2053" s="1832">
        <f>'Cap Outlay Deprec 26'!K12</f>
        <v>2214791</v>
      </c>
      <c r="C2053" s="2" t="s">
        <v>569</v>
      </c>
      <c r="D2053" s="2" t="str">
        <f t="shared" si="31"/>
        <v>Error?</v>
      </c>
    </row>
    <row r="2054" spans="1:4" x14ac:dyDescent="0.2">
      <c r="A2054" s="5">
        <v>1993</v>
      </c>
      <c r="B2054" s="1832">
        <f>'Cap Outlay Deprec 26'!K13</f>
        <v>193461</v>
      </c>
      <c r="C2054" s="2" t="s">
        <v>569</v>
      </c>
      <c r="D2054" s="2" t="str">
        <f t="shared" si="31"/>
        <v>Error?</v>
      </c>
    </row>
    <row r="2055" spans="1:4" x14ac:dyDescent="0.2">
      <c r="A2055" s="5">
        <v>1994</v>
      </c>
      <c r="B2055" s="1832">
        <f>'Cap Outlay Deprec 26'!K16</f>
        <v>14991453</v>
      </c>
      <c r="C2055" s="2" t="s">
        <v>569</v>
      </c>
      <c r="D2055" s="2" t="str">
        <f t="shared" si="31"/>
        <v>Error?</v>
      </c>
    </row>
    <row r="2056" spans="1:4" x14ac:dyDescent="0.2">
      <c r="A2056" s="5">
        <v>1995</v>
      </c>
      <c r="B2056" s="1832">
        <f>'Cap Outlay Deprec 26'!L5</f>
        <v>1553417</v>
      </c>
      <c r="C2056" s="2" t="s">
        <v>569</v>
      </c>
      <c r="D2056" s="2" t="str">
        <f t="shared" si="31"/>
        <v>Error?</v>
      </c>
    </row>
    <row r="2057" spans="1:4" x14ac:dyDescent="0.2">
      <c r="A2057" s="5">
        <v>1996</v>
      </c>
      <c r="B2057" s="1832">
        <f>'Cap Outlay Deprec 26'!L8</f>
        <v>18169032</v>
      </c>
      <c r="C2057" s="2" t="s">
        <v>569</v>
      </c>
      <c r="D2057" s="2" t="str">
        <f t="shared" si="31"/>
        <v>Error?</v>
      </c>
    </row>
    <row r="2058" spans="1:4" x14ac:dyDescent="0.2">
      <c r="A2058" s="5">
        <v>1997</v>
      </c>
      <c r="B2058" s="1832">
        <f>'Cap Outlay Deprec 26'!L10</f>
        <v>108577</v>
      </c>
      <c r="C2058" s="2" t="s">
        <v>569</v>
      </c>
      <c r="D2058" s="2" t="str">
        <f t="shared" si="31"/>
        <v>Error?</v>
      </c>
    </row>
    <row r="2059" spans="1:4" x14ac:dyDescent="0.2">
      <c r="A2059" s="5">
        <v>1998</v>
      </c>
      <c r="B2059" s="1832">
        <f>'Cap Outlay Deprec 26'!L12</f>
        <v>482337</v>
      </c>
      <c r="C2059" s="2" t="s">
        <v>569</v>
      </c>
      <c r="D2059" s="2" t="str">
        <f t="shared" si="31"/>
        <v>Error?</v>
      </c>
    </row>
    <row r="2060" spans="1:4" x14ac:dyDescent="0.2">
      <c r="A2060" s="5">
        <v>1999</v>
      </c>
      <c r="B2060" s="1832">
        <f>'Cap Outlay Deprec 26'!L13</f>
        <v>109771</v>
      </c>
      <c r="C2060" s="2" t="s">
        <v>569</v>
      </c>
      <c r="D2060" s="2" t="str">
        <f t="shared" si="31"/>
        <v>Error?</v>
      </c>
    </row>
    <row r="2061" spans="1:4" x14ac:dyDescent="0.2">
      <c r="A2061" s="5">
        <v>2000</v>
      </c>
      <c r="B2061" s="1832">
        <f>'Cap Outlay Deprec 26'!L16</f>
        <v>20423134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1648267</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4100000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557524</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385158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714681</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7361727</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3630232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6779594</v>
      </c>
      <c r="C2553" s="2" t="s">
        <v>569</v>
      </c>
      <c r="D2553" s="2" t="str">
        <f t="shared" si="38"/>
        <v>Error?</v>
      </c>
    </row>
    <row r="2554" spans="1:4" x14ac:dyDescent="0.2">
      <c r="A2554" s="5">
        <v>2493</v>
      </c>
      <c r="B2554" s="1832">
        <f>'Acct Summary 7-8'!C7</f>
        <v>1849858</v>
      </c>
      <c r="C2554" s="2" t="s">
        <v>569</v>
      </c>
      <c r="D2554" s="2" t="str">
        <f t="shared" si="38"/>
        <v>Error?</v>
      </c>
    </row>
    <row r="2555" spans="1:4" x14ac:dyDescent="0.2">
      <c r="A2555" s="5">
        <v>2494</v>
      </c>
      <c r="B2555" s="1832">
        <f>'Acct Summary 7-8'!C8</f>
        <v>12259684</v>
      </c>
      <c r="C2555" s="2" t="s">
        <v>569</v>
      </c>
      <c r="D2555" s="2" t="str">
        <f t="shared" si="38"/>
        <v>Error?</v>
      </c>
    </row>
    <row r="2556" spans="1:4" x14ac:dyDescent="0.2">
      <c r="A2556" s="5">
        <v>2495</v>
      </c>
      <c r="B2556" s="1832">
        <f>'Acct Summary 7-8'!C12</f>
        <v>7200411</v>
      </c>
      <c r="C2556" s="2" t="s">
        <v>569</v>
      </c>
      <c r="D2556" s="2" t="str">
        <f t="shared" si="38"/>
        <v>Error?</v>
      </c>
    </row>
    <row r="2557" spans="1:4" x14ac:dyDescent="0.2">
      <c r="A2557" s="5">
        <v>2496</v>
      </c>
      <c r="B2557" s="1832">
        <f>'Acct Summary 7-8'!C13</f>
        <v>2644877</v>
      </c>
      <c r="C2557" s="2" t="s">
        <v>569</v>
      </c>
      <c r="D2557" s="2" t="str">
        <f t="shared" si="38"/>
        <v>Error?</v>
      </c>
    </row>
    <row r="2558" spans="1:4" x14ac:dyDescent="0.2">
      <c r="A2558" s="5">
        <v>2497</v>
      </c>
      <c r="B2558" s="1832">
        <f>'Acct Summary 7-8'!C14</f>
        <v>177013</v>
      </c>
      <c r="C2558" s="2" t="s">
        <v>569</v>
      </c>
      <c r="D2558" s="2" t="str">
        <f t="shared" si="38"/>
        <v>Error?</v>
      </c>
    </row>
    <row r="2559" spans="1:4" x14ac:dyDescent="0.2">
      <c r="A2559" s="5">
        <v>2498</v>
      </c>
      <c r="B2559" s="1832">
        <f>'Acct Summary 7-8'!C15</f>
        <v>1648267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11670568</v>
      </c>
      <c r="C2561" s="2" t="s">
        <v>569</v>
      </c>
      <c r="D2561" s="2" t="str">
        <f t="shared" si="39"/>
        <v>Error?</v>
      </c>
    </row>
    <row r="2562" spans="1:4" x14ac:dyDescent="0.2">
      <c r="A2562" s="5">
        <v>2501</v>
      </c>
      <c r="B2562" s="1832">
        <f>'Acct Summary 7-8'!C20</f>
        <v>589116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752788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600000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1352788</v>
      </c>
      <c r="C2568" s="2" t="s">
        <v>569</v>
      </c>
      <c r="D2568" s="2" t="str">
        <f t="shared" si="39"/>
        <v>Error?</v>
      </c>
    </row>
    <row r="2569" spans="1:4" x14ac:dyDescent="0.2">
      <c r="A2569" s="5">
        <v>2508</v>
      </c>
      <c r="B2569" s="1832">
        <f>'Acct Summary 7-8'!D13</f>
        <v>1282374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1282374</v>
      </c>
      <c r="C2573" s="2" t="s">
        <v>569</v>
      </c>
      <c r="D2573" s="2" t="str">
        <f t="shared" si="39"/>
        <v>Error?</v>
      </c>
    </row>
    <row r="2574" spans="1:4" x14ac:dyDescent="0.2">
      <c r="A2574" s="5">
        <v>2513</v>
      </c>
      <c r="B2574" s="1832">
        <f>'Acct Summary 7-8'!D20</f>
        <v>70414</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349038</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566833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915871</v>
      </c>
      <c r="C2595" s="2" t="s">
        <v>569</v>
      </c>
      <c r="D2595" s="2" t="str">
        <f t="shared" si="39"/>
        <v>Error?</v>
      </c>
    </row>
    <row r="2596" spans="1:4" x14ac:dyDescent="0.2">
      <c r="A2596" s="5">
        <v>2535</v>
      </c>
      <c r="B2596" s="1832">
        <f>'Acct Summary 7-8'!F13</f>
        <v>779780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779780</v>
      </c>
      <c r="C2600" s="2" t="s">
        <v>569</v>
      </c>
      <c r="D2600" s="2" t="str">
        <f t="shared" si="39"/>
        <v>Error?</v>
      </c>
    </row>
    <row r="2601" spans="1:4" x14ac:dyDescent="0.2">
      <c r="A2601" s="5">
        <v>2540</v>
      </c>
      <c r="B2601" s="1832">
        <f>'Acct Summary 7-8'!F20</f>
        <v>136091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399058</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399058</v>
      </c>
      <c r="C2606" s="2" t="s">
        <v>569</v>
      </c>
      <c r="D2606" s="2" t="str">
        <f t="shared" si="39"/>
        <v>Error?</v>
      </c>
    </row>
    <row r="2607" spans="1:4" x14ac:dyDescent="0.2">
      <c r="A2607" s="5">
        <v>2546</v>
      </c>
      <c r="B2607" s="1832">
        <f>'Acct Summary 7-8'!G12</f>
        <v>174983</v>
      </c>
      <c r="C2607" s="2" t="s">
        <v>569</v>
      </c>
      <c r="D2607" s="2" t="str">
        <f t="shared" si="39"/>
        <v>Error?</v>
      </c>
    </row>
    <row r="2608" spans="1:4" x14ac:dyDescent="0.2">
      <c r="A2608" s="5">
        <v>2547</v>
      </c>
      <c r="B2608" s="1832">
        <f>'Acct Summary 7-8'!G13</f>
        <v>218123</v>
      </c>
      <c r="C2608" s="2" t="s">
        <v>569</v>
      </c>
      <c r="D2608" s="2" t="str">
        <f t="shared" si="39"/>
        <v>Error?</v>
      </c>
    </row>
    <row r="2609" spans="1:4" x14ac:dyDescent="0.2">
      <c r="A2609" s="5">
        <v>2548</v>
      </c>
      <c r="B2609" s="1832">
        <f>'Acct Summary 7-8'!G14</f>
        <v>11717</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404823</v>
      </c>
      <c r="C2612" s="2" t="s">
        <v>569</v>
      </c>
      <c r="D2612" s="2" t="str">
        <f t="shared" si="39"/>
        <v>Error?</v>
      </c>
    </row>
    <row r="2613" spans="1:4" x14ac:dyDescent="0.2">
      <c r="A2613" s="5">
        <v>2552</v>
      </c>
      <c r="B2613" s="1832">
        <f>'Acct Summary 7-8'!G20</f>
        <v>-5765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902729</v>
      </c>
      <c r="C2630" s="2" t="s">
        <v>569</v>
      </c>
      <c r="D2630" s="2" t="str">
        <f t="shared" si="40"/>
        <v>Error?</v>
      </c>
    </row>
    <row r="2631" spans="1:4" x14ac:dyDescent="0.2">
      <c r="A2631" s="5">
        <v>2570</v>
      </c>
      <c r="B2631" s="1832">
        <f>'Acct Summary 7-8'!E6</f>
        <v>151387</v>
      </c>
      <c r="C2631" s="2" t="s">
        <v>569</v>
      </c>
      <c r="D2631" s="2" t="str">
        <f t="shared" si="40"/>
        <v>Error?</v>
      </c>
    </row>
    <row r="2632" spans="1:4" x14ac:dyDescent="0.2">
      <c r="A2632" s="5">
        <v>2571</v>
      </c>
      <c r="B2632" s="1832">
        <f>'Acct Summary 7-8'!E8</f>
        <v>1054116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1660867</v>
      </c>
      <c r="C2634" s="2" t="s">
        <v>569</v>
      </c>
      <c r="D2634" s="2" t="str">
        <f t="shared" si="40"/>
        <v>Error?</v>
      </c>
    </row>
    <row r="2635" spans="1:4" x14ac:dyDescent="0.2">
      <c r="A2635" s="5">
        <v>2574</v>
      </c>
      <c r="B2635" s="1832">
        <f>'Acct Summary 7-8'!E17</f>
        <v>1660867</v>
      </c>
      <c r="C2635" s="2" t="s">
        <v>569</v>
      </c>
      <c r="D2635" s="2" t="str">
        <f t="shared" si="40"/>
        <v>Error?</v>
      </c>
    </row>
    <row r="2636" spans="1:4" x14ac:dyDescent="0.2">
      <c r="A2636" s="5">
        <v>2575</v>
      </c>
      <c r="B2636" s="1832">
        <f>'Acct Summary 7-8'!E20</f>
        <v>-606751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772252</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822252</v>
      </c>
      <c r="C2658" s="2" t="s">
        <v>569</v>
      </c>
      <c r="D2658" s="2" t="str">
        <f t="shared" si="40"/>
        <v>Error?</v>
      </c>
    </row>
    <row r="2659" spans="1:4" x14ac:dyDescent="0.2">
      <c r="A2659" s="5">
        <v>2598</v>
      </c>
      <c r="B2659" s="1832">
        <f>'Acct Summary 7-8'!H13</f>
        <v>2985771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2985771</v>
      </c>
      <c r="C2661" s="2" t="s">
        <v>569</v>
      </c>
      <c r="D2661" s="2" t="str">
        <f t="shared" si="40"/>
        <v>Error?</v>
      </c>
    </row>
    <row r="2662" spans="1:4" x14ac:dyDescent="0.2">
      <c r="A2662" s="5">
        <v>2601</v>
      </c>
      <c r="B2662" s="1832">
        <f>'Acct Summary 7-8'!H20</f>
        <v>-2163519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1648267</v>
      </c>
      <c r="C2789" s="2" t="s">
        <v>569</v>
      </c>
      <c r="D2789" s="2" t="str">
        <f t="shared" si="42"/>
        <v>Error?</v>
      </c>
    </row>
    <row r="2790" spans="1:4" x14ac:dyDescent="0.2">
      <c r="A2790" s="5">
        <v>2729</v>
      </c>
      <c r="B2790" s="1832">
        <f>'Expenditures 15-22'!E102</f>
        <v>1648267</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2205465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242535</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2205465</v>
      </c>
      <c r="D2912" s="2" t="str">
        <f t="shared" si="44"/>
        <v>Error?</v>
      </c>
    </row>
    <row r="2913" spans="1:4" x14ac:dyDescent="0.2">
      <c r="A2913" s="5">
        <v>2852</v>
      </c>
      <c r="B2913" s="1832">
        <f>'Assets-Liab 5-6'!I41</f>
        <v>2205465</v>
      </c>
      <c r="C2913" s="2" t="s">
        <v>569</v>
      </c>
      <c r="D2913" s="2" t="str">
        <f t="shared" si="44"/>
        <v>Error?</v>
      </c>
    </row>
    <row r="2914" spans="1:4" x14ac:dyDescent="0.2">
      <c r="A2914" s="5">
        <v>2853</v>
      </c>
      <c r="B2914" s="1832">
        <f>'Assets-Liab 5-6'!L33</f>
        <v>242535</v>
      </c>
      <c r="D2914" s="2" t="str">
        <f t="shared" si="44"/>
        <v>Error?</v>
      </c>
    </row>
    <row r="2915" spans="1:4" x14ac:dyDescent="0.2">
      <c r="A2915" s="10">
        <v>2854</v>
      </c>
      <c r="B2915" s="1832"/>
      <c r="D2915" s="2" t="str">
        <f t="shared" si="44"/>
        <v>OK</v>
      </c>
    </row>
    <row r="2916" spans="1:4" x14ac:dyDescent="0.2">
      <c r="A2916" s="5">
        <v>2855</v>
      </c>
      <c r="B2916" s="1832">
        <f>'Assets-Liab 5-6'!L34</f>
        <v>242535</v>
      </c>
      <c r="C2916" s="2" t="s">
        <v>569</v>
      </c>
      <c r="D2916" s="2" t="str">
        <f t="shared" si="44"/>
        <v>Error?</v>
      </c>
    </row>
    <row r="2917" spans="1:4" x14ac:dyDescent="0.2">
      <c r="A2917" s="5">
        <v>2856</v>
      </c>
      <c r="B2917" s="1832">
        <f>'Assets-Liab 5-6'!L41</f>
        <v>242535</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63012</v>
      </c>
      <c r="D2949" s="2" t="str">
        <f t="shared" si="45"/>
        <v>Error?</v>
      </c>
    </row>
    <row r="2950" spans="1:4" x14ac:dyDescent="0.2">
      <c r="A2950" s="5">
        <v>2889</v>
      </c>
      <c r="B2950" s="1832">
        <f>'Expenditures 15-22'!E79</f>
        <v>1441926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119329</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24000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63012</v>
      </c>
      <c r="C2973" s="2" t="s">
        <v>569</v>
      </c>
      <c r="D2973" s="2" t="str">
        <f t="shared" si="45"/>
        <v>Error?</v>
      </c>
    </row>
    <row r="2974" spans="1:4" x14ac:dyDescent="0.2">
      <c r="A2974" s="5">
        <v>2913</v>
      </c>
      <c r="B2974" s="1832">
        <f>'Expenditures 15-22'!K79</f>
        <v>1441926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119329</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24000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525</v>
      </c>
      <c r="D3055" s="2" t="str">
        <f t="shared" si="46"/>
        <v>Error?</v>
      </c>
    </row>
    <row r="3056" spans="1:4" x14ac:dyDescent="0.2">
      <c r="A3056" s="5">
        <v>2995</v>
      </c>
      <c r="B3056" s="1832">
        <f>'Expenditures 15-22'!D10</f>
        <v>8</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533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7</v>
      </c>
      <c r="D3064" s="2" t="str">
        <f t="shared" si="46"/>
        <v>Error?</v>
      </c>
    </row>
    <row r="3065" spans="1:4" x14ac:dyDescent="0.2">
      <c r="A3065" s="5">
        <v>3004</v>
      </c>
      <c r="B3065" s="1832">
        <f>'Expenditures 15-22'!K219</f>
        <v>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559568</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589116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70414</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136091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-5765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559568</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559568</v>
      </c>
      <c r="C3277" s="2" t="s">
        <v>569</v>
      </c>
      <c r="D3277" s="2" t="str">
        <f t="shared" si="50"/>
        <v>Error?</v>
      </c>
    </row>
    <row r="3278" spans="1:4" x14ac:dyDescent="0.2">
      <c r="A3278" s="5">
        <v>3217</v>
      </c>
      <c r="B3278" s="1832">
        <f>'Acct Summary 7-8'!E78</f>
        <v>-47183</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9516200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9516200</v>
      </c>
      <c r="C3299" s="2" t="s">
        <v>569</v>
      </c>
      <c r="D3299" s="2" t="str">
        <f t="shared" si="50"/>
        <v>Error?</v>
      </c>
    </row>
    <row r="3300" spans="1:4" x14ac:dyDescent="0.2">
      <c r="A3300" s="5">
        <v>3239</v>
      </c>
      <c r="B3300" s="1832">
        <f>'Acct Summary 7-8'!H78</f>
        <v>7352681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3971432</v>
      </c>
      <c r="C3317" s="2" t="s">
        <v>569</v>
      </c>
      <c r="D3317" s="2" t="str">
        <f t="shared" si="50"/>
        <v>Error?</v>
      </c>
    </row>
    <row r="3318" spans="1:4" x14ac:dyDescent="0.2">
      <c r="A3318" s="5">
        <v>3257</v>
      </c>
      <c r="B3318" s="1832">
        <f>'Acct Summary 7-8'!I76</f>
        <v>4100000</v>
      </c>
      <c r="C3318" s="2" t="s">
        <v>569</v>
      </c>
      <c r="D3318" s="2" t="str">
        <f t="shared" si="50"/>
        <v>Error?</v>
      </c>
    </row>
    <row r="3319" spans="1:4" x14ac:dyDescent="0.2">
      <c r="A3319" s="5">
        <v>3258</v>
      </c>
      <c r="B3319" s="1832">
        <f>'Acct Summary 7-8'!I77</f>
        <v>-128568</v>
      </c>
      <c r="C3319" s="2" t="s">
        <v>569</v>
      </c>
      <c r="D3319" s="2" t="str">
        <f t="shared" si="50"/>
        <v>Error?</v>
      </c>
    </row>
    <row r="3320" spans="1:4" x14ac:dyDescent="0.2">
      <c r="A3320" s="5">
        <v>3259</v>
      </c>
      <c r="B3320" s="1832">
        <f>'Acct Summary 7-8'!I78</f>
        <v>-128568</v>
      </c>
      <c r="C3320" s="2" t="s">
        <v>569</v>
      </c>
      <c r="D3320" s="2" t="str">
        <f t="shared" si="50"/>
        <v>Error?</v>
      </c>
    </row>
    <row r="3321" spans="1:4" x14ac:dyDescent="0.2">
      <c r="A3321" s="5">
        <v>3260</v>
      </c>
      <c r="B3321" s="1832">
        <f>'Acct Summary 7-8'!I79</f>
        <v>2334033</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2205465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1569874</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142038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112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5053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1717077</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56653</v>
      </c>
      <c r="D3387" s="2" t="str">
        <f t="shared" si="51"/>
        <v>Error?</v>
      </c>
    </row>
    <row r="3388" spans="1:4" x14ac:dyDescent="0.2">
      <c r="A3388" s="5">
        <v>3327</v>
      </c>
      <c r="B3388" s="1832">
        <f>'Expenditures 15-22'!D217</f>
        <v>95760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56653</v>
      </c>
      <c r="C3390" s="2" t="s">
        <v>569</v>
      </c>
      <c r="D3390" s="2" t="str">
        <f t="shared" si="51"/>
        <v>Error?</v>
      </c>
    </row>
    <row r="3391" spans="1:4" x14ac:dyDescent="0.2">
      <c r="A3391" s="5">
        <v>3330</v>
      </c>
      <c r="B3391" s="1832">
        <f>'Expenditures 15-22'!K217</f>
        <v>95760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0</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1308139</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714681</v>
      </c>
      <c r="D3417" s="2" t="str">
        <f t="shared" si="52"/>
        <v>Error?</v>
      </c>
    </row>
    <row r="3418" spans="1:4" x14ac:dyDescent="0.2">
      <c r="A3418" s="10">
        <v>3357</v>
      </c>
      <c r="B3418" s="1832"/>
      <c r="D3418" s="2" t="str">
        <f t="shared" si="52"/>
        <v>OK</v>
      </c>
    </row>
    <row r="3419" spans="1:4" x14ac:dyDescent="0.2">
      <c r="A3419" s="5">
        <v>3358</v>
      </c>
      <c r="B3419" s="1832">
        <f>'Assets-Liab 5-6'!F4</f>
        <v>1095730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385158</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93650</v>
      </c>
      <c r="D3425" s="2" t="str">
        <f t="shared" si="52"/>
        <v>Error?</v>
      </c>
    </row>
    <row r="3426" spans="1:4" x14ac:dyDescent="0.2">
      <c r="A3426" s="10">
        <v>3365</v>
      </c>
      <c r="B3426" s="1832"/>
      <c r="D3426" s="2" t="str">
        <f t="shared" si="52"/>
        <v>OK</v>
      </c>
    </row>
    <row r="3427" spans="1:4" x14ac:dyDescent="0.2">
      <c r="A3427" s="5">
        <v>3366</v>
      </c>
      <c r="B3427" s="1832">
        <f>'Assets-Liab 5-6'!I4</f>
        <v>2205465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242535</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222149</v>
      </c>
      <c r="C3446" s="2" t="s">
        <v>569</v>
      </c>
      <c r="D3446" s="2" t="str">
        <f t="shared" si="52"/>
        <v>Error?</v>
      </c>
    </row>
    <row r="3447" spans="1:4" x14ac:dyDescent="0.2">
      <c r="A3447" s="5">
        <v>3386</v>
      </c>
      <c r="B3447" s="1832">
        <f>'Tax Sched 23'!D16</f>
        <v>131008</v>
      </c>
      <c r="C3447" s="2" t="s">
        <v>569</v>
      </c>
      <c r="D3447" s="2" t="str">
        <f t="shared" si="52"/>
        <v>Error?</v>
      </c>
    </row>
    <row r="3448" spans="1:4" x14ac:dyDescent="0.2">
      <c r="A3448" s="5">
        <v>3387</v>
      </c>
      <c r="B3448" s="1832">
        <f>'Tax Sched 23'!C16</f>
        <v>91141</v>
      </c>
      <c r="D3448" s="2" t="str">
        <f t="shared" si="52"/>
        <v>Error?</v>
      </c>
    </row>
    <row r="3449" spans="1:4" x14ac:dyDescent="0.2">
      <c r="A3449" s="5">
        <v>3388</v>
      </c>
      <c r="B3449" s="1832">
        <f>'Tax Sched 23'!F16</f>
        <v>104063</v>
      </c>
      <c r="C3449" s="2" t="s">
        <v>569</v>
      </c>
      <c r="D3449" s="2" t="str">
        <f t="shared" si="52"/>
        <v>Error?</v>
      </c>
    </row>
    <row r="3450" spans="1:4" x14ac:dyDescent="0.2">
      <c r="A3450" s="5">
        <v>3389</v>
      </c>
      <c r="B3450" s="1832">
        <f>'Tax Sched 23'!E16</f>
        <v>195204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3</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3</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557139</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4865194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17124878</v>
      </c>
      <c r="C4122" s="2" t="s">
        <v>569</v>
      </c>
      <c r="D4122" s="2" t="str">
        <f t="shared" si="63"/>
        <v>Error?</v>
      </c>
    </row>
    <row r="4123" spans="1:4" x14ac:dyDescent="0.2">
      <c r="A4123" s="5">
        <v>4062</v>
      </c>
      <c r="B4123" s="1832">
        <f>'Acct Summary 7-8'!D10</f>
        <v>1352788</v>
      </c>
      <c r="C4123" s="2" t="s">
        <v>569</v>
      </c>
      <c r="D4123" s="2" t="str">
        <f t="shared" si="63"/>
        <v>Error?</v>
      </c>
    </row>
    <row r="4124" spans="1:4" x14ac:dyDescent="0.2">
      <c r="A4124" s="5">
        <v>4063</v>
      </c>
      <c r="B4124" s="1832">
        <f>'Acct Summary 7-8'!E10</f>
        <v>1054116</v>
      </c>
      <c r="C4124" s="2" t="s">
        <v>569</v>
      </c>
      <c r="D4124" s="2" t="str">
        <f t="shared" si="63"/>
        <v>Error?</v>
      </c>
    </row>
    <row r="4125" spans="1:4" x14ac:dyDescent="0.2">
      <c r="A4125" s="5">
        <v>4064</v>
      </c>
      <c r="B4125" s="1832">
        <f>'Acct Summary 7-8'!F10</f>
        <v>915871</v>
      </c>
      <c r="C4125" s="2" t="s">
        <v>569</v>
      </c>
      <c r="D4125" s="2" t="str">
        <f t="shared" si="63"/>
        <v>Error?</v>
      </c>
    </row>
    <row r="4126" spans="1:4" x14ac:dyDescent="0.2">
      <c r="A4126" s="5">
        <v>4065</v>
      </c>
      <c r="B4126" s="1832">
        <f>'Acct Summary 7-8'!G10</f>
        <v>399058</v>
      </c>
      <c r="C4126" s="2" t="s">
        <v>569</v>
      </c>
      <c r="D4126" s="2" t="str">
        <f t="shared" si="63"/>
        <v>Error?</v>
      </c>
    </row>
    <row r="4127" spans="1:4" x14ac:dyDescent="0.2">
      <c r="A4127" s="5">
        <v>4066</v>
      </c>
      <c r="B4127" s="1832">
        <f>'Acct Summary 7-8'!H10</f>
        <v>822252</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4865194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16535762</v>
      </c>
      <c r="C4136" s="2" t="s">
        <v>569</v>
      </c>
      <c r="D4136" s="2" t="str">
        <f t="shared" si="63"/>
        <v>Error?</v>
      </c>
    </row>
    <row r="4137" spans="1:4" x14ac:dyDescent="0.2">
      <c r="A4137" s="5">
        <v>4076</v>
      </c>
      <c r="B4137" s="1832">
        <f>'Acct Summary 7-8'!D19</f>
        <v>1282374</v>
      </c>
      <c r="C4137" s="2" t="s">
        <v>569</v>
      </c>
      <c r="D4137" s="2" t="str">
        <f t="shared" si="63"/>
        <v>Error?</v>
      </c>
    </row>
    <row r="4138" spans="1:4" x14ac:dyDescent="0.2">
      <c r="A4138" s="5">
        <v>4077</v>
      </c>
      <c r="B4138" s="1832">
        <f>'Acct Summary 7-8'!E19</f>
        <v>1660867</v>
      </c>
      <c r="C4138" s="2" t="s">
        <v>569</v>
      </c>
      <c r="D4138" s="2" t="str">
        <f t="shared" si="63"/>
        <v>Error?</v>
      </c>
    </row>
    <row r="4139" spans="1:4" x14ac:dyDescent="0.2">
      <c r="A4139" s="5">
        <v>4078</v>
      </c>
      <c r="B4139" s="1832">
        <f>'Acct Summary 7-8'!F19</f>
        <v>779780</v>
      </c>
      <c r="C4139" s="2" t="s">
        <v>569</v>
      </c>
      <c r="D4139" s="2" t="str">
        <f t="shared" si="63"/>
        <v>Error?</v>
      </c>
    </row>
    <row r="4140" spans="1:4" x14ac:dyDescent="0.2">
      <c r="A4140" s="5">
        <v>4079</v>
      </c>
      <c r="B4140" s="1832">
        <f>'Acct Summary 7-8'!G19</f>
        <v>404823</v>
      </c>
      <c r="C4140" s="2" t="s">
        <v>569</v>
      </c>
      <c r="D4140" s="2" t="str">
        <f t="shared" si="63"/>
        <v>Error?</v>
      </c>
    </row>
    <row r="4141" spans="1:4" x14ac:dyDescent="0.2">
      <c r="A4141" s="5">
        <v>4080</v>
      </c>
      <c r="B4141" s="1832">
        <f>'Acct Summary 7-8'!H19</f>
        <v>2985771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13784286</v>
      </c>
      <c r="C4171" s="2" t="s">
        <v>569</v>
      </c>
      <c r="D4171" s="2" t="str">
        <f t="shared" si="64"/>
        <v>Error?</v>
      </c>
    </row>
    <row r="4172" spans="1:4" x14ac:dyDescent="0.2">
      <c r="A4172" s="5">
        <v>4111</v>
      </c>
      <c r="B4172" s="1832">
        <f>'Short-Term Long-Term Debt 24'!J49</f>
        <v>13069605</v>
      </c>
      <c r="C4172" s="2" t="s">
        <v>569</v>
      </c>
      <c r="D4172" s="2" t="str">
        <f t="shared" si="64"/>
        <v>Error?</v>
      </c>
    </row>
    <row r="4173" spans="1:4" x14ac:dyDescent="0.2">
      <c r="A4173" s="5">
        <v>4112</v>
      </c>
      <c r="B4173" s="1832">
        <f>'Short-Term Long-Term Debt 24'!H49</f>
        <v>1436875</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2546.6999999999998</v>
      </c>
      <c r="C4265" s="2" t="s">
        <v>569</v>
      </c>
      <c r="D4265" s="2" t="str">
        <f t="shared" si="65"/>
        <v>Error?</v>
      </c>
      <c r="E4265" s="125"/>
    </row>
    <row r="4266" spans="1:5" x14ac:dyDescent="0.2">
      <c r="A4266" s="12">
        <v>4205</v>
      </c>
      <c r="B4266" s="1832">
        <f>('FP Info 3'!F10)*100000</f>
        <v>588.9</v>
      </c>
      <c r="C4266" s="2" t="s">
        <v>569</v>
      </c>
      <c r="D4266" s="2" t="str">
        <f t="shared" si="65"/>
        <v>Error?</v>
      </c>
      <c r="E4266" s="125"/>
    </row>
    <row r="4267" spans="1:5" x14ac:dyDescent="0.2">
      <c r="A4267" s="12">
        <v>4206</v>
      </c>
      <c r="B4267" s="1832">
        <f>('FP Info 3'!H10)*100000</f>
        <v>340.4</v>
      </c>
      <c r="C4267" s="2" t="s">
        <v>569</v>
      </c>
      <c r="D4267" s="2" t="str">
        <f t="shared" si="65"/>
        <v>Error?</v>
      </c>
      <c r="E4267" s="125"/>
    </row>
    <row r="4268" spans="1:5" x14ac:dyDescent="0.2">
      <c r="A4268" s="12">
        <v>4207</v>
      </c>
      <c r="B4268" s="1832">
        <f>('FP Info 3'!J10)*100000</f>
        <v>3476</v>
      </c>
      <c r="C4268" s="2" t="s">
        <v>569</v>
      </c>
      <c r="D4268" s="2" t="str">
        <f t="shared" si="65"/>
        <v>Error?</v>
      </c>
    </row>
    <row r="4269" spans="1:5" x14ac:dyDescent="0.2">
      <c r="A4269" s="12">
        <v>4208</v>
      </c>
      <c r="B4269" s="1832">
        <f>'FP Info 3'!J16</f>
        <v>14027088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134866</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11901</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111189</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70261</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127584288</v>
      </c>
      <c r="D4995" s="2" t="str">
        <f t="shared" si="77"/>
        <v>Error?</v>
      </c>
    </row>
    <row r="4996" spans="1:4" x14ac:dyDescent="0.2">
      <c r="A4996" s="12">
        <v>4935</v>
      </c>
      <c r="B4996" s="1832">
        <f>'FP Info 3'!H31</f>
        <v>17606631.744000003</v>
      </c>
      <c r="D4996" s="2" t="str">
        <f t="shared" si="77"/>
        <v>Error?</v>
      </c>
    </row>
    <row r="4997" spans="1:4" x14ac:dyDescent="0.2">
      <c r="A4997" s="12">
        <v>4936</v>
      </c>
      <c r="B4997" s="1832">
        <f>'FP Info 3'!H37</f>
        <v>13784286</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3044910</v>
      </c>
      <c r="D5061" s="2" t="str">
        <f t="shared" si="78"/>
        <v>Error?</v>
      </c>
    </row>
    <row r="5062" spans="1:4" x14ac:dyDescent="0.2">
      <c r="A5062" s="10">
        <v>5001</v>
      </c>
      <c r="B5062" s="1832"/>
      <c r="D5062" s="2" t="str">
        <f t="shared" si="78"/>
        <v>OK</v>
      </c>
    </row>
    <row r="5063" spans="1:4" x14ac:dyDescent="0.2">
      <c r="A5063" s="5">
        <v>5002</v>
      </c>
      <c r="B5063" s="1832">
        <f>'Revenues 9-14'!C7</f>
        <v>71384</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3116294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292627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292627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8967</v>
      </c>
      <c r="C5096" s="2" t="s">
        <v>569</v>
      </c>
      <c r="D5096" s="2" t="str">
        <f t="shared" si="78"/>
        <v>Error?</v>
      </c>
    </row>
    <row r="5097" spans="1:4" x14ac:dyDescent="0.2">
      <c r="A5097" s="5">
        <v>5036</v>
      </c>
      <c r="B5097" s="1832">
        <f>'Revenues 9-14'!C77</f>
        <v>31802</v>
      </c>
      <c r="D5097" s="2" t="str">
        <f t="shared" si="78"/>
        <v>Error?</v>
      </c>
    </row>
    <row r="5098" spans="1:4" x14ac:dyDescent="0.2">
      <c r="A5098" s="5">
        <v>5037</v>
      </c>
      <c r="B5098" s="1832">
        <f>'Revenues 9-14'!C78</f>
        <v>7104</v>
      </c>
      <c r="D5098" s="2" t="str">
        <f t="shared" si="78"/>
        <v>Error?</v>
      </c>
    </row>
    <row r="5099" spans="1:4" x14ac:dyDescent="0.2">
      <c r="A5099" s="5">
        <v>5038</v>
      </c>
      <c r="B5099" s="1832">
        <f>'Revenues 9-14'!C79</f>
        <v>24184</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63090</v>
      </c>
      <c r="C5102" s="2" t="s">
        <v>569</v>
      </c>
      <c r="D5102" s="2" t="str">
        <f t="shared" si="78"/>
        <v>Error?</v>
      </c>
    </row>
    <row r="5103" spans="1:4" x14ac:dyDescent="0.2">
      <c r="A5103" s="5">
        <v>5042</v>
      </c>
      <c r="B5103" s="1832">
        <f>'Revenues 9-14'!C84</f>
        <v>55486</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55486</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15950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14814</v>
      </c>
      <c r="D5118" s="2" t="str">
        <f t="shared" si="78"/>
        <v>Error?</v>
      </c>
    </row>
    <row r="5119" spans="1:4" x14ac:dyDescent="0.2">
      <c r="A5119" s="5">
        <v>5058</v>
      </c>
      <c r="B5119" s="1832">
        <f>'Revenues 9-14'!C107</f>
        <v>54515</v>
      </c>
      <c r="D5119" s="2" t="str">
        <f t="shared" ref="D5119:D5182" si="79">IF(ISBLANK(B5119),"OK",IF(A5119-B5119=0,"OK","Error?"))</f>
        <v>Error?</v>
      </c>
    </row>
    <row r="5120" spans="1:4" x14ac:dyDescent="0.2">
      <c r="A5120" s="5">
        <v>5059</v>
      </c>
      <c r="B5120" s="1832">
        <f>'Revenues 9-14'!C108</f>
        <v>93768</v>
      </c>
      <c r="C5120" s="2" t="s">
        <v>569</v>
      </c>
      <c r="D5120" s="2" t="str">
        <f t="shared" si="79"/>
        <v>Error?</v>
      </c>
    </row>
    <row r="5121" spans="1:4" x14ac:dyDescent="0.2">
      <c r="A5121" s="5">
        <v>5060</v>
      </c>
      <c r="B5121" s="1832">
        <f>'Revenues 9-14'!C109</f>
        <v>3630232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5806362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5806362</v>
      </c>
      <c r="C5132" s="2" t="s">
        <v>569</v>
      </c>
      <c r="D5132" s="2" t="str">
        <f t="shared" si="79"/>
        <v>Error?</v>
      </c>
    </row>
    <row r="5133" spans="1:4" x14ac:dyDescent="0.2">
      <c r="A5133" s="5">
        <v>5072</v>
      </c>
      <c r="B5133" s="1832">
        <f>'Revenues 9-14'!C125</f>
        <v>186877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116759</v>
      </c>
      <c r="D5135" s="2" t="str">
        <f t="shared" si="79"/>
        <v>Error?</v>
      </c>
    </row>
    <row r="5136" spans="1:4" x14ac:dyDescent="0.2">
      <c r="A5136" s="10">
        <v>5075</v>
      </c>
      <c r="B5136" s="1832"/>
      <c r="D5136" s="2" t="str">
        <f t="shared" si="79"/>
        <v>OK</v>
      </c>
    </row>
    <row r="5137" spans="1:4" x14ac:dyDescent="0.2">
      <c r="A5137" s="5">
        <v>5076</v>
      </c>
      <c r="B5137" s="1832">
        <f>'Revenues 9-14'!C128</f>
        <v>31831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335467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9789</v>
      </c>
      <c r="D5167" s="2" t="str">
        <f t="shared" si="79"/>
        <v>Error?</v>
      </c>
    </row>
    <row r="5168" spans="1:4" x14ac:dyDescent="0.2">
      <c r="A5168" s="5">
        <v>5107</v>
      </c>
      <c r="B5168" s="1832">
        <f>'Revenues 9-14'!C148</f>
        <v>11525</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616451</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973232</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6779594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388541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169377</v>
      </c>
      <c r="D5241" s="2" t="str">
        <f t="shared" si="80"/>
        <v>Error?</v>
      </c>
    </row>
    <row r="5242" spans="1:4" x14ac:dyDescent="0.2">
      <c r="A5242" s="5">
        <v>5181</v>
      </c>
      <c r="B5242" s="1832">
        <f>'Revenues 9-14'!C194</f>
        <v>182257</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740175</v>
      </c>
      <c r="C5246" s="2" t="s">
        <v>569</v>
      </c>
      <c r="D5246" s="2" t="str">
        <f t="shared" si="80"/>
        <v>Error?</v>
      </c>
    </row>
    <row r="5247" spans="1:4" x14ac:dyDescent="0.2">
      <c r="A5247" s="5">
        <v>5186</v>
      </c>
      <c r="B5247" s="1832">
        <f>'Revenues 9-14'!C200</f>
        <v>423001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557867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17170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184264</v>
      </c>
      <c r="D5278" s="2" t="str">
        <f t="shared" si="81"/>
        <v>Error?</v>
      </c>
    </row>
    <row r="5279" spans="1:4" x14ac:dyDescent="0.2">
      <c r="A5279" s="5">
        <v>5218</v>
      </c>
      <c r="B5279" s="1832">
        <f>'Revenues 9-14'!C214</f>
        <v>157031</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358465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1849858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1849858</v>
      </c>
      <c r="C5326" s="2" t="s">
        <v>569</v>
      </c>
      <c r="D5326" s="2" t="str">
        <f t="shared" si="82"/>
        <v>Error?</v>
      </c>
    </row>
    <row r="5327" spans="1:5" x14ac:dyDescent="0.2">
      <c r="A5327" s="5">
        <v>5266</v>
      </c>
      <c r="B5327" s="1832">
        <f>'Revenues 9-14'!C268</f>
        <v>12259684</v>
      </c>
      <c r="C5327" s="2" t="s">
        <v>569</v>
      </c>
      <c r="D5327" s="2" t="str">
        <f t="shared" si="82"/>
        <v>Error?</v>
      </c>
    </row>
    <row r="5328" spans="1:5" x14ac:dyDescent="0.2">
      <c r="A5328" s="5">
        <v>5267</v>
      </c>
      <c r="B5328" s="1832">
        <f>'Revenues 9-14'!D5</f>
        <v>656450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656450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92782</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92782</v>
      </c>
      <c r="C5339" s="2" t="s">
        <v>569</v>
      </c>
      <c r="D5339" s="2" t="str">
        <f t="shared" si="82"/>
        <v>Error?</v>
      </c>
    </row>
    <row r="5340" spans="1:4" x14ac:dyDescent="0.2">
      <c r="A5340" s="5">
        <v>5279</v>
      </c>
      <c r="B5340" s="1832">
        <f>'Revenues 9-14'!D65</f>
        <v>397</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397</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3159</v>
      </c>
      <c r="D5354" s="2" t="str">
        <f t="shared" si="82"/>
        <v>Error?</v>
      </c>
    </row>
    <row r="5355" spans="1:4" x14ac:dyDescent="0.2">
      <c r="A5355" s="5">
        <v>5294</v>
      </c>
      <c r="B5355" s="1832">
        <f>'Revenues 9-14'!D108</f>
        <v>3159</v>
      </c>
      <c r="C5355" s="2" t="s">
        <v>569</v>
      </c>
      <c r="D5355" s="2" t="str">
        <f t="shared" si="82"/>
        <v>Error?</v>
      </c>
    </row>
    <row r="5356" spans="1:4" x14ac:dyDescent="0.2">
      <c r="A5356" s="5">
        <v>5295</v>
      </c>
      <c r="B5356" s="1832">
        <f>'Revenues 9-14'!D109</f>
        <v>752788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600000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600000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600000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1352788</v>
      </c>
      <c r="C5508" s="2" t="s">
        <v>569</v>
      </c>
      <c r="D5508" s="2" t="str">
        <f t="shared" si="85"/>
        <v>Error?</v>
      </c>
    </row>
    <row r="5509" spans="1:4" x14ac:dyDescent="0.2">
      <c r="A5509" s="5">
        <v>5448</v>
      </c>
      <c r="B5509" s="1832">
        <f>'Revenues 9-14'!E5</f>
        <v>902140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902140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589</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589</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902729</v>
      </c>
      <c r="C5527" s="2" t="s">
        <v>569</v>
      </c>
      <c r="D5527" s="2" t="str">
        <f t="shared" si="85"/>
        <v>Error?</v>
      </c>
    </row>
    <row r="5528" spans="1:4" x14ac:dyDescent="0.2">
      <c r="A5528" s="5">
        <v>5467</v>
      </c>
      <c r="B5528" s="1832">
        <f>'Revenues 9-14'!E117</f>
        <v>151387</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151387</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151387</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1054116</v>
      </c>
      <c r="C5552" s="2" t="s">
        <v>569</v>
      </c>
      <c r="D5552" s="2" t="str">
        <f t="shared" si="85"/>
        <v>Error?</v>
      </c>
    </row>
    <row r="5553" spans="1:4" x14ac:dyDescent="0.2">
      <c r="A5553" s="5">
        <v>5492</v>
      </c>
      <c r="B5553" s="1832">
        <f>'Revenues 9-14'!F5</f>
        <v>333783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333783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174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174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15081</v>
      </c>
      <c r="D5586" s="2" t="str">
        <f t="shared" si="86"/>
        <v>Error?</v>
      </c>
    </row>
    <row r="5587" spans="1:4" x14ac:dyDescent="0.2">
      <c r="A5587" s="5">
        <v>5526</v>
      </c>
      <c r="B5587" s="1832">
        <f>'Revenues 9-14'!F108</f>
        <v>15081</v>
      </c>
      <c r="C5587" s="2" t="s">
        <v>569</v>
      </c>
      <c r="D5587" s="2" t="str">
        <f t="shared" si="86"/>
        <v>Error?</v>
      </c>
    </row>
    <row r="5588" spans="1:4" x14ac:dyDescent="0.2">
      <c r="A5588" s="5">
        <v>5527</v>
      </c>
      <c r="B5588" s="1832">
        <f>'Revenues 9-14'!F109</f>
        <v>349038</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300000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300000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124655</v>
      </c>
      <c r="D5615" s="2" t="str">
        <f t="shared" si="86"/>
        <v>Error?</v>
      </c>
    </row>
    <row r="5616" spans="1:4" x14ac:dyDescent="0.2">
      <c r="A5616" s="10">
        <v>5555</v>
      </c>
      <c r="B5616" s="1832"/>
      <c r="D5616" s="2" t="str">
        <f t="shared" si="86"/>
        <v>OK</v>
      </c>
    </row>
    <row r="5617" spans="1:5" x14ac:dyDescent="0.2">
      <c r="A5617" s="5">
        <v>5556</v>
      </c>
      <c r="B5617" s="1832">
        <f>'Revenues 9-14'!F153</f>
        <v>142178</v>
      </c>
      <c r="D5617" s="2" t="str">
        <f t="shared" si="86"/>
        <v>Error?</v>
      </c>
    </row>
    <row r="5618" spans="1:5" x14ac:dyDescent="0.2">
      <c r="A5618" s="5">
        <v>5557</v>
      </c>
      <c r="B5618" s="1832">
        <f>'Revenues 9-14'!F155</f>
        <v>266833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266833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566833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915871</v>
      </c>
      <c r="C5720" s="2" t="s">
        <v>569</v>
      </c>
      <c r="D5720" s="2" t="str">
        <f t="shared" si="88"/>
        <v>Error?</v>
      </c>
    </row>
    <row r="5721" spans="1:4" x14ac:dyDescent="0.2">
      <c r="A5721" s="5">
        <v>5660</v>
      </c>
      <c r="B5721" s="1832">
        <f>'Revenues 9-14'!G5</f>
        <v>176579</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222149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398728</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330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330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399058</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22503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22503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749749</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822252</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399058</v>
      </c>
      <c r="C6024" s="2" t="s">
        <v>569</v>
      </c>
      <c r="D6024" s="2" t="str">
        <f t="shared" si="93"/>
        <v>Error?</v>
      </c>
    </row>
    <row r="6025" spans="1:5" x14ac:dyDescent="0.2">
      <c r="A6025" s="5">
        <v>5964</v>
      </c>
      <c r="B6025" s="1832">
        <f>'Revenues 9-14'!H109</f>
        <v>772252</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8967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56381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1160.2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1351310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589116</v>
      </c>
      <c r="D6267" s="2" t="str">
        <f t="shared" si="96"/>
        <v>Error?</v>
      </c>
      <c r="E6267" s="2" t="s">
        <v>189</v>
      </c>
    </row>
    <row r="6268" spans="1:5" x14ac:dyDescent="0.2">
      <c r="A6268">
        <v>6207</v>
      </c>
      <c r="B6268" s="1832">
        <f>'Acct Summary 7-8'!D82</f>
        <v>70414</v>
      </c>
      <c r="D6268" s="2" t="str">
        <f t="shared" si="96"/>
        <v>Error?</v>
      </c>
      <c r="E6268" s="2" t="s">
        <v>189</v>
      </c>
    </row>
    <row r="6269" spans="1:5" x14ac:dyDescent="0.2">
      <c r="A6269">
        <v>6208</v>
      </c>
      <c r="B6269" s="1832">
        <f>'Acct Summary 7-8'!E82</f>
        <v>-47183</v>
      </c>
      <c r="D6269" s="2" t="str">
        <f t="shared" si="96"/>
        <v>Error?</v>
      </c>
      <c r="E6269" s="2" t="s">
        <v>189</v>
      </c>
    </row>
    <row r="6270" spans="1:5" x14ac:dyDescent="0.2">
      <c r="A6270">
        <v>6209</v>
      </c>
      <c r="B6270" s="1832">
        <f>'Acct Summary 7-8'!F82</f>
        <v>136091</v>
      </c>
      <c r="D6270" s="2" t="str">
        <f t="shared" si="96"/>
        <v>Error?</v>
      </c>
      <c r="E6270" s="2" t="s">
        <v>189</v>
      </c>
    </row>
    <row r="6271" spans="1:5" x14ac:dyDescent="0.2">
      <c r="A6271">
        <v>6210</v>
      </c>
      <c r="B6271" s="1832">
        <f>'Acct Summary 7-8'!G82</f>
        <v>-5765</v>
      </c>
      <c r="D6271" s="2" t="str">
        <f t="shared" ref="D6271:D6334" si="97">IF(ISBLANK(B6271),"OK",IF(A6271-B6271=0,"OK","Error?"))</f>
        <v>Error?</v>
      </c>
      <c r="E6271" s="2" t="s">
        <v>189</v>
      </c>
    </row>
    <row r="6272" spans="1:5" x14ac:dyDescent="0.2">
      <c r="A6272">
        <v>6211</v>
      </c>
      <c r="B6272" s="1832">
        <f>'Acct Summary 7-8'!H82</f>
        <v>7352681</v>
      </c>
      <c r="D6272" s="2" t="str">
        <f t="shared" si="97"/>
        <v>Error?</v>
      </c>
      <c r="E6272" s="2" t="s">
        <v>189</v>
      </c>
    </row>
    <row r="6273" spans="1:5" x14ac:dyDescent="0.2">
      <c r="A6273">
        <v>6212</v>
      </c>
      <c r="B6273" s="1832">
        <f>'Acct Summary 7-8'!I82</f>
        <v>-128568</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6.2553768127729822E-2</v>
      </c>
      <c r="D6276" s="2" t="str">
        <f t="shared" si="97"/>
        <v>Error?</v>
      </c>
      <c r="E6276" s="2" t="s">
        <v>189</v>
      </c>
    </row>
    <row r="6277" spans="1:5" x14ac:dyDescent="0.2">
      <c r="A6277">
        <v>6216</v>
      </c>
      <c r="B6277" s="1832">
        <f>'Acct Summary 7-8'!D83</f>
        <v>5.3827613120624035E-2</v>
      </c>
      <c r="D6277" s="2" t="str">
        <f t="shared" si="97"/>
        <v>Error?</v>
      </c>
      <c r="E6277" s="2" t="s">
        <v>189</v>
      </c>
    </row>
    <row r="6278" spans="1:5" x14ac:dyDescent="0.2">
      <c r="A6278">
        <v>6217</v>
      </c>
      <c r="B6278" s="1832">
        <f>'Acct Summary 7-8'!E83</f>
        <v>-6.6019664717545307E-2</v>
      </c>
      <c r="D6278" s="2" t="str">
        <f t="shared" si="97"/>
        <v>Error?</v>
      </c>
      <c r="E6278" s="2" t="s">
        <v>189</v>
      </c>
    </row>
    <row r="6279" spans="1:5" x14ac:dyDescent="0.2">
      <c r="A6279">
        <v>6218</v>
      </c>
      <c r="B6279" s="1832">
        <f>'Acct Summary 7-8'!F83</f>
        <v>0.12420121745320471</v>
      </c>
      <c r="D6279" s="2" t="str">
        <f t="shared" si="97"/>
        <v>Error?</v>
      </c>
      <c r="E6279" s="2" t="s">
        <v>189</v>
      </c>
    </row>
    <row r="6280" spans="1:5" x14ac:dyDescent="0.2">
      <c r="A6280">
        <v>6219</v>
      </c>
      <c r="B6280" s="1832">
        <f>'Acct Summary 7-8'!G83</f>
        <v>-1.4967883310225933E-2</v>
      </c>
      <c r="D6280" s="2" t="str">
        <f t="shared" si="97"/>
        <v>Error?</v>
      </c>
      <c r="E6280" s="2" t="s">
        <v>189</v>
      </c>
    </row>
    <row r="6281" spans="1:5" x14ac:dyDescent="0.2">
      <c r="A6281">
        <v>6220</v>
      </c>
      <c r="B6281" s="1832">
        <f>'Acct Summary 7-8'!H83</f>
        <v>0.99877121224408349</v>
      </c>
      <c r="D6281" s="2" t="str">
        <f t="shared" si="97"/>
        <v>Error?</v>
      </c>
      <c r="E6281" s="2" t="s">
        <v>189</v>
      </c>
    </row>
    <row r="6282" spans="1:5" x14ac:dyDescent="0.2">
      <c r="A6282">
        <v>6221</v>
      </c>
      <c r="B6282" s="1832">
        <f>'Acct Summary 7-8'!I83</f>
        <v>-5.8295189449843909E-2</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0</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8489</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212196</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252972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89987</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10447</v>
      </c>
      <c r="D7073" s="2" t="str">
        <f t="shared" si="109"/>
        <v>Error?</v>
      </c>
    </row>
    <row r="7074" spans="1:4" x14ac:dyDescent="0.2">
      <c r="A7074">
        <v>7013</v>
      </c>
      <c r="B7074" s="1832">
        <f>'Expenditures 15-22'!K216</f>
        <v>10447</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763</v>
      </c>
      <c r="D7079" s="2" t="str">
        <f t="shared" si="109"/>
        <v>Error?</v>
      </c>
    </row>
    <row r="7080" spans="1:4" x14ac:dyDescent="0.2">
      <c r="A7080">
        <v>7019</v>
      </c>
      <c r="B7080" s="1832">
        <f>'Expenditures 15-22'!K226</f>
        <v>763</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13067</v>
      </c>
      <c r="D7246" s="2" t="str">
        <f t="shared" si="112"/>
        <v>Error?</v>
      </c>
    </row>
    <row r="7247" spans="1:4" x14ac:dyDescent="0.2">
      <c r="A7247">
        <f t="shared" si="113"/>
        <v>7186</v>
      </c>
      <c r="B7247" s="1832">
        <f>'Expenditures 15-22'!E7</f>
        <v>3250</v>
      </c>
      <c r="D7247" s="2" t="str">
        <f t="shared" si="112"/>
        <v>Error?</v>
      </c>
    </row>
    <row r="7248" spans="1:4" x14ac:dyDescent="0.2">
      <c r="A7248">
        <f t="shared" si="113"/>
        <v>7187</v>
      </c>
      <c r="B7248" s="1832">
        <f>'Expenditures 15-22'!F7</f>
        <v>24459</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58544</v>
      </c>
      <c r="D7263" s="2" t="str">
        <f t="shared" si="112"/>
        <v>Error?</v>
      </c>
    </row>
    <row r="7264" spans="1:4" x14ac:dyDescent="0.2">
      <c r="A7264">
        <f t="shared" si="113"/>
        <v>7203</v>
      </c>
      <c r="B7264" s="1832">
        <f>'Expenditures 15-22'!D17</f>
        <v>4574</v>
      </c>
      <c r="D7264" s="2" t="str">
        <f t="shared" si="112"/>
        <v>Error?</v>
      </c>
    </row>
    <row r="7265" spans="1:5" x14ac:dyDescent="0.2">
      <c r="A7265">
        <f t="shared" si="113"/>
        <v>7204</v>
      </c>
      <c r="B7265" s="1832">
        <f>'Expenditures 15-22'!E17</f>
        <v>711</v>
      </c>
      <c r="D7265" s="2" t="str">
        <f t="shared" si="112"/>
        <v>Error?</v>
      </c>
    </row>
    <row r="7266" spans="1:5" x14ac:dyDescent="0.2">
      <c r="A7266">
        <f t="shared" si="113"/>
        <v>7205</v>
      </c>
      <c r="B7266" s="1832">
        <f>'Expenditures 15-22'!F17</f>
        <v>1178</v>
      </c>
      <c r="D7266" s="2" t="str">
        <f t="shared" si="112"/>
        <v>Error?</v>
      </c>
    </row>
    <row r="7267" spans="1:5" x14ac:dyDescent="0.2">
      <c r="A7267">
        <f t="shared" si="113"/>
        <v>7206</v>
      </c>
      <c r="B7267" s="1832">
        <f>'Expenditures 15-22'!G17</f>
        <v>24980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713382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9046</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22503</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8489</v>
      </c>
      <c r="D7712" s="2" t="str">
        <f t="shared" si="126"/>
        <v>Error?</v>
      </c>
      <c r="E7712" s="2" t="s">
        <v>822</v>
      </c>
    </row>
    <row r="7713" spans="1:6" x14ac:dyDescent="0.2">
      <c r="A7713">
        <v>7652</v>
      </c>
      <c r="B7713" s="1832">
        <f>'Rest Tax Levies-Tort Im 25'!J8</f>
        <v>749749</v>
      </c>
      <c r="D7713" s="2" t="str">
        <f t="shared" si="126"/>
        <v>Error?</v>
      </c>
      <c r="E7713" s="2" t="s">
        <v>822</v>
      </c>
    </row>
    <row r="7714" spans="1:6" x14ac:dyDescent="0.2">
      <c r="A7714">
        <v>7653</v>
      </c>
      <c r="B7714" s="1832">
        <f>'Rest Tax Levies-Tort Im 25'!K9</f>
        <v>11525</v>
      </c>
      <c r="D7714" s="2" t="str">
        <f t="shared" si="126"/>
        <v>Error?</v>
      </c>
      <c r="E7714" s="2" t="s">
        <v>822</v>
      </c>
    </row>
    <row r="7715" spans="1:6" x14ac:dyDescent="0.2">
      <c r="A7715">
        <v>7654</v>
      </c>
      <c r="B7715" s="1832">
        <f>'Rest Tax Levies-Tort Im 25'!J10</f>
        <v>4150000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5416200</v>
      </c>
      <c r="D7717" s="2" t="str">
        <f t="shared" si="126"/>
        <v>Error?</v>
      </c>
      <c r="E7717" s="2" t="s">
        <v>822</v>
      </c>
    </row>
    <row r="7718" spans="1:6" x14ac:dyDescent="0.2">
      <c r="A7718">
        <v>7657</v>
      </c>
      <c r="B7718" s="1832">
        <f>'Rest Tax Levies-Tort Im 25'!J12</f>
        <v>10338452</v>
      </c>
      <c r="D7718" s="2" t="str">
        <f t="shared" si="126"/>
        <v>Error?</v>
      </c>
      <c r="E7718" s="2" t="s">
        <v>822</v>
      </c>
    </row>
    <row r="7719" spans="1:6" x14ac:dyDescent="0.2">
      <c r="A7719">
        <v>7658</v>
      </c>
      <c r="B7719" s="1832">
        <f>'Rest Tax Levies-Tort Im 25'!K12</f>
        <v>20014</v>
      </c>
      <c r="D7719" s="2" t="str">
        <f t="shared" si="126"/>
        <v>Error?</v>
      </c>
      <c r="E7719" s="2" t="s">
        <v>822</v>
      </c>
    </row>
    <row r="7720" spans="1:6" x14ac:dyDescent="0.2">
      <c r="A7720">
        <v>7659</v>
      </c>
      <c r="B7720" s="1832">
        <f>'Rest Tax Levies-Tort Im 25'!H14</f>
        <v>71384</v>
      </c>
      <c r="D7720" s="2" t="str">
        <f t="shared" si="126"/>
        <v>Error?</v>
      </c>
      <c r="E7720" s="2" t="s">
        <v>822</v>
      </c>
    </row>
    <row r="7721" spans="1:6" x14ac:dyDescent="0.2">
      <c r="A7721">
        <v>7660</v>
      </c>
      <c r="B7721" s="1832">
        <f>'Rest Tax Levies-Tort Im 25'!K14</f>
        <v>20014</v>
      </c>
      <c r="D7721" s="2" t="str">
        <f t="shared" si="126"/>
        <v>Error?</v>
      </c>
      <c r="E7721" s="2" t="s">
        <v>822</v>
      </c>
    </row>
    <row r="7722" spans="1:6" x14ac:dyDescent="0.2">
      <c r="A7722">
        <v>7661</v>
      </c>
      <c r="B7722" s="1832">
        <f>'Rest Tax Levies-Tort Im 25'!J15</f>
        <v>2929571</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2985771</v>
      </c>
      <c r="D7730" s="2" t="str">
        <f t="shared" si="126"/>
        <v>Error?</v>
      </c>
      <c r="E7730" s="2" t="s">
        <v>822</v>
      </c>
    </row>
    <row r="7731" spans="1:6" x14ac:dyDescent="0.2">
      <c r="A7731">
        <v>7670</v>
      </c>
      <c r="B7731" s="1832">
        <f>'Revenues 9-14'!H103</f>
        <v>749749</v>
      </c>
      <c r="D7731" s="2" t="str">
        <f t="shared" si="126"/>
        <v>Error?</v>
      </c>
      <c r="E7731" s="2" t="s">
        <v>822</v>
      </c>
    </row>
    <row r="7732" spans="1:6" x14ac:dyDescent="0.2">
      <c r="A7732">
        <v>7671</v>
      </c>
      <c r="B7732" s="1832">
        <f>'Rest Tax Levies-Tort Im 25'!J24</f>
        <v>7361727</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7361727</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4100000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56200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20014</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17096100</v>
      </c>
      <c r="D7817" s="2" t="str">
        <f t="shared" si="128"/>
        <v>Error?</v>
      </c>
      <c r="E7817" s="4" t="s">
        <v>1963</v>
      </c>
    </row>
    <row r="7818" spans="1:5" x14ac:dyDescent="0.2">
      <c r="A7818">
        <v>7757</v>
      </c>
      <c r="B7818" s="1832">
        <f>'PCTC-OEPP 27-28'!F172</f>
        <v>546285</v>
      </c>
      <c r="D7818" s="2" t="str">
        <f t="shared" si="128"/>
        <v>Error?</v>
      </c>
      <c r="E7818" s="4" t="s">
        <v>1977</v>
      </c>
    </row>
    <row r="7819" spans="1:5" x14ac:dyDescent="0.2">
      <c r="A7819">
        <v>7758</v>
      </c>
      <c r="B7819" s="1832">
        <f>'PCTC-OEPP 27-28'!F173</f>
        <v>719</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15798412</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252972</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0</v>
      </c>
      <c r="D7830" s="2" t="str">
        <f t="shared" si="129"/>
        <v>Error?</v>
      </c>
      <c r="E7830" s="4" t="s">
        <v>1995</v>
      </c>
    </row>
    <row r="7831" spans="1:5" x14ac:dyDescent="0.2">
      <c r="A7831">
        <v>7770</v>
      </c>
      <c r="B7831" s="1832">
        <f>'PCTC-OEPP 27-28'!F52</f>
        <v>145785</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3680621</v>
      </c>
      <c r="D7834" s="2" t="str">
        <f t="shared" si="129"/>
        <v>Error?</v>
      </c>
      <c r="E7834" s="4" t="s">
        <v>1995</v>
      </c>
    </row>
    <row r="7835" spans="1:5" x14ac:dyDescent="0.2">
      <c r="A7835">
        <v>7774</v>
      </c>
      <c r="B7835" s="1832">
        <f>'PCTC-OEPP 27-28'!F78</f>
        <v>12117791</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10444.570763661437</v>
      </c>
      <c r="D7837" s="2" t="str">
        <f t="shared" si="129"/>
        <v>Error?</v>
      </c>
      <c r="E7837" s="4" t="s">
        <v>1995</v>
      </c>
    </row>
    <row r="7838" spans="1:5" x14ac:dyDescent="0.2">
      <c r="A7838">
        <v>7777</v>
      </c>
      <c r="B7838" s="1832">
        <f>'PCTC-OEPP 27-28'!F96</f>
        <v>63090</v>
      </c>
      <c r="D7838" s="2" t="str">
        <f t="shared" si="129"/>
        <v>Error?</v>
      </c>
      <c r="E7838" s="4" t="s">
        <v>1995</v>
      </c>
    </row>
    <row r="7839" spans="1:5" x14ac:dyDescent="0.2">
      <c r="A7839">
        <v>7778</v>
      </c>
      <c r="B7839" s="1832">
        <f>'PCTC-OEPP 27-28'!F102</f>
        <v>0</v>
      </c>
      <c r="D7839" s="2" t="str">
        <f t="shared" si="129"/>
        <v>Error?</v>
      </c>
      <c r="E7839" s="4" t="s">
        <v>1995</v>
      </c>
    </row>
    <row r="7840" spans="1:5" x14ac:dyDescent="0.2">
      <c r="A7840">
        <v>7779</v>
      </c>
      <c r="B7840" s="1832">
        <f>'PCTC-OEPP 27-28'!F103</f>
        <v>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335467</v>
      </c>
      <c r="D7842" s="2" t="str">
        <f t="shared" si="129"/>
        <v>Error?</v>
      </c>
      <c r="E7842" s="4" t="s">
        <v>1995</v>
      </c>
    </row>
    <row r="7843" spans="1:5" x14ac:dyDescent="0.2">
      <c r="A7843">
        <v>7782</v>
      </c>
      <c r="B7843" s="1832">
        <f>'PCTC-OEPP 27-28'!F107</f>
        <v>0</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11525</v>
      </c>
      <c r="D7846" s="2" t="str">
        <f t="shared" si="129"/>
        <v>Error?</v>
      </c>
      <c r="E7846" s="4" t="s">
        <v>1995</v>
      </c>
    </row>
    <row r="7847" spans="1:5" x14ac:dyDescent="0.2">
      <c r="A7847">
        <v>7786</v>
      </c>
      <c r="B7847" s="1832">
        <f>'PCTC-OEPP 27-28'!F112</f>
        <v>266833</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740175</v>
      </c>
      <c r="D7858" s="2" t="str">
        <f t="shared" si="129"/>
        <v>Error?</v>
      </c>
      <c r="E7858" s="4" t="s">
        <v>1995</v>
      </c>
    </row>
    <row r="7859" spans="1:5" x14ac:dyDescent="0.2">
      <c r="A7859">
        <v>7798</v>
      </c>
      <c r="B7859" s="1832">
        <f>'PCTC-OEPP 27-28'!F127</f>
        <v>557867</v>
      </c>
      <c r="D7859" s="2" t="str">
        <f t="shared" si="129"/>
        <v>Error?</v>
      </c>
      <c r="E7859" s="4" t="s">
        <v>1995</v>
      </c>
    </row>
    <row r="7860" spans="1:5" x14ac:dyDescent="0.2">
      <c r="A7860">
        <v>7799</v>
      </c>
      <c r="B7860" s="1832">
        <f>'PCTC-OEPP 27-28'!F128</f>
        <v>0</v>
      </c>
      <c r="D7860" s="2" t="str">
        <f t="shared" si="129"/>
        <v>Error?</v>
      </c>
      <c r="E7860" s="4" t="s">
        <v>1995</v>
      </c>
    </row>
    <row r="7861" spans="1:5" x14ac:dyDescent="0.2">
      <c r="A7861">
        <v>7800</v>
      </c>
      <c r="B7861" s="1832">
        <f>'PCTC-OEPP 27-28'!F129</f>
        <v>184264</v>
      </c>
      <c r="D7861" s="2" t="str">
        <f t="shared" si="129"/>
        <v>Error?</v>
      </c>
      <c r="E7861" s="4" t="s">
        <v>1995</v>
      </c>
    </row>
    <row r="7862" spans="1:5" x14ac:dyDescent="0.2">
      <c r="A7862">
        <v>7801</v>
      </c>
      <c r="B7862" s="1832">
        <f>'PCTC-OEPP 27-28'!F130</f>
        <v>157031</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0</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70261</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11901</v>
      </c>
      <c r="D7874" s="2" t="str">
        <f t="shared" si="129"/>
        <v>Error?</v>
      </c>
      <c r="E7874" s="4" t="s">
        <v>1995</v>
      </c>
    </row>
    <row r="7875" spans="1:5" x14ac:dyDescent="0.2">
      <c r="A7875">
        <v>7814</v>
      </c>
      <c r="B7875" s="1832">
        <f>'PCTC-OEPP 27-28'!F170</f>
        <v>111189</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3145663</v>
      </c>
      <c r="D7877" s="2" t="str">
        <f t="shared" si="129"/>
        <v>Error?</v>
      </c>
      <c r="E7877" s="4" t="s">
        <v>1995</v>
      </c>
    </row>
    <row r="7878" spans="1:5" x14ac:dyDescent="0.2">
      <c r="A7878">
        <v>7817</v>
      </c>
      <c r="B7878" s="1832">
        <f>'PCTC-OEPP 27-28'!F176</f>
        <v>8972128</v>
      </c>
      <c r="D7878" s="2" t="str">
        <f t="shared" si="129"/>
        <v>Error?</v>
      </c>
      <c r="E7878" s="4" t="s">
        <v>1995</v>
      </c>
    </row>
    <row r="7879" spans="1:5" x14ac:dyDescent="0.2">
      <c r="A7879">
        <v>7818</v>
      </c>
      <c r="B7879" s="1832">
        <f>'PCTC-OEPP 27-28'!F178</f>
        <v>9685510</v>
      </c>
      <c r="D7879" s="2" t="str">
        <f t="shared" si="129"/>
        <v>Error?</v>
      </c>
      <c r="E7879" s="4" t="s">
        <v>1995</v>
      </c>
    </row>
    <row r="7880" spans="1:5" x14ac:dyDescent="0.2">
      <c r="A7880">
        <v>7819</v>
      </c>
      <c r="B7880" s="1832">
        <f>'PCTC-OEPP 27-28'!F180</f>
        <v>8348.138252025512</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sqref="A1:XFD104857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9" t="s">
        <v>1181</v>
      </c>
      <c r="B2" s="2539"/>
      <c r="C2" s="2539"/>
      <c r="D2" s="2539"/>
      <c r="E2" s="2539"/>
      <c r="F2" s="2539"/>
      <c r="G2" s="2539"/>
      <c r="H2" s="2539"/>
      <c r="I2" s="2539"/>
      <c r="J2" s="2539"/>
      <c r="K2" s="2539"/>
      <c r="L2" s="2539"/>
    </row>
    <row r="3" spans="1:29" ht="13.5" customHeight="1" x14ac:dyDescent="0.2">
      <c r="A3" s="2525" t="s">
        <v>1180</v>
      </c>
      <c r="B3" s="2525"/>
      <c r="C3" s="2525"/>
      <c r="D3" s="2525"/>
      <c r="E3" s="2525"/>
      <c r="F3" s="2525"/>
      <c r="G3" s="2525"/>
      <c r="H3" s="2525"/>
      <c r="I3" s="2525"/>
      <c r="J3" s="2525"/>
      <c r="K3" s="2525"/>
      <c r="L3" s="2525"/>
    </row>
    <row r="4" spans="1:29" ht="13.5" customHeight="1" x14ac:dyDescent="0.2">
      <c r="A4" s="2556" t="str">
        <f>"Year Ending June 30, "&amp;'AFR20'!E2</f>
        <v>Year Ending June 30, 2020</v>
      </c>
      <c r="B4" s="2557"/>
      <c r="C4" s="2557"/>
      <c r="D4" s="2557"/>
      <c r="E4" s="2557"/>
      <c r="F4" s="2557"/>
      <c r="G4" s="2557"/>
      <c r="H4" s="2557"/>
      <c r="I4" s="2557"/>
      <c r="J4" s="2557"/>
      <c r="K4" s="2557"/>
      <c r="L4" s="255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9" t="str">
        <f>COVER!A17</f>
        <v xml:space="preserve">   Riverton CUSD 14</v>
      </c>
      <c r="B7" s="2520"/>
      <c r="C7" s="2520"/>
      <c r="D7" s="2558"/>
      <c r="E7" s="2559">
        <f>COVER!A13</f>
        <v>51084014026</v>
      </c>
      <c r="F7" s="2560"/>
      <c r="G7" s="2526" t="str">
        <f>COVER!T23</f>
        <v>066-004886</v>
      </c>
      <c r="H7" s="2527"/>
      <c r="I7" s="2527"/>
      <c r="J7" s="2527"/>
      <c r="K7" s="2527"/>
      <c r="L7" s="2528"/>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9"/>
      <c r="B9" s="2530"/>
      <c r="C9" s="2530"/>
      <c r="D9" s="2530"/>
      <c r="E9" s="2530"/>
      <c r="F9" s="2531"/>
      <c r="G9" s="2532" t="str">
        <f>COVER!T13</f>
        <v>LOY MILLER TALLEY, PC</v>
      </c>
      <c r="H9" s="2533"/>
      <c r="I9" s="2533"/>
      <c r="J9" s="2533"/>
      <c r="K9" s="2533"/>
      <c r="L9" s="2534"/>
    </row>
    <row r="10" spans="1:29" ht="13.5" customHeight="1" x14ac:dyDescent="0.2">
      <c r="A10" s="2516" t="str">
        <f>COVER!A38</f>
        <v>BRAD POLANIN</v>
      </c>
      <c r="B10" s="2517"/>
      <c r="C10" s="2517"/>
      <c r="D10" s="2517"/>
      <c r="E10" s="2517"/>
      <c r="F10" s="2518"/>
      <c r="G10" s="2532" t="str">
        <f>COVER!T17</f>
        <v>#2 CROSSROADS COURT</v>
      </c>
      <c r="H10" s="2545"/>
      <c r="I10" s="2545"/>
      <c r="J10" s="2545"/>
      <c r="K10" s="2545"/>
      <c r="L10" s="2546"/>
    </row>
    <row r="11" spans="1:29" ht="13.5" customHeight="1" x14ac:dyDescent="0.2">
      <c r="A11" s="963" t="s">
        <v>1502</v>
      </c>
      <c r="B11" s="964"/>
      <c r="C11" s="965"/>
      <c r="D11" s="970"/>
      <c r="E11" s="965"/>
      <c r="F11" s="969"/>
      <c r="G11" s="2532" t="str">
        <f>COVER!T19</f>
        <v>ALTON</v>
      </c>
      <c r="H11" s="2545"/>
      <c r="I11" s="2545"/>
      <c r="J11" s="2545"/>
      <c r="K11" s="2545"/>
      <c r="L11" s="2546"/>
    </row>
    <row r="12" spans="1:29" ht="13.5" customHeight="1" x14ac:dyDescent="0.2">
      <c r="A12" s="2550" t="s">
        <v>1501</v>
      </c>
      <c r="B12" s="2551"/>
      <c r="C12" s="2551"/>
      <c r="D12" s="2551"/>
      <c r="E12" s="2551"/>
      <c r="F12" s="2552"/>
      <c r="G12" s="2547"/>
      <c r="H12" s="2548"/>
      <c r="I12" s="2548"/>
      <c r="J12" s="2548"/>
      <c r="K12" s="2548"/>
      <c r="L12" s="2549"/>
    </row>
    <row r="13" spans="1:29" ht="13.5" customHeight="1" x14ac:dyDescent="0.2">
      <c r="A13" s="2532"/>
      <c r="B13" s="2545"/>
      <c r="C13" s="2545"/>
      <c r="D13" s="2545"/>
      <c r="E13" s="2545"/>
      <c r="F13" s="2546"/>
      <c r="G13" s="2540" t="s">
        <v>1503</v>
      </c>
      <c r="H13" s="2541"/>
      <c r="I13" s="2553" t="str">
        <f>COVER!T25</f>
        <v>KEN@LMTCPAS.COM</v>
      </c>
      <c r="J13" s="2554"/>
      <c r="K13" s="2554"/>
      <c r="L13" s="2555"/>
    </row>
    <row r="14" spans="1:29" ht="13.5" customHeight="1" x14ac:dyDescent="0.2">
      <c r="A14" s="2532" t="str">
        <f>COVER!A19</f>
        <v>6425 OLD ROUTE 36</v>
      </c>
      <c r="B14" s="2545"/>
      <c r="C14" s="2545"/>
      <c r="D14" s="2545"/>
      <c r="E14" s="2545"/>
      <c r="F14" s="2546"/>
      <c r="G14" s="974" t="s">
        <v>1175</v>
      </c>
      <c r="H14" s="972"/>
      <c r="I14" s="972"/>
      <c r="J14" s="972"/>
      <c r="K14" s="972"/>
      <c r="L14" s="973"/>
    </row>
    <row r="15" spans="1:29" ht="13.5" customHeight="1" x14ac:dyDescent="0.2">
      <c r="A15" s="2532" t="str">
        <f>COVER!A21</f>
        <v xml:space="preserve">RIVERTON   </v>
      </c>
      <c r="B15" s="2545"/>
      <c r="C15" s="2545"/>
      <c r="D15" s="2545"/>
      <c r="E15" s="2545"/>
      <c r="F15" s="2546"/>
      <c r="G15" s="2542" t="str">
        <f>COVER!T15</f>
        <v xml:space="preserve">KENNETH E. LOY </v>
      </c>
      <c r="H15" s="2543"/>
      <c r="I15" s="2543"/>
      <c r="J15" s="2543"/>
      <c r="K15" s="2543"/>
      <c r="L15" s="2544"/>
    </row>
    <row r="16" spans="1:29" ht="12.2" customHeight="1" x14ac:dyDescent="0.2">
      <c r="A16" s="2522">
        <f>COVER!A25</f>
        <v>62561</v>
      </c>
      <c r="B16" s="2523"/>
      <c r="C16" s="2523"/>
      <c r="D16" s="2523"/>
      <c r="E16" s="2523"/>
      <c r="F16" s="2524"/>
      <c r="G16" s="2535"/>
      <c r="H16" s="2536"/>
      <c r="I16" s="2536"/>
      <c r="J16" s="2536"/>
      <c r="K16" s="2536"/>
      <c r="L16" s="2537"/>
    </row>
    <row r="17" spans="1:13" ht="12.2" customHeight="1" x14ac:dyDescent="0.2">
      <c r="A17" s="2538"/>
      <c r="B17" s="2523"/>
      <c r="C17" s="2523"/>
      <c r="D17" s="2523"/>
      <c r="E17" s="2523"/>
      <c r="F17" s="2524"/>
      <c r="G17" s="974" t="s">
        <v>1174</v>
      </c>
      <c r="H17" s="972"/>
      <c r="I17" s="972"/>
      <c r="J17" s="972"/>
      <c r="K17" s="976" t="s">
        <v>1173</v>
      </c>
      <c r="L17" s="969"/>
      <c r="M17" s="962"/>
    </row>
    <row r="18" spans="1:13" ht="12.2" customHeight="1" x14ac:dyDescent="0.2">
      <c r="A18" s="2516"/>
      <c r="B18" s="2517"/>
      <c r="C18" s="2517"/>
      <c r="D18" s="2517"/>
      <c r="E18" s="2517"/>
      <c r="F18" s="2518"/>
      <c r="G18" s="2519" t="str">
        <f>COVER!T21</f>
        <v>618-465-1196</v>
      </c>
      <c r="H18" s="2520"/>
      <c r="I18" s="2520"/>
      <c r="J18" s="2520"/>
      <c r="K18" s="2519" t="str">
        <f>COVER!X21</f>
        <v>618-465-2900</v>
      </c>
      <c r="L18" s="252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2048</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2048</v>
      </c>
      <c r="C26" s="981" t="s">
        <v>1677</v>
      </c>
    </row>
    <row r="27" spans="1:13" s="977" customFormat="1" ht="9" customHeight="1" x14ac:dyDescent="0.2">
      <c r="B27" s="982"/>
      <c r="C27" s="981"/>
    </row>
    <row r="28" spans="1:13" s="977" customFormat="1" ht="12.2" customHeight="1" x14ac:dyDescent="0.2">
      <c r="A28" s="984"/>
      <c r="B28" s="980" t="s">
        <v>2048</v>
      </c>
      <c r="C28" s="981" t="s">
        <v>1678</v>
      </c>
    </row>
    <row r="29" spans="1:13" s="977" customFormat="1" ht="9" customHeight="1" x14ac:dyDescent="0.2">
      <c r="A29" s="984"/>
      <c r="B29" s="982"/>
      <c r="C29" s="981"/>
    </row>
    <row r="30" spans="1:13" s="977" customFormat="1" ht="12.2" customHeight="1" x14ac:dyDescent="0.2">
      <c r="B30" s="980" t="s">
        <v>2048</v>
      </c>
      <c r="C30" s="981" t="s">
        <v>1545</v>
      </c>
      <c r="D30" s="975"/>
      <c r="E30" s="975"/>
    </row>
    <row r="31" spans="1:13" s="977" customFormat="1" ht="9" customHeight="1" x14ac:dyDescent="0.2">
      <c r="B31" s="982"/>
      <c r="C31" s="981"/>
      <c r="D31" s="975"/>
      <c r="E31" s="975"/>
    </row>
    <row r="32" spans="1:13" s="977" customFormat="1" ht="12.2" customHeight="1" x14ac:dyDescent="0.2">
      <c r="B32" s="980" t="s">
        <v>2048</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2048</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2048</v>
      </c>
      <c r="C38" s="981" t="s">
        <v>1549</v>
      </c>
    </row>
    <row r="39" spans="1:8" ht="9" customHeight="1" x14ac:dyDescent="0.2">
      <c r="B39" s="982"/>
      <c r="C39" s="985"/>
    </row>
    <row r="40" spans="1:8" s="977" customFormat="1" ht="13.5" customHeight="1" x14ac:dyDescent="0.2">
      <c r="B40" s="980" t="s">
        <v>2048</v>
      </c>
      <c r="C40" s="981" t="s">
        <v>1550</v>
      </c>
    </row>
    <row r="41" spans="1:8" ht="9" customHeight="1" x14ac:dyDescent="0.2">
      <c r="A41" s="986"/>
      <c r="B41" s="982"/>
      <c r="C41" s="985"/>
    </row>
    <row r="42" spans="1:8" s="977" customFormat="1" ht="13.5" customHeight="1" x14ac:dyDescent="0.2">
      <c r="B42" s="980" t="s">
        <v>2048</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2048</v>
      </c>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1" t="str">
        <f>'Single Audit Cover'!A7</f>
        <v xml:space="preserve">   Riverton CUSD 14</v>
      </c>
      <c r="B1" s="2562"/>
      <c r="C1" s="2562"/>
      <c r="D1" s="2562"/>
    </row>
    <row r="2" spans="1:11" s="991" customFormat="1" ht="12.75" x14ac:dyDescent="0.2">
      <c r="A2" s="2563">
        <f>'Single Audit Cover'!E7</f>
        <v>51084014026</v>
      </c>
      <c r="B2" s="2564"/>
      <c r="C2" s="2564"/>
      <c r="D2" s="2564"/>
    </row>
    <row r="3" spans="1:11" s="991" customFormat="1" ht="12.75" x14ac:dyDescent="0.2">
      <c r="A3" s="2561" t="s">
        <v>1496</v>
      </c>
      <c r="B3" s="2562"/>
      <c r="C3" s="2562"/>
      <c r="D3" s="2562"/>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21" sqref="F2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6" t="str">
        <f>'Single Audit Cover'!A7</f>
        <v xml:space="preserve">   Riverton CUSD 14</v>
      </c>
      <c r="B1" s="2566"/>
      <c r="C1" s="2566"/>
      <c r="D1" s="2566"/>
      <c r="E1" s="2566"/>
    </row>
    <row r="2" spans="1:5" x14ac:dyDescent="0.2">
      <c r="A2" s="2567">
        <f>'Single Audit Cover'!E7</f>
        <v>51084014026</v>
      </c>
      <c r="B2" s="2567"/>
      <c r="C2" s="2567"/>
      <c r="D2" s="2567"/>
      <c r="E2" s="2567"/>
    </row>
    <row r="3" spans="1:5" ht="4.5" customHeight="1" x14ac:dyDescent="0.2"/>
    <row r="4" spans="1:5" x14ac:dyDescent="0.2">
      <c r="A4" s="2566" t="s">
        <v>1234</v>
      </c>
      <c r="B4" s="2566"/>
      <c r="C4" s="2566"/>
      <c r="D4" s="2566"/>
      <c r="E4" s="2566"/>
    </row>
    <row r="5" spans="1:5" x14ac:dyDescent="0.2">
      <c r="A5" s="2569" t="str">
        <f>'Single Audit Cover'!A4</f>
        <v>Year Ending June 30, 2020</v>
      </c>
      <c r="B5" s="2569"/>
      <c r="C5" s="2569"/>
      <c r="D5" s="2569"/>
      <c r="E5" s="2569"/>
    </row>
    <row r="6" spans="1:5" x14ac:dyDescent="0.2">
      <c r="A6" s="2566" t="s">
        <v>1233</v>
      </c>
      <c r="B6" s="2566"/>
      <c r="C6" s="2566"/>
      <c r="D6" s="2566"/>
      <c r="E6" s="2566"/>
    </row>
    <row r="8" spans="1:5" x14ac:dyDescent="0.2">
      <c r="A8" s="1036" t="s">
        <v>1232</v>
      </c>
    </row>
    <row r="10" spans="1:5" x14ac:dyDescent="0.2">
      <c r="A10" s="1037" t="s">
        <v>1231</v>
      </c>
      <c r="B10" s="1038" t="s">
        <v>1230</v>
      </c>
      <c r="C10" s="1038"/>
      <c r="D10" s="1039">
        <f>SUM('Acct Summary 7-8'!C7:K7)</f>
        <v>1849858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56381</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-111189</v>
      </c>
    </row>
    <row r="19" spans="1:4" ht="13.5" thickBot="1" x14ac:dyDescent="0.25">
      <c r="A19" s="1041" t="s">
        <v>1224</v>
      </c>
      <c r="D19" s="1042">
        <f>SUM(D10:D17)</f>
        <v>1795050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8"/>
      <c r="B24" s="2568"/>
      <c r="D24" s="1044"/>
    </row>
    <row r="25" spans="1:4" x14ac:dyDescent="0.2">
      <c r="A25" s="2565"/>
      <c r="B25" s="2565"/>
      <c r="D25" s="1044"/>
    </row>
    <row r="26" spans="1:4" x14ac:dyDescent="0.2">
      <c r="A26" s="2565"/>
      <c r="B26" s="2565"/>
      <c r="D26" s="1044"/>
    </row>
    <row r="27" spans="1:4" x14ac:dyDescent="0.2">
      <c r="A27" s="2565"/>
      <c r="B27" s="2565"/>
      <c r="D27" s="1044"/>
    </row>
    <row r="28" spans="1:4" x14ac:dyDescent="0.2">
      <c r="A28" s="2565"/>
      <c r="B28" s="2565"/>
      <c r="D28" s="1044"/>
    </row>
    <row r="29" spans="1:4" x14ac:dyDescent="0.2">
      <c r="A29" s="2565"/>
      <c r="B29" s="2565"/>
      <c r="D29" s="1044"/>
    </row>
    <row r="30" spans="1:4" x14ac:dyDescent="0.2">
      <c r="A30" s="2565"/>
      <c r="B30" s="2565"/>
      <c r="D30" s="1044"/>
    </row>
    <row r="32" spans="1:4" x14ac:dyDescent="0.2">
      <c r="A32" s="1036" t="s">
        <v>1222</v>
      </c>
      <c r="D32" s="1039">
        <f>SUM(D19:D30)</f>
        <v>1795050</v>
      </c>
    </row>
    <row r="33" spans="1:4" x14ac:dyDescent="0.2">
      <c r="D33" s="1045"/>
    </row>
    <row r="34" spans="1:4" x14ac:dyDescent="0.2">
      <c r="A34" s="295" t="s">
        <v>1221</v>
      </c>
    </row>
    <row r="35" spans="1:4" x14ac:dyDescent="0.2">
      <c r="A35" s="295" t="s">
        <v>1220</v>
      </c>
      <c r="B35" s="1034" t="s">
        <v>1219</v>
      </c>
      <c r="D35" s="1046">
        <f>SUM(' SEFA (5)'!F27)</f>
        <v>1795050</v>
      </c>
    </row>
    <row r="37" spans="1:4" x14ac:dyDescent="0.2">
      <c r="A37" s="1036" t="s">
        <v>1218</v>
      </c>
    </row>
    <row r="39" spans="1:4" ht="13.35" customHeight="1" x14ac:dyDescent="0.2">
      <c r="A39" s="1043" t="s">
        <v>1217</v>
      </c>
    </row>
    <row r="40" spans="1:4" x14ac:dyDescent="0.2">
      <c r="A40" s="2565"/>
      <c r="B40" s="2565"/>
      <c r="D40" s="1044"/>
    </row>
    <row r="41" spans="1:4" x14ac:dyDescent="0.2">
      <c r="A41" s="2565"/>
      <c r="B41" s="2565"/>
      <c r="D41" s="1047"/>
    </row>
    <row r="42" spans="1:4" x14ac:dyDescent="0.2">
      <c r="A42" s="2565"/>
      <c r="B42" s="2565"/>
      <c r="D42" s="1047"/>
    </row>
    <row r="43" spans="1:4" x14ac:dyDescent="0.2">
      <c r="A43" s="2565"/>
      <c r="B43" s="2565"/>
      <c r="D43" s="1047"/>
    </row>
    <row r="44" spans="1:4" x14ac:dyDescent="0.2">
      <c r="A44" s="2565"/>
      <c r="B44" s="2565"/>
      <c r="D44" s="1047"/>
    </row>
    <row r="45" spans="1:4" x14ac:dyDescent="0.2">
      <c r="A45" s="2565"/>
      <c r="B45" s="2565"/>
      <c r="D45" s="1047"/>
    </row>
    <row r="47" spans="1:4" x14ac:dyDescent="0.2">
      <c r="B47" s="1048" t="s">
        <v>1216</v>
      </c>
      <c r="C47" s="1048"/>
      <c r="D47" s="1049">
        <f>SUM(D35:D45)</f>
        <v>1795050</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K49" sqref="K4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Riverton CUSD 14</v>
      </c>
      <c r="C1" s="2570"/>
      <c r="D1" s="2570"/>
      <c r="E1" s="2570"/>
      <c r="F1" s="2570"/>
      <c r="G1" s="2570"/>
      <c r="H1" s="2570"/>
      <c r="I1" s="2570"/>
      <c r="J1" s="2570"/>
      <c r="K1" s="2570"/>
      <c r="L1" s="2570"/>
      <c r="M1" s="2570"/>
    </row>
    <row r="2" spans="2:14" ht="15" x14ac:dyDescent="0.2">
      <c r="B2" s="2571">
        <f>'Single Audit Cover'!E7</f>
        <v>51084014026</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2081</v>
      </c>
      <c r="C11" s="2037"/>
      <c r="D11" s="2038"/>
      <c r="E11" s="1823"/>
      <c r="F11" s="1823"/>
      <c r="G11" s="1823"/>
      <c r="H11" s="1823"/>
      <c r="I11" s="1823"/>
      <c r="J11" s="1823"/>
      <c r="K11" s="1823"/>
      <c r="L11" s="1823">
        <f>+G11+I11+K11</f>
        <v>0</v>
      </c>
      <c r="M11" s="1823"/>
    </row>
    <row r="12" spans="2:14" ht="20.100000000000001" customHeight="1" x14ac:dyDescent="0.2">
      <c r="B12" s="1113" t="s">
        <v>2082</v>
      </c>
      <c r="C12" s="2039"/>
      <c r="D12" s="2040"/>
      <c r="E12" s="1826"/>
      <c r="F12" s="1826"/>
      <c r="G12" s="1826"/>
      <c r="H12" s="1826"/>
      <c r="I12" s="1826"/>
      <c r="J12" s="1826"/>
      <c r="K12" s="1826"/>
      <c r="L12" s="1823">
        <f t="shared" ref="L12:L27" si="0">+G12+I12+K12</f>
        <v>0</v>
      </c>
      <c r="M12" s="1826"/>
    </row>
    <row r="13" spans="2:14" ht="20.100000000000001" customHeight="1" x14ac:dyDescent="0.2">
      <c r="B13" s="1113"/>
      <c r="C13" s="2039"/>
      <c r="D13" s="2040"/>
      <c r="E13" s="1826"/>
      <c r="F13" s="1826"/>
      <c r="G13" s="1826"/>
      <c r="H13" s="1826"/>
      <c r="I13" s="1826"/>
      <c r="J13" s="1826"/>
      <c r="K13" s="1826"/>
      <c r="L13" s="1823">
        <f t="shared" si="0"/>
        <v>0</v>
      </c>
      <c r="M13" s="1826"/>
    </row>
    <row r="14" spans="2:14" ht="20.100000000000001" customHeight="1" x14ac:dyDescent="0.2">
      <c r="B14" s="1113" t="s">
        <v>2083</v>
      </c>
      <c r="C14" s="2039"/>
      <c r="D14" s="2040"/>
      <c r="E14" s="1826"/>
      <c r="F14" s="1826"/>
      <c r="G14" s="1826"/>
      <c r="H14" s="1826"/>
      <c r="I14" s="1826"/>
      <c r="J14" s="1826"/>
      <c r="K14" s="1826"/>
      <c r="L14" s="1823">
        <f t="shared" si="0"/>
        <v>0</v>
      </c>
      <c r="M14" s="1826"/>
    </row>
    <row r="15" spans="2:14" ht="20.100000000000001" customHeight="1" x14ac:dyDescent="0.2">
      <c r="B15" s="1113" t="s">
        <v>2084</v>
      </c>
      <c r="C15" s="2039">
        <v>10.555</v>
      </c>
      <c r="D15" s="2040" t="s">
        <v>2094</v>
      </c>
      <c r="E15" s="1826"/>
      <c r="F15" s="1826">
        <v>285678</v>
      </c>
      <c r="G15" s="1826"/>
      <c r="H15" s="1826"/>
      <c r="I15" s="1826">
        <v>285678</v>
      </c>
      <c r="J15" s="1826"/>
      <c r="K15" s="1826"/>
      <c r="L15" s="1823">
        <f t="shared" si="0"/>
        <v>285678</v>
      </c>
      <c r="M15" s="1826" t="s">
        <v>2096</v>
      </c>
    </row>
    <row r="16" spans="2:14" ht="20.100000000000001" customHeight="1" x14ac:dyDescent="0.2">
      <c r="B16" s="1113" t="s">
        <v>2086</v>
      </c>
      <c r="C16" s="2039">
        <v>10.555</v>
      </c>
      <c r="D16" s="2040" t="s">
        <v>2085</v>
      </c>
      <c r="E16" s="1826">
        <v>393564</v>
      </c>
      <c r="F16" s="1826">
        <v>102863</v>
      </c>
      <c r="G16" s="1826">
        <v>393564</v>
      </c>
      <c r="H16" s="1826"/>
      <c r="I16" s="1826">
        <v>102863</v>
      </c>
      <c r="J16" s="1826"/>
      <c r="K16" s="1826"/>
      <c r="L16" s="1823">
        <f t="shared" si="0"/>
        <v>496427</v>
      </c>
      <c r="M16" s="1826" t="s">
        <v>2096</v>
      </c>
    </row>
    <row r="17" spans="2:14" ht="20.100000000000001" customHeight="1" x14ac:dyDescent="0.2">
      <c r="B17" s="1113" t="s">
        <v>2087</v>
      </c>
      <c r="C17" s="2039">
        <v>10.553000000000001</v>
      </c>
      <c r="D17" s="2040" t="s">
        <v>2095</v>
      </c>
      <c r="E17" s="1826"/>
      <c r="F17" s="1826">
        <v>125101</v>
      </c>
      <c r="G17" s="1826"/>
      <c r="H17" s="1826"/>
      <c r="I17" s="1826">
        <v>125101</v>
      </c>
      <c r="J17" s="1826"/>
      <c r="K17" s="1826"/>
      <c r="L17" s="1823">
        <f t="shared" si="0"/>
        <v>125101</v>
      </c>
      <c r="M17" s="1826" t="s">
        <v>2096</v>
      </c>
    </row>
    <row r="18" spans="2:14" ht="20.100000000000001" customHeight="1" x14ac:dyDescent="0.2">
      <c r="B18" s="1113" t="s">
        <v>2089</v>
      </c>
      <c r="C18" s="2039">
        <v>10.553000000000001</v>
      </c>
      <c r="D18" s="2040" t="s">
        <v>2088</v>
      </c>
      <c r="E18" s="1826">
        <v>184428</v>
      </c>
      <c r="F18" s="1826">
        <v>44276</v>
      </c>
      <c r="G18" s="1826">
        <v>184428</v>
      </c>
      <c r="H18" s="1826"/>
      <c r="I18" s="1826">
        <v>44276</v>
      </c>
      <c r="J18" s="1826"/>
      <c r="K18" s="1826"/>
      <c r="L18" s="1823">
        <f t="shared" si="0"/>
        <v>228704</v>
      </c>
      <c r="M18" s="1826" t="s">
        <v>2096</v>
      </c>
    </row>
    <row r="19" spans="2:14" ht="20.100000000000001" customHeight="1" x14ac:dyDescent="0.2">
      <c r="B19" s="1113" t="s">
        <v>2098</v>
      </c>
      <c r="C19" s="2039">
        <v>10.558999999999999</v>
      </c>
      <c r="D19" s="2040" t="s">
        <v>2099</v>
      </c>
      <c r="E19" s="1826"/>
      <c r="F19" s="1826">
        <v>182257</v>
      </c>
      <c r="G19" s="1826"/>
      <c r="H19" s="1826"/>
      <c r="I19" s="1826">
        <v>182257</v>
      </c>
      <c r="J19" s="1826"/>
      <c r="K19" s="1826"/>
      <c r="L19" s="1823">
        <f t="shared" si="0"/>
        <v>182257</v>
      </c>
      <c r="M19" s="1826" t="s">
        <v>2096</v>
      </c>
    </row>
    <row r="20" spans="2:14" ht="20.100000000000001" customHeight="1" x14ac:dyDescent="0.2">
      <c r="B20" s="1113" t="s">
        <v>2090</v>
      </c>
      <c r="C20" s="2039"/>
      <c r="D20" s="2040"/>
      <c r="E20" s="1826">
        <f>SUM(E14:E19)</f>
        <v>577992</v>
      </c>
      <c r="F20" s="1826">
        <f>SUM(F14:F19)</f>
        <v>740175</v>
      </c>
      <c r="G20" s="1826">
        <f t="shared" ref="G20:K20" si="1">SUM(G14:G19)</f>
        <v>577992</v>
      </c>
      <c r="H20" s="1826">
        <f t="shared" si="1"/>
        <v>0</v>
      </c>
      <c r="I20" s="1826">
        <f t="shared" si="1"/>
        <v>740175</v>
      </c>
      <c r="J20" s="1826">
        <f t="shared" si="1"/>
        <v>0</v>
      </c>
      <c r="K20" s="1826">
        <f t="shared" si="1"/>
        <v>0</v>
      </c>
      <c r="L20" s="1823">
        <f t="shared" si="0"/>
        <v>1318167</v>
      </c>
      <c r="M20" s="1826">
        <f>SUM(M14:M19)</f>
        <v>0</v>
      </c>
    </row>
    <row r="21" spans="2:14" ht="20.100000000000001" customHeight="1" x14ac:dyDescent="0.2">
      <c r="B21" s="1113"/>
      <c r="C21" s="2039"/>
      <c r="D21" s="2040"/>
      <c r="E21" s="1826"/>
      <c r="F21" s="1826"/>
      <c r="G21" s="1826"/>
      <c r="H21" s="1826"/>
      <c r="I21" s="1826"/>
      <c r="J21" s="1826"/>
      <c r="K21" s="1826"/>
      <c r="L21" s="1823">
        <f t="shared" si="0"/>
        <v>0</v>
      </c>
      <c r="M21" s="1826"/>
    </row>
    <row r="22" spans="2:14" ht="20.100000000000001" customHeight="1" x14ac:dyDescent="0.2">
      <c r="B22" s="1113" t="s">
        <v>2091</v>
      </c>
      <c r="C22" s="2039">
        <v>10.565</v>
      </c>
      <c r="D22" s="2040" t="s">
        <v>2097</v>
      </c>
      <c r="E22" s="1826"/>
      <c r="F22" s="1826">
        <v>41382</v>
      </c>
      <c r="G22" s="1826"/>
      <c r="H22" s="1826"/>
      <c r="I22" s="1826">
        <v>41382</v>
      </c>
      <c r="J22" s="1826"/>
      <c r="K22" s="1826"/>
      <c r="L22" s="1823">
        <f t="shared" si="0"/>
        <v>41382</v>
      </c>
      <c r="M22" s="1826" t="s">
        <v>2096</v>
      </c>
    </row>
    <row r="23" spans="2:14" ht="20.100000000000001" customHeight="1" x14ac:dyDescent="0.2">
      <c r="B23" s="1113" t="s">
        <v>2092</v>
      </c>
      <c r="C23" s="2039">
        <v>10.582000000000001</v>
      </c>
      <c r="D23" s="2040" t="s">
        <v>2097</v>
      </c>
      <c r="E23" s="1826"/>
      <c r="F23" s="1826">
        <v>14999</v>
      </c>
      <c r="G23" s="1826"/>
      <c r="H23" s="1826"/>
      <c r="I23" s="1826">
        <v>14999</v>
      </c>
      <c r="J23" s="1826"/>
      <c r="K23" s="1826"/>
      <c r="L23" s="1823">
        <f t="shared" si="0"/>
        <v>14999</v>
      </c>
      <c r="M23" s="1826" t="s">
        <v>2096</v>
      </c>
    </row>
    <row r="24" spans="2:14" ht="20.100000000000001" customHeight="1" x14ac:dyDescent="0.2">
      <c r="B24" s="1113"/>
      <c r="C24" s="2039"/>
      <c r="D24" s="2040"/>
      <c r="E24" s="1826"/>
      <c r="F24" s="1826"/>
      <c r="G24" s="1826"/>
      <c r="H24" s="1826"/>
      <c r="I24" s="1826"/>
      <c r="J24" s="1826"/>
      <c r="K24" s="1826"/>
      <c r="L24" s="1823">
        <f t="shared" si="0"/>
        <v>0</v>
      </c>
      <c r="M24" s="1826" t="s">
        <v>2096</v>
      </c>
    </row>
    <row r="25" spans="2:14" ht="20.100000000000001" customHeight="1" x14ac:dyDescent="0.2">
      <c r="B25" s="1113"/>
      <c r="C25" s="2039"/>
      <c r="D25" s="2040"/>
      <c r="E25" s="1826"/>
      <c r="F25" s="1826"/>
      <c r="G25" s="1826"/>
      <c r="H25" s="1826"/>
      <c r="I25" s="1826"/>
      <c r="J25" s="1826"/>
      <c r="K25" s="1826"/>
      <c r="L25" s="1823">
        <f t="shared" si="0"/>
        <v>0</v>
      </c>
      <c r="M25" s="1826"/>
    </row>
    <row r="26" spans="2:14" ht="20.100000000000001" customHeight="1" x14ac:dyDescent="0.2">
      <c r="B26" s="1113"/>
      <c r="C26" s="2039"/>
      <c r="D26" s="2040"/>
      <c r="E26" s="1826"/>
      <c r="F26" s="1826"/>
      <c r="G26" s="1826"/>
      <c r="H26" s="1826"/>
      <c r="I26" s="1826"/>
      <c r="J26" s="1826"/>
      <c r="K26" s="1826"/>
      <c r="L26" s="1823">
        <f t="shared" si="0"/>
        <v>0</v>
      </c>
      <c r="M26" s="1826"/>
    </row>
    <row r="27" spans="2:14" ht="20.100000000000001" customHeight="1" x14ac:dyDescent="0.2">
      <c r="B27" s="1113" t="s">
        <v>2093</v>
      </c>
      <c r="C27" s="2039"/>
      <c r="D27" s="2040"/>
      <c r="E27" s="1826">
        <f>SUM(E20:E26)</f>
        <v>577992</v>
      </c>
      <c r="F27" s="1826">
        <f t="shared" ref="F27:K27" si="2">SUM(F20:F26)</f>
        <v>796556</v>
      </c>
      <c r="G27" s="1826">
        <f t="shared" si="2"/>
        <v>577992</v>
      </c>
      <c r="H27" s="1826">
        <f t="shared" si="2"/>
        <v>0</v>
      </c>
      <c r="I27" s="1826">
        <f t="shared" si="2"/>
        <v>796556</v>
      </c>
      <c r="J27" s="1826">
        <f t="shared" si="2"/>
        <v>0</v>
      </c>
      <c r="K27" s="1826">
        <f t="shared" si="2"/>
        <v>0</v>
      </c>
      <c r="L27" s="1823">
        <f t="shared" si="0"/>
        <v>1374548</v>
      </c>
      <c r="M27" s="1826">
        <f>SUM(M20:M26)</f>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644E9-2C27-4676-8A71-690BBC9E9B15}">
  <sheetPr>
    <pageSetUpPr fitToPage="1"/>
  </sheetPr>
  <dimension ref="B1:N152"/>
  <sheetViews>
    <sheetView showGridLines="0" zoomScaleNormal="100" workbookViewId="0">
      <selection activeCell="G12" sqref="G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Riverton CUSD 14</v>
      </c>
      <c r="C1" s="2570"/>
      <c r="D1" s="2570"/>
      <c r="E1" s="2570"/>
      <c r="F1" s="2570"/>
      <c r="G1" s="2570"/>
      <c r="H1" s="2570"/>
      <c r="I1" s="2570"/>
      <c r="J1" s="2570"/>
      <c r="K1" s="2570"/>
      <c r="L1" s="2570"/>
      <c r="M1" s="2570"/>
    </row>
    <row r="2" spans="2:14" ht="15" x14ac:dyDescent="0.2">
      <c r="B2" s="2571">
        <f>'Single Audit Cover'!E7</f>
        <v>51084014026</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2100</v>
      </c>
      <c r="C11" s="2037"/>
      <c r="D11" s="2038"/>
      <c r="E11" s="1823"/>
      <c r="F11" s="1823"/>
      <c r="G11" s="1823"/>
      <c r="H11" s="1823"/>
      <c r="I11" s="1823"/>
      <c r="J11" s="1823"/>
      <c r="K11" s="1823"/>
      <c r="L11" s="1823">
        <f>+G11+I11+K11</f>
        <v>0</v>
      </c>
      <c r="M11" s="1823"/>
    </row>
    <row r="12" spans="2:14" ht="20.100000000000001" customHeight="1" x14ac:dyDescent="0.2">
      <c r="B12" s="1113" t="s">
        <v>2101</v>
      </c>
      <c r="C12" s="2039"/>
      <c r="D12" s="2040"/>
      <c r="E12" s="1826"/>
      <c r="F12" s="1826"/>
      <c r="G12" s="1826"/>
      <c r="H12" s="1826"/>
      <c r="I12" s="1826"/>
      <c r="J12" s="1826"/>
      <c r="K12" s="1826"/>
      <c r="L12" s="1823">
        <f t="shared" ref="L12:L27" si="0">+G12+I12+K12</f>
        <v>0</v>
      </c>
      <c r="M12" s="1826"/>
    </row>
    <row r="13" spans="2:14" ht="20.100000000000001" customHeight="1" x14ac:dyDescent="0.2">
      <c r="B13" s="1113"/>
      <c r="C13" s="2039"/>
      <c r="D13" s="2040"/>
      <c r="E13" s="1826"/>
      <c r="F13" s="1826"/>
      <c r="G13" s="1826"/>
      <c r="H13" s="1826"/>
      <c r="I13" s="1826"/>
      <c r="J13" s="1826"/>
      <c r="K13" s="1826"/>
      <c r="L13" s="1823">
        <f t="shared" si="0"/>
        <v>0</v>
      </c>
      <c r="M13" s="1826"/>
    </row>
    <row r="14" spans="2:14" ht="20.100000000000001" customHeight="1" x14ac:dyDescent="0.2">
      <c r="B14" s="1113" t="s">
        <v>2102</v>
      </c>
      <c r="C14" s="2039">
        <v>84.01</v>
      </c>
      <c r="D14" s="2040" t="s">
        <v>2110</v>
      </c>
      <c r="E14" s="1826"/>
      <c r="F14" s="1826">
        <v>314321</v>
      </c>
      <c r="G14" s="1826"/>
      <c r="H14" s="1826"/>
      <c r="I14" s="1826">
        <v>410511</v>
      </c>
      <c r="J14" s="1826"/>
      <c r="K14" s="1826">
        <v>18195</v>
      </c>
      <c r="L14" s="1823">
        <f t="shared" si="0"/>
        <v>428706</v>
      </c>
      <c r="M14" s="1826">
        <v>429274</v>
      </c>
    </row>
    <row r="15" spans="2:14" ht="20.100000000000001" customHeight="1" x14ac:dyDescent="0.2">
      <c r="B15" s="1113" t="s">
        <v>2104</v>
      </c>
      <c r="C15" s="2039">
        <v>84.01</v>
      </c>
      <c r="D15" s="2040" t="s">
        <v>2103</v>
      </c>
      <c r="E15" s="1826">
        <v>244557</v>
      </c>
      <c r="F15" s="1826">
        <v>108680</v>
      </c>
      <c r="G15" s="1826">
        <v>335457</v>
      </c>
      <c r="H15" s="1826"/>
      <c r="I15" s="1826">
        <v>17780</v>
      </c>
      <c r="J15" s="1826"/>
      <c r="K15" s="1826"/>
      <c r="L15" s="1823">
        <f t="shared" si="0"/>
        <v>353237</v>
      </c>
      <c r="M15" s="1826">
        <v>386867</v>
      </c>
    </row>
    <row r="16" spans="2:14" ht="20.100000000000001" customHeight="1" x14ac:dyDescent="0.2">
      <c r="B16" s="1113" t="s">
        <v>2105</v>
      </c>
      <c r="C16" s="2039">
        <v>84.376999999999995</v>
      </c>
      <c r="D16" s="2040" t="s">
        <v>2111</v>
      </c>
      <c r="E16" s="1826"/>
      <c r="F16" s="1826">
        <v>71213</v>
      </c>
      <c r="G16" s="1826"/>
      <c r="H16" s="1826"/>
      <c r="I16" s="1826">
        <v>83085</v>
      </c>
      <c r="J16" s="1826"/>
      <c r="K16" s="1826">
        <v>4826</v>
      </c>
      <c r="L16" s="1823">
        <f t="shared" si="0"/>
        <v>87911</v>
      </c>
      <c r="M16" s="1826">
        <v>115227</v>
      </c>
    </row>
    <row r="17" spans="2:14" ht="20.100000000000001" customHeight="1" x14ac:dyDescent="0.2">
      <c r="B17" s="1113" t="s">
        <v>2105</v>
      </c>
      <c r="C17" s="2039">
        <v>84.376999999999995</v>
      </c>
      <c r="D17" s="2040" t="s">
        <v>2106</v>
      </c>
      <c r="E17" s="1826">
        <v>60597</v>
      </c>
      <c r="F17" s="1826">
        <v>63653</v>
      </c>
      <c r="G17" s="1826">
        <v>60597</v>
      </c>
      <c r="H17" s="1826"/>
      <c r="I17" s="1826">
        <v>63653</v>
      </c>
      <c r="J17" s="1826"/>
      <c r="K17" s="1826"/>
      <c r="L17" s="1823">
        <f t="shared" si="0"/>
        <v>124250</v>
      </c>
      <c r="M17" s="1826">
        <v>124250</v>
      </c>
    </row>
    <row r="18" spans="2:14" ht="20.100000000000001" customHeight="1" x14ac:dyDescent="0.2">
      <c r="B18" s="1113" t="s">
        <v>2107</v>
      </c>
      <c r="C18" s="2039">
        <v>84.367000000000004</v>
      </c>
      <c r="D18" s="2040" t="s">
        <v>2112</v>
      </c>
      <c r="E18" s="1826"/>
      <c r="F18" s="1826">
        <v>48458</v>
      </c>
      <c r="G18" s="1826"/>
      <c r="H18" s="1826"/>
      <c r="I18" s="1826">
        <v>59121</v>
      </c>
      <c r="J18" s="1826"/>
      <c r="K18" s="1826">
        <v>3692</v>
      </c>
      <c r="L18" s="1823">
        <f t="shared" si="0"/>
        <v>62813</v>
      </c>
      <c r="M18" s="1826">
        <v>65314</v>
      </c>
    </row>
    <row r="19" spans="2:14" ht="20.100000000000001" customHeight="1" x14ac:dyDescent="0.2">
      <c r="B19" s="1113" t="s">
        <v>2107</v>
      </c>
      <c r="C19" s="2039">
        <v>84.367000000000004</v>
      </c>
      <c r="D19" s="2040" t="s">
        <v>2108</v>
      </c>
      <c r="E19" s="1826">
        <v>40245</v>
      </c>
      <c r="F19" s="1826">
        <v>21803</v>
      </c>
      <c r="G19" s="1826">
        <v>59259</v>
      </c>
      <c r="H19" s="1826"/>
      <c r="I19" s="1826">
        <v>2789</v>
      </c>
      <c r="J19" s="1826"/>
      <c r="K19" s="1826"/>
      <c r="L19" s="1823">
        <f t="shared" si="0"/>
        <v>62048</v>
      </c>
      <c r="M19" s="1826">
        <v>62048</v>
      </c>
    </row>
    <row r="20" spans="2:14" ht="20.100000000000001" customHeight="1" x14ac:dyDescent="0.2">
      <c r="B20" s="1113"/>
      <c r="C20" s="2039"/>
      <c r="D20" s="2040"/>
      <c r="E20" s="1826"/>
      <c r="F20" s="1826"/>
      <c r="G20" s="1826"/>
      <c r="H20" s="1826"/>
      <c r="I20" s="1826"/>
      <c r="J20" s="1826"/>
      <c r="K20" s="1826"/>
      <c r="L20" s="1823">
        <f t="shared" si="0"/>
        <v>0</v>
      </c>
      <c r="M20" s="1826"/>
    </row>
    <row r="21" spans="2:14" ht="20.100000000000001" customHeight="1" x14ac:dyDescent="0.2">
      <c r="B21" s="1113"/>
      <c r="C21" s="2039"/>
      <c r="D21" s="2040"/>
      <c r="E21" s="1826"/>
      <c r="F21" s="1826"/>
      <c r="G21" s="1826"/>
      <c r="H21" s="1826"/>
      <c r="I21" s="1826"/>
      <c r="J21" s="1826"/>
      <c r="K21" s="1826"/>
      <c r="L21" s="1823">
        <f t="shared" si="0"/>
        <v>0</v>
      </c>
      <c r="M21" s="1826"/>
    </row>
    <row r="22" spans="2:14" ht="20.100000000000001" customHeight="1" x14ac:dyDescent="0.2">
      <c r="B22" s="1113"/>
      <c r="C22" s="2039"/>
      <c r="D22" s="2040"/>
      <c r="E22" s="1826"/>
      <c r="F22" s="1826"/>
      <c r="G22" s="1826"/>
      <c r="H22" s="1826"/>
      <c r="I22" s="1826"/>
      <c r="J22" s="1826"/>
      <c r="K22" s="1826"/>
      <c r="L22" s="1823">
        <f t="shared" si="0"/>
        <v>0</v>
      </c>
      <c r="M22" s="1826"/>
    </row>
    <row r="23" spans="2:14" ht="20.100000000000001" customHeight="1" x14ac:dyDescent="0.2">
      <c r="B23" s="1113"/>
      <c r="C23" s="2039"/>
      <c r="D23" s="2040"/>
      <c r="E23" s="1826"/>
      <c r="F23" s="1826"/>
      <c r="G23" s="1826"/>
      <c r="H23" s="1826"/>
      <c r="I23" s="1826"/>
      <c r="J23" s="1826"/>
      <c r="K23" s="1826"/>
      <c r="L23" s="1823">
        <f t="shared" si="0"/>
        <v>0</v>
      </c>
      <c r="M23" s="1826"/>
    </row>
    <row r="24" spans="2:14" ht="20.100000000000001" customHeight="1" x14ac:dyDescent="0.2">
      <c r="B24" s="1113"/>
      <c r="C24" s="2039"/>
      <c r="D24" s="2040"/>
      <c r="E24" s="1826"/>
      <c r="F24" s="1826"/>
      <c r="G24" s="1826"/>
      <c r="H24" s="1826"/>
      <c r="I24" s="1826"/>
      <c r="J24" s="1826"/>
      <c r="K24" s="1826"/>
      <c r="L24" s="1823">
        <f t="shared" si="0"/>
        <v>0</v>
      </c>
      <c r="M24" s="1826"/>
    </row>
    <row r="25" spans="2:14" ht="20.100000000000001" customHeight="1" x14ac:dyDescent="0.2">
      <c r="B25" s="1113"/>
      <c r="C25" s="2039"/>
      <c r="D25" s="2040"/>
      <c r="E25" s="1826"/>
      <c r="F25" s="1826"/>
      <c r="G25" s="1826"/>
      <c r="H25" s="1826"/>
      <c r="I25" s="1826"/>
      <c r="J25" s="1826"/>
      <c r="K25" s="1826"/>
      <c r="L25" s="1823">
        <f t="shared" si="0"/>
        <v>0</v>
      </c>
      <c r="M25" s="1826"/>
    </row>
    <row r="26" spans="2:14" ht="20.100000000000001" customHeight="1" x14ac:dyDescent="0.2">
      <c r="B26" s="1113"/>
      <c r="C26" s="2039"/>
      <c r="D26" s="2040"/>
      <c r="E26" s="1826"/>
      <c r="F26" s="1826"/>
      <c r="G26" s="1826"/>
      <c r="H26" s="1826"/>
      <c r="I26" s="1826"/>
      <c r="J26" s="1826"/>
      <c r="K26" s="1826"/>
      <c r="L26" s="1823">
        <f t="shared" si="0"/>
        <v>0</v>
      </c>
      <c r="M26" s="1826"/>
    </row>
    <row r="27" spans="2:14" ht="20.100000000000001" customHeight="1" x14ac:dyDescent="0.2">
      <c r="B27" s="1113" t="s">
        <v>2109</v>
      </c>
      <c r="C27" s="2039"/>
      <c r="D27" s="2040"/>
      <c r="E27" s="1826">
        <f>SUM(E13:E26)</f>
        <v>345399</v>
      </c>
      <c r="F27" s="1826">
        <f t="shared" ref="F27:K27" si="1">SUM(F13:F26)</f>
        <v>628128</v>
      </c>
      <c r="G27" s="1826">
        <f t="shared" si="1"/>
        <v>455313</v>
      </c>
      <c r="H27" s="1826">
        <f t="shared" si="1"/>
        <v>0</v>
      </c>
      <c r="I27" s="1826">
        <f t="shared" si="1"/>
        <v>636939</v>
      </c>
      <c r="J27" s="1826">
        <f t="shared" si="1"/>
        <v>0</v>
      </c>
      <c r="K27" s="1826">
        <f t="shared" si="1"/>
        <v>26713</v>
      </c>
      <c r="L27" s="1823">
        <f t="shared" si="0"/>
        <v>1118965</v>
      </c>
      <c r="M27" s="1826">
        <f>SUM(M13:M26)</f>
        <v>1182980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8" t="s">
        <v>1158</v>
      </c>
      <c r="B2" s="2158"/>
      <c r="C2" s="2158"/>
      <c r="D2" s="2158"/>
      <c r="E2" s="2158"/>
      <c r="F2" s="2158"/>
      <c r="G2" s="2158"/>
      <c r="H2" s="2158"/>
      <c r="I2" s="2158"/>
      <c r="J2" s="2158"/>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2" t="s">
        <v>1616</v>
      </c>
      <c r="B35" s="2173"/>
      <c r="C35" s="2173"/>
      <c r="D35" s="2173"/>
      <c r="E35" s="2174"/>
      <c r="F35" s="2174"/>
      <c r="G35" s="2174"/>
      <c r="H35" s="2174"/>
      <c r="I35" s="217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2" t="s">
        <v>310</v>
      </c>
      <c r="B47" s="2175"/>
      <c r="C47" s="2175"/>
      <c r="D47" s="2175"/>
      <c r="E47" s="2176"/>
      <c r="F47" s="2176"/>
      <c r="G47" s="2176"/>
      <c r="H47" s="2176"/>
      <c r="I47" s="217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2048</v>
      </c>
      <c r="C53" s="174">
        <v>22</v>
      </c>
      <c r="D53" s="242" t="s">
        <v>1445</v>
      </c>
      <c r="E53" s="243"/>
      <c r="F53" s="244"/>
      <c r="G53" s="244" t="s">
        <v>1444</v>
      </c>
      <c r="H53" s="245">
        <v>35431</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9"/>
      <c r="C57" s="2180"/>
      <c r="D57" s="2180"/>
      <c r="E57" s="2180"/>
      <c r="F57" s="2180"/>
      <c r="G57" s="2180"/>
      <c r="H57" s="2180"/>
      <c r="I57" s="2180"/>
      <c r="J57" s="2181"/>
    </row>
    <row r="58" spans="1:10" s="176" customFormat="1" x14ac:dyDescent="0.2">
      <c r="A58" s="248"/>
      <c r="B58" s="2182"/>
      <c r="C58" s="2183"/>
      <c r="D58" s="2183"/>
      <c r="E58" s="2183"/>
      <c r="F58" s="2183"/>
      <c r="G58" s="2183"/>
      <c r="H58" s="2183"/>
      <c r="I58" s="2183"/>
      <c r="J58" s="2184"/>
    </row>
    <row r="59" spans="1:10" s="176" customFormat="1" x14ac:dyDescent="0.2">
      <c r="A59" s="248"/>
      <c r="B59" s="2182"/>
      <c r="C59" s="2183"/>
      <c r="D59" s="2183"/>
      <c r="E59" s="2183"/>
      <c r="F59" s="2183"/>
      <c r="G59" s="2183"/>
      <c r="H59" s="2183"/>
      <c r="I59" s="2183"/>
      <c r="J59" s="2184"/>
    </row>
    <row r="60" spans="1:10" s="176" customFormat="1" x14ac:dyDescent="0.2">
      <c r="A60" s="248"/>
      <c r="B60" s="2182"/>
      <c r="C60" s="2183"/>
      <c r="D60" s="2183"/>
      <c r="E60" s="2183"/>
      <c r="F60" s="2183"/>
      <c r="G60" s="2183"/>
      <c r="H60" s="2183"/>
      <c r="I60" s="2183"/>
      <c r="J60" s="2184"/>
    </row>
    <row r="61" spans="1:10" s="176" customFormat="1" x14ac:dyDescent="0.2">
      <c r="A61" s="248"/>
      <c r="B61" s="2182"/>
      <c r="C61" s="2183"/>
      <c r="D61" s="2183"/>
      <c r="E61" s="2183"/>
      <c r="F61" s="2183"/>
      <c r="G61" s="2183"/>
      <c r="H61" s="2183"/>
      <c r="I61" s="2183"/>
      <c r="J61" s="2184"/>
    </row>
    <row r="62" spans="1:10" s="176" customFormat="1" x14ac:dyDescent="0.2">
      <c r="A62" s="248"/>
      <c r="B62" s="2182"/>
      <c r="C62" s="2183"/>
      <c r="D62" s="2183"/>
      <c r="E62" s="2183"/>
      <c r="F62" s="2183"/>
      <c r="G62" s="2183"/>
      <c r="H62" s="2183"/>
      <c r="I62" s="2183"/>
      <c r="J62" s="2184"/>
    </row>
    <row r="63" spans="1:10" s="176" customFormat="1" x14ac:dyDescent="0.2">
      <c r="A63" s="248"/>
      <c r="B63" s="2182"/>
      <c r="C63" s="2183"/>
      <c r="D63" s="2183"/>
      <c r="E63" s="2183"/>
      <c r="F63" s="2183"/>
      <c r="G63" s="2183"/>
      <c r="H63" s="2183"/>
      <c r="I63" s="2183"/>
      <c r="J63" s="2184"/>
    </row>
    <row r="64" spans="1:10" s="176" customFormat="1" x14ac:dyDescent="0.2">
      <c r="A64" s="248"/>
      <c r="B64" s="2182"/>
      <c r="C64" s="2183"/>
      <c r="D64" s="2183"/>
      <c r="E64" s="2183"/>
      <c r="F64" s="2183"/>
      <c r="G64" s="2183"/>
      <c r="H64" s="2183"/>
      <c r="I64" s="2183"/>
      <c r="J64" s="2184"/>
    </row>
    <row r="65" spans="1:11" s="176" customFormat="1" x14ac:dyDescent="0.2">
      <c r="A65" s="248"/>
      <c r="B65" s="2182"/>
      <c r="C65" s="2183"/>
      <c r="D65" s="2183"/>
      <c r="E65" s="2183"/>
      <c r="F65" s="2183"/>
      <c r="G65" s="2183"/>
      <c r="H65" s="2183"/>
      <c r="I65" s="2183"/>
      <c r="J65" s="2184"/>
    </row>
    <row r="66" spans="1:11" s="176" customFormat="1" x14ac:dyDescent="0.2">
      <c r="A66" s="248"/>
      <c r="B66" s="2182"/>
      <c r="C66" s="2183"/>
      <c r="D66" s="2183"/>
      <c r="E66" s="2183"/>
      <c r="F66" s="2183"/>
      <c r="G66" s="2183"/>
      <c r="H66" s="2183"/>
      <c r="I66" s="2183"/>
      <c r="J66" s="2184"/>
    </row>
    <row r="67" spans="1:11" s="176" customFormat="1" ht="9" customHeight="1" x14ac:dyDescent="0.2">
      <c r="A67" s="249"/>
      <c r="B67" s="2185"/>
      <c r="C67" s="2186"/>
      <c r="D67" s="2186"/>
      <c r="E67" s="2186"/>
      <c r="F67" s="2186"/>
      <c r="G67" s="2186"/>
      <c r="H67" s="2186"/>
      <c r="I67" s="2186"/>
      <c r="J67" s="218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2" t="s">
        <v>1312</v>
      </c>
      <c r="B70" s="2175"/>
      <c r="C70" s="2175"/>
      <c r="D70" s="2175"/>
      <c r="E70" s="2176"/>
      <c r="F70" s="2176"/>
      <c r="G70" s="2176"/>
      <c r="H70" s="2176"/>
      <c r="I70" s="2176"/>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7" t="s">
        <v>1309</v>
      </c>
      <c r="B83" s="2177"/>
      <c r="C83" s="2177"/>
      <c r="D83" s="2178"/>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8" t="s">
        <v>1986</v>
      </c>
      <c r="B85" s="2188"/>
      <c r="C85" s="2188"/>
      <c r="D85" s="2189"/>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0" t="s">
        <v>1986</v>
      </c>
      <c r="B88" s="2191"/>
      <c r="C88" s="2191"/>
      <c r="D88" s="2192"/>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9"/>
      <c r="C102" s="2160"/>
      <c r="D102" s="2160"/>
      <c r="E102" s="2160"/>
      <c r="F102" s="2160"/>
      <c r="G102" s="2160"/>
      <c r="H102" s="2160"/>
      <c r="I102" s="2161"/>
    </row>
    <row r="103" spans="1:9" s="176" customFormat="1" ht="11.25" customHeight="1" x14ac:dyDescent="0.2">
      <c r="A103" s="294"/>
      <c r="B103" s="2162"/>
      <c r="C103" s="2163"/>
      <c r="D103" s="2163"/>
      <c r="E103" s="2163"/>
      <c r="F103" s="2163"/>
      <c r="G103" s="2163"/>
      <c r="H103" s="2163"/>
      <c r="I103" s="2164"/>
    </row>
    <row r="104" spans="1:9" s="176" customFormat="1" ht="11.25" customHeight="1" x14ac:dyDescent="0.2">
      <c r="A104" s="294"/>
      <c r="B104" s="2162"/>
      <c r="C104" s="2163"/>
      <c r="D104" s="2163"/>
      <c r="E104" s="2163"/>
      <c r="F104" s="2163"/>
      <c r="G104" s="2163"/>
      <c r="H104" s="2163"/>
      <c r="I104" s="2164"/>
    </row>
    <row r="105" spans="1:9" s="176" customFormat="1" x14ac:dyDescent="0.2">
      <c r="A105" s="294"/>
      <c r="B105" s="2162"/>
      <c r="C105" s="2163"/>
      <c r="D105" s="2163"/>
      <c r="E105" s="2163"/>
      <c r="F105" s="2163"/>
      <c r="G105" s="2163"/>
      <c r="H105" s="2163"/>
      <c r="I105" s="2164"/>
    </row>
    <row r="106" spans="1:9" s="176" customFormat="1" ht="11.25" customHeight="1" x14ac:dyDescent="0.2">
      <c r="A106" s="294"/>
      <c r="B106" s="2162"/>
      <c r="C106" s="2163"/>
      <c r="D106" s="2163"/>
      <c r="E106" s="2163"/>
      <c r="F106" s="2163"/>
      <c r="G106" s="2163"/>
      <c r="H106" s="2163"/>
      <c r="I106" s="2164"/>
    </row>
    <row r="107" spans="1:9" s="176" customFormat="1" ht="11.25" customHeight="1" x14ac:dyDescent="0.2">
      <c r="A107" s="294"/>
      <c r="B107" s="2162"/>
      <c r="C107" s="2163"/>
      <c r="D107" s="2163"/>
      <c r="E107" s="2163"/>
      <c r="F107" s="2163"/>
      <c r="G107" s="2163"/>
      <c r="H107" s="2163"/>
      <c r="I107" s="2164"/>
    </row>
    <row r="108" spans="1:9" s="176" customFormat="1" ht="11.25" customHeight="1" x14ac:dyDescent="0.2">
      <c r="A108" s="294"/>
      <c r="B108" s="2162"/>
      <c r="C108" s="2163"/>
      <c r="D108" s="2163"/>
      <c r="E108" s="2163"/>
      <c r="F108" s="2163"/>
      <c r="G108" s="2163"/>
      <c r="H108" s="2163"/>
      <c r="I108" s="2164"/>
    </row>
    <row r="109" spans="1:9" s="176" customFormat="1" ht="11.25" customHeight="1" x14ac:dyDescent="0.2">
      <c r="A109" s="294"/>
      <c r="B109" s="2162"/>
      <c r="C109" s="2163"/>
      <c r="D109" s="2163"/>
      <c r="E109" s="2163"/>
      <c r="F109" s="2163"/>
      <c r="G109" s="2163"/>
      <c r="H109" s="2163"/>
      <c r="I109" s="2164"/>
    </row>
    <row r="110" spans="1:9" s="176" customFormat="1" ht="11.25" customHeight="1" x14ac:dyDescent="0.2">
      <c r="A110" s="294"/>
      <c r="B110" s="2162"/>
      <c r="C110" s="2163"/>
      <c r="D110" s="2163"/>
      <c r="E110" s="2163"/>
      <c r="F110" s="2163"/>
      <c r="G110" s="2163"/>
      <c r="H110" s="2163"/>
      <c r="I110" s="2164"/>
    </row>
    <row r="111" spans="1:9" s="176" customFormat="1" ht="11.25" customHeight="1" x14ac:dyDescent="0.2">
      <c r="A111" s="294"/>
      <c r="B111" s="2162"/>
      <c r="C111" s="2163"/>
      <c r="D111" s="2163"/>
      <c r="E111" s="2163"/>
      <c r="F111" s="2163"/>
      <c r="G111" s="2163"/>
      <c r="H111" s="2163"/>
      <c r="I111" s="2164"/>
    </row>
    <row r="112" spans="1:9" s="176" customFormat="1" ht="11.25" customHeight="1" x14ac:dyDescent="0.2">
      <c r="A112" s="294"/>
      <c r="B112" s="2165"/>
      <c r="C112" s="2166"/>
      <c r="D112" s="2166"/>
      <c r="E112" s="2166"/>
      <c r="F112" s="2166"/>
      <c r="G112" s="2166"/>
      <c r="H112" s="2166"/>
      <c r="I112" s="216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8" t="s">
        <v>2053</v>
      </c>
      <c r="D114" s="2168"/>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9" t="s">
        <v>1319</v>
      </c>
      <c r="D117" s="2170"/>
      <c r="E117" s="2171"/>
      <c r="F117" s="2171"/>
      <c r="G117" s="2171"/>
      <c r="H117" s="217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A09EE-A1FD-4FE5-9FAD-B391C23B131B}">
  <sheetPr>
    <pageSetUpPr fitToPage="1"/>
  </sheetPr>
  <dimension ref="B1:N152"/>
  <sheetViews>
    <sheetView showGridLines="0" zoomScaleNormal="100" workbookViewId="0">
      <selection activeCell="Q9" sqref="Q9"/>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Riverton CUSD 14</v>
      </c>
      <c r="C1" s="2570"/>
      <c r="D1" s="2570"/>
      <c r="E1" s="2570"/>
      <c r="F1" s="2570"/>
      <c r="G1" s="2570"/>
      <c r="H1" s="2570"/>
      <c r="I1" s="2570"/>
      <c r="J1" s="2570"/>
      <c r="K1" s="2570"/>
      <c r="L1" s="2570"/>
      <c r="M1" s="2570"/>
    </row>
    <row r="2" spans="2:14" ht="15" x14ac:dyDescent="0.2">
      <c r="B2" s="2571">
        <f>'Single Audit Cover'!E7</f>
        <v>51084014026</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2118</v>
      </c>
      <c r="C11" s="2037"/>
      <c r="D11" s="2038"/>
      <c r="E11" s="1823"/>
      <c r="F11" s="1823"/>
      <c r="G11" s="1823"/>
      <c r="H11" s="1823"/>
      <c r="I11" s="1823"/>
      <c r="J11" s="1823"/>
      <c r="K11" s="1823"/>
      <c r="L11" s="1823">
        <f>+G11+I11+K11</f>
        <v>0</v>
      </c>
      <c r="M11" s="1823"/>
    </row>
    <row r="12" spans="2:14" ht="20.100000000000001" customHeight="1" x14ac:dyDescent="0.2">
      <c r="B12" s="1113" t="s">
        <v>2119</v>
      </c>
      <c r="C12" s="2039"/>
      <c r="D12" s="2040"/>
      <c r="E12" s="1826"/>
      <c r="F12" s="1826"/>
      <c r="G12" s="1826"/>
      <c r="H12" s="1826"/>
      <c r="I12" s="1826"/>
      <c r="J12" s="1826"/>
      <c r="K12" s="1826"/>
      <c r="L12" s="1823">
        <f t="shared" ref="L12:L27" si="0">+G12+I12+K12</f>
        <v>0</v>
      </c>
      <c r="M12" s="1826"/>
    </row>
    <row r="13" spans="2:14" ht="20.100000000000001" customHeight="1" x14ac:dyDescent="0.2">
      <c r="B13" s="1113"/>
      <c r="C13" s="2039"/>
      <c r="D13" s="2040"/>
      <c r="E13" s="1826"/>
      <c r="F13" s="1826"/>
      <c r="G13" s="1826"/>
      <c r="H13" s="1826"/>
      <c r="I13" s="1826"/>
      <c r="J13" s="1826"/>
      <c r="K13" s="1826"/>
      <c r="L13" s="1823">
        <f t="shared" si="0"/>
        <v>0</v>
      </c>
      <c r="M13" s="1826"/>
    </row>
    <row r="14" spans="2:14" ht="20.100000000000001" customHeight="1" x14ac:dyDescent="0.2">
      <c r="B14" s="1113" t="s">
        <v>2120</v>
      </c>
      <c r="C14" s="2039">
        <v>93.778000000000006</v>
      </c>
      <c r="D14" s="2040" t="s">
        <v>2122</v>
      </c>
      <c r="E14" s="1826"/>
      <c r="F14" s="1826">
        <v>11901</v>
      </c>
      <c r="G14" s="1826"/>
      <c r="H14" s="1826"/>
      <c r="I14" s="1826">
        <v>11901</v>
      </c>
      <c r="J14" s="1826"/>
      <c r="K14" s="1826"/>
      <c r="L14" s="1823">
        <f t="shared" si="0"/>
        <v>11901</v>
      </c>
      <c r="M14" s="1826" t="s">
        <v>2096</v>
      </c>
    </row>
    <row r="15" spans="2:14" ht="20.100000000000001" customHeight="1" x14ac:dyDescent="0.2">
      <c r="B15" s="1113" t="s">
        <v>1159</v>
      </c>
      <c r="C15" s="2039"/>
      <c r="D15" s="2040"/>
      <c r="E15" s="1826"/>
      <c r="F15" s="1826"/>
      <c r="G15" s="1826"/>
      <c r="H15" s="1826"/>
      <c r="I15" s="1826"/>
      <c r="J15" s="1826"/>
      <c r="K15" s="1826"/>
      <c r="L15" s="1823">
        <f t="shared" si="0"/>
        <v>0</v>
      </c>
      <c r="M15" s="1826"/>
    </row>
    <row r="16" spans="2:14" ht="20.100000000000001" customHeight="1" x14ac:dyDescent="0.2">
      <c r="B16" s="1113"/>
      <c r="C16" s="2039"/>
      <c r="D16" s="2040"/>
      <c r="E16" s="1826"/>
      <c r="F16" s="1826"/>
      <c r="G16" s="1826"/>
      <c r="H16" s="1826"/>
      <c r="I16" s="1826"/>
      <c r="J16" s="1826"/>
      <c r="K16" s="1826"/>
      <c r="L16" s="1823">
        <f t="shared" si="0"/>
        <v>0</v>
      </c>
      <c r="M16" s="1826"/>
    </row>
    <row r="17" spans="2:14" ht="20.100000000000001" customHeight="1" x14ac:dyDescent="0.2">
      <c r="B17" s="1113"/>
      <c r="C17" s="2039"/>
      <c r="D17" s="2040"/>
      <c r="E17" s="1826"/>
      <c r="F17" s="1826"/>
      <c r="G17" s="1826"/>
      <c r="H17" s="1826"/>
      <c r="I17" s="1826"/>
      <c r="J17" s="1826"/>
      <c r="K17" s="1826"/>
      <c r="L17" s="1823">
        <f t="shared" si="0"/>
        <v>0</v>
      </c>
      <c r="M17" s="1826"/>
    </row>
    <row r="18" spans="2:14" ht="20.100000000000001" customHeight="1" x14ac:dyDescent="0.2">
      <c r="B18" s="1113"/>
      <c r="C18" s="2039"/>
      <c r="D18" s="2040"/>
      <c r="E18" s="1826"/>
      <c r="F18" s="1826"/>
      <c r="G18" s="1826"/>
      <c r="H18" s="1826"/>
      <c r="I18" s="1826"/>
      <c r="J18" s="1826"/>
      <c r="K18" s="1826"/>
      <c r="L18" s="1823">
        <f t="shared" si="0"/>
        <v>0</v>
      </c>
      <c r="M18" s="1826"/>
    </row>
    <row r="19" spans="2:14" ht="20.100000000000001" customHeight="1" x14ac:dyDescent="0.2">
      <c r="B19" s="1113"/>
      <c r="C19" s="2039"/>
      <c r="D19" s="2040"/>
      <c r="E19" s="1826"/>
      <c r="F19" s="1826"/>
      <c r="G19" s="1826"/>
      <c r="H19" s="1826"/>
      <c r="I19" s="1826"/>
      <c r="J19" s="1826"/>
      <c r="K19" s="1826"/>
      <c r="L19" s="1823">
        <f t="shared" si="0"/>
        <v>0</v>
      </c>
      <c r="M19" s="1826"/>
    </row>
    <row r="20" spans="2:14" ht="20.100000000000001" customHeight="1" x14ac:dyDescent="0.2">
      <c r="B20" s="1113"/>
      <c r="C20" s="2039"/>
      <c r="D20" s="2040"/>
      <c r="E20" s="1826"/>
      <c r="F20" s="1826"/>
      <c r="G20" s="1826"/>
      <c r="H20" s="1826"/>
      <c r="I20" s="1826"/>
      <c r="J20" s="1826"/>
      <c r="K20" s="1826"/>
      <c r="L20" s="1823">
        <f t="shared" si="0"/>
        <v>0</v>
      </c>
      <c r="M20" s="1826"/>
    </row>
    <row r="21" spans="2:14" ht="20.100000000000001" customHeight="1" x14ac:dyDescent="0.2">
      <c r="B21" s="1113"/>
      <c r="C21" s="2039"/>
      <c r="D21" s="2040"/>
      <c r="E21" s="1826"/>
      <c r="F21" s="1826"/>
      <c r="G21" s="1826"/>
      <c r="H21" s="1826"/>
      <c r="I21" s="1826"/>
      <c r="J21" s="1826"/>
      <c r="K21" s="1826"/>
      <c r="L21" s="1823">
        <f t="shared" si="0"/>
        <v>0</v>
      </c>
      <c r="M21" s="1826"/>
    </row>
    <row r="22" spans="2:14" ht="20.100000000000001" customHeight="1" x14ac:dyDescent="0.2">
      <c r="B22" s="1113"/>
      <c r="C22" s="2039"/>
      <c r="D22" s="2040"/>
      <c r="E22" s="1826"/>
      <c r="F22" s="1826"/>
      <c r="G22" s="1826"/>
      <c r="H22" s="1826"/>
      <c r="I22" s="1826"/>
      <c r="J22" s="1826"/>
      <c r="K22" s="1826"/>
      <c r="L22" s="1823">
        <f t="shared" si="0"/>
        <v>0</v>
      </c>
      <c r="M22" s="1826"/>
    </row>
    <row r="23" spans="2:14" ht="20.100000000000001" customHeight="1" x14ac:dyDescent="0.2">
      <c r="B23" s="1113"/>
      <c r="C23" s="2039"/>
      <c r="D23" s="2040"/>
      <c r="E23" s="1826"/>
      <c r="F23" s="1826"/>
      <c r="G23" s="1826"/>
      <c r="H23" s="1826"/>
      <c r="I23" s="1826"/>
      <c r="J23" s="1826"/>
      <c r="K23" s="1826"/>
      <c r="L23" s="1823">
        <f t="shared" si="0"/>
        <v>0</v>
      </c>
      <c r="M23" s="1826"/>
    </row>
    <row r="24" spans="2:14" ht="20.100000000000001" customHeight="1" x14ac:dyDescent="0.2">
      <c r="B24" s="1113"/>
      <c r="C24" s="2039"/>
      <c r="D24" s="2040"/>
      <c r="E24" s="1826"/>
      <c r="F24" s="1826"/>
      <c r="G24" s="1826"/>
      <c r="H24" s="1826"/>
      <c r="I24" s="1826"/>
      <c r="J24" s="1826"/>
      <c r="K24" s="1826"/>
      <c r="L24" s="1823">
        <f t="shared" si="0"/>
        <v>0</v>
      </c>
      <c r="M24" s="1826"/>
    </row>
    <row r="25" spans="2:14" ht="20.100000000000001" customHeight="1" x14ac:dyDescent="0.2">
      <c r="B25" s="1113"/>
      <c r="C25" s="2039"/>
      <c r="D25" s="2040"/>
      <c r="E25" s="1826"/>
      <c r="F25" s="1826"/>
      <c r="G25" s="1826"/>
      <c r="H25" s="1826"/>
      <c r="I25" s="1826"/>
      <c r="J25" s="1826"/>
      <c r="K25" s="1826"/>
      <c r="L25" s="1823">
        <f t="shared" si="0"/>
        <v>0</v>
      </c>
      <c r="M25" s="1826"/>
    </row>
    <row r="26" spans="2:14" ht="20.100000000000001" customHeight="1" x14ac:dyDescent="0.2">
      <c r="B26" s="1113"/>
      <c r="C26" s="2039"/>
      <c r="D26" s="2040"/>
      <c r="E26" s="1826"/>
      <c r="F26" s="1826"/>
      <c r="G26" s="1826"/>
      <c r="H26" s="1826"/>
      <c r="I26" s="1826"/>
      <c r="J26" s="1826"/>
      <c r="K26" s="1826"/>
      <c r="L26" s="1823">
        <f t="shared" si="0"/>
        <v>0</v>
      </c>
      <c r="M26" s="1826"/>
    </row>
    <row r="27" spans="2:14" ht="20.100000000000001" customHeight="1" x14ac:dyDescent="0.2">
      <c r="B27" s="1113" t="s">
        <v>2121</v>
      </c>
      <c r="C27" s="2039"/>
      <c r="D27" s="2040"/>
      <c r="E27" s="1826">
        <f>SUM(E13:E26)</f>
        <v>0</v>
      </c>
      <c r="F27" s="1826">
        <f t="shared" ref="F27:K27" si="1">SUM(F13:F26)</f>
        <v>11901</v>
      </c>
      <c r="G27" s="1826">
        <f t="shared" si="1"/>
        <v>0</v>
      </c>
      <c r="H27" s="1826">
        <f t="shared" si="1"/>
        <v>0</v>
      </c>
      <c r="I27" s="1826">
        <f t="shared" si="1"/>
        <v>11901</v>
      </c>
      <c r="J27" s="1826">
        <f t="shared" si="1"/>
        <v>0</v>
      </c>
      <c r="K27" s="1826">
        <f t="shared" si="1"/>
        <v>0</v>
      </c>
      <c r="L27" s="1823">
        <f t="shared" si="0"/>
        <v>11901</v>
      </c>
      <c r="M27" s="1826">
        <f>SUM(M13:M26)</f>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62E8E-73FE-4EFD-A195-6279D814F267}">
  <sheetPr>
    <pageSetUpPr fitToPage="1"/>
  </sheetPr>
  <dimension ref="B1:N152"/>
  <sheetViews>
    <sheetView showGridLines="0" zoomScaleNormal="100" workbookViewId="0">
      <selection activeCell="O22" sqref="O2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Riverton CUSD 14</v>
      </c>
      <c r="C1" s="2570"/>
      <c r="D1" s="2570"/>
      <c r="E1" s="2570"/>
      <c r="F1" s="2570"/>
      <c r="G1" s="2570"/>
      <c r="H1" s="2570"/>
      <c r="I1" s="2570"/>
      <c r="J1" s="2570"/>
      <c r="K1" s="2570"/>
      <c r="L1" s="2570"/>
      <c r="M1" s="2570"/>
    </row>
    <row r="2" spans="2:14" ht="15" x14ac:dyDescent="0.2">
      <c r="B2" s="2571">
        <f>'Single Audit Cover'!E7</f>
        <v>51084014026</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2123</v>
      </c>
      <c r="C11" s="2037"/>
      <c r="D11" s="2038"/>
      <c r="E11" s="1823"/>
      <c r="F11" s="1823"/>
      <c r="G11" s="1823"/>
      <c r="H11" s="1823"/>
      <c r="I11" s="1823"/>
      <c r="J11" s="1823"/>
      <c r="K11" s="1823"/>
      <c r="L11" s="1823">
        <f>+G11+I11+K11</f>
        <v>0</v>
      </c>
      <c r="M11" s="1823"/>
    </row>
    <row r="12" spans="2:14" ht="20.100000000000001" customHeight="1" x14ac:dyDescent="0.2">
      <c r="B12" s="1113" t="s">
        <v>2124</v>
      </c>
      <c r="C12" s="2039"/>
      <c r="D12" s="2040"/>
      <c r="E12" s="1826"/>
      <c r="F12" s="1826"/>
      <c r="G12" s="1826"/>
      <c r="H12" s="1826"/>
      <c r="I12" s="1826"/>
      <c r="J12" s="1826"/>
      <c r="K12" s="1826"/>
      <c r="L12" s="1823">
        <f t="shared" ref="L12:L27" si="0">+G12+I12+K12</f>
        <v>0</v>
      </c>
      <c r="M12" s="1826"/>
    </row>
    <row r="13" spans="2:14" ht="20.100000000000001" customHeight="1" x14ac:dyDescent="0.2">
      <c r="B13" s="1113"/>
      <c r="C13" s="2039"/>
      <c r="D13" s="2040"/>
      <c r="E13" s="1826"/>
      <c r="F13" s="1826"/>
      <c r="G13" s="1826"/>
      <c r="H13" s="1826"/>
      <c r="I13" s="1826"/>
      <c r="J13" s="1826"/>
      <c r="K13" s="1826"/>
      <c r="L13" s="1823">
        <f t="shared" si="0"/>
        <v>0</v>
      </c>
      <c r="M13" s="1826"/>
    </row>
    <row r="14" spans="2:14" ht="20.100000000000001" customHeight="1" x14ac:dyDescent="0.2">
      <c r="B14" s="1113" t="s">
        <v>2125</v>
      </c>
      <c r="C14" s="2039">
        <v>84.027000000000001</v>
      </c>
      <c r="D14" s="2040" t="s">
        <v>2130</v>
      </c>
      <c r="E14" s="1826"/>
      <c r="F14" s="1826">
        <v>184264</v>
      </c>
      <c r="G14" s="1826"/>
      <c r="H14" s="1826"/>
      <c r="I14" s="1826">
        <v>184264</v>
      </c>
      <c r="J14" s="1826"/>
      <c r="K14" s="1826"/>
      <c r="L14" s="1823">
        <f t="shared" si="0"/>
        <v>184264</v>
      </c>
      <c r="M14" s="1826" t="s">
        <v>2096</v>
      </c>
    </row>
    <row r="15" spans="2:14" ht="20.100000000000001" customHeight="1" x14ac:dyDescent="0.2">
      <c r="B15" s="1113" t="s">
        <v>2126</v>
      </c>
      <c r="C15" s="2039">
        <v>84.027000000000001</v>
      </c>
      <c r="D15" s="2040" t="s">
        <v>2133</v>
      </c>
      <c r="E15" s="1826"/>
      <c r="F15" s="1826">
        <v>114659</v>
      </c>
      <c r="G15" s="1826"/>
      <c r="H15" s="1826"/>
      <c r="I15" s="1826">
        <v>114659</v>
      </c>
      <c r="J15" s="1826"/>
      <c r="K15" s="1826"/>
      <c r="L15" s="1823">
        <f t="shared" si="0"/>
        <v>114659</v>
      </c>
      <c r="M15" s="1826"/>
    </row>
    <row r="16" spans="2:14" ht="20.100000000000001" customHeight="1" x14ac:dyDescent="0.2">
      <c r="B16" s="1113" t="s">
        <v>2126</v>
      </c>
      <c r="C16" s="2039">
        <v>84.027000000000001</v>
      </c>
      <c r="D16" s="2040" t="s">
        <v>2132</v>
      </c>
      <c r="E16" s="1826"/>
      <c r="F16" s="1826">
        <v>42372</v>
      </c>
      <c r="G16" s="1826"/>
      <c r="H16" s="1826"/>
      <c r="I16" s="1826">
        <v>42372</v>
      </c>
      <c r="J16" s="1826"/>
      <c r="K16" s="1826"/>
      <c r="L16" s="1823">
        <f t="shared" si="0"/>
        <v>42372</v>
      </c>
      <c r="M16" s="1826"/>
    </row>
    <row r="17" spans="2:14" ht="20.100000000000001" customHeight="1" x14ac:dyDescent="0.2">
      <c r="B17" s="1113" t="s">
        <v>2127</v>
      </c>
      <c r="C17" s="2039">
        <v>84.173000000000002</v>
      </c>
      <c r="D17" s="2040" t="s">
        <v>2131</v>
      </c>
      <c r="E17" s="1826"/>
      <c r="F17" s="1826">
        <v>17170</v>
      </c>
      <c r="G17" s="1826"/>
      <c r="H17" s="1826"/>
      <c r="I17" s="1826">
        <v>17170</v>
      </c>
      <c r="J17" s="1826"/>
      <c r="K17" s="1826"/>
      <c r="L17" s="1823">
        <f t="shared" si="0"/>
        <v>17170</v>
      </c>
      <c r="M17" s="1826"/>
    </row>
    <row r="18" spans="2:14" ht="20.100000000000001" customHeight="1" x14ac:dyDescent="0.2">
      <c r="B18" s="1113" t="s">
        <v>2128</v>
      </c>
      <c r="C18" s="2039"/>
      <c r="D18" s="2040"/>
      <c r="E18" s="1826">
        <f>SUM(E13:E17)</f>
        <v>0</v>
      </c>
      <c r="F18" s="1826">
        <f t="shared" ref="F18:K18" si="1">SUM(F13:F17)</f>
        <v>358465</v>
      </c>
      <c r="G18" s="1826">
        <f t="shared" si="1"/>
        <v>0</v>
      </c>
      <c r="H18" s="1826">
        <f t="shared" si="1"/>
        <v>0</v>
      </c>
      <c r="I18" s="1826">
        <f t="shared" si="1"/>
        <v>358465</v>
      </c>
      <c r="J18" s="1826">
        <f t="shared" si="1"/>
        <v>0</v>
      </c>
      <c r="K18" s="1826">
        <f t="shared" si="1"/>
        <v>0</v>
      </c>
      <c r="L18" s="1823">
        <f t="shared" si="0"/>
        <v>358465</v>
      </c>
      <c r="M18" s="1826">
        <f>SUM(M13:M17)</f>
        <v>0</v>
      </c>
    </row>
    <row r="19" spans="2:14" ht="20.100000000000001" customHeight="1" x14ac:dyDescent="0.2">
      <c r="B19" s="1113"/>
      <c r="C19" s="2039"/>
      <c r="D19" s="2040"/>
      <c r="E19" s="1826"/>
      <c r="F19" s="1826"/>
      <c r="G19" s="1826"/>
      <c r="H19" s="1826"/>
      <c r="I19" s="1826"/>
      <c r="J19" s="1826"/>
      <c r="K19" s="1826"/>
      <c r="L19" s="1823">
        <f t="shared" si="0"/>
        <v>0</v>
      </c>
      <c r="M19" s="1826"/>
    </row>
    <row r="20" spans="2:14" ht="20.100000000000001" customHeight="1" x14ac:dyDescent="0.2">
      <c r="B20" s="1113"/>
      <c r="C20" s="2039"/>
      <c r="D20" s="2040"/>
      <c r="E20" s="1826"/>
      <c r="F20" s="1826"/>
      <c r="G20" s="1826"/>
      <c r="H20" s="1826"/>
      <c r="I20" s="1826"/>
      <c r="J20" s="1826"/>
      <c r="K20" s="1826"/>
      <c r="L20" s="1823">
        <f t="shared" si="0"/>
        <v>0</v>
      </c>
      <c r="M20" s="1826"/>
    </row>
    <row r="21" spans="2:14" ht="20.100000000000001" customHeight="1" x14ac:dyDescent="0.2">
      <c r="B21" s="1113"/>
      <c r="C21" s="2039"/>
      <c r="D21" s="2040"/>
      <c r="E21" s="1826"/>
      <c r="F21" s="1826"/>
      <c r="G21" s="1826"/>
      <c r="H21" s="1826"/>
      <c r="I21" s="1826"/>
      <c r="J21" s="1826"/>
      <c r="K21" s="1826"/>
      <c r="L21" s="1823">
        <f t="shared" si="0"/>
        <v>0</v>
      </c>
      <c r="M21" s="1826"/>
    </row>
    <row r="22" spans="2:14" ht="20.100000000000001" customHeight="1" x14ac:dyDescent="0.2">
      <c r="B22" s="1113"/>
      <c r="C22" s="2039"/>
      <c r="D22" s="2040"/>
      <c r="E22" s="1826"/>
      <c r="F22" s="1826"/>
      <c r="G22" s="1826"/>
      <c r="H22" s="1826"/>
      <c r="I22" s="1826"/>
      <c r="J22" s="1826"/>
      <c r="K22" s="1826"/>
      <c r="L22" s="1823">
        <f t="shared" si="0"/>
        <v>0</v>
      </c>
      <c r="M22" s="1826"/>
    </row>
    <row r="23" spans="2:14" ht="20.100000000000001" customHeight="1" x14ac:dyDescent="0.2">
      <c r="B23" s="1113"/>
      <c r="C23" s="2039"/>
      <c r="D23" s="2040"/>
      <c r="E23" s="1826"/>
      <c r="F23" s="1826"/>
      <c r="G23" s="1826"/>
      <c r="H23" s="1826"/>
      <c r="I23" s="1826"/>
      <c r="J23" s="1826"/>
      <c r="K23" s="1826"/>
      <c r="L23" s="1823">
        <f t="shared" si="0"/>
        <v>0</v>
      </c>
      <c r="M23" s="1826"/>
    </row>
    <row r="24" spans="2:14" ht="20.100000000000001" customHeight="1" x14ac:dyDescent="0.2">
      <c r="B24" s="1113"/>
      <c r="C24" s="2039"/>
      <c r="D24" s="2040"/>
      <c r="E24" s="1826"/>
      <c r="F24" s="1826"/>
      <c r="G24" s="1826"/>
      <c r="H24" s="1826"/>
      <c r="I24" s="1826"/>
      <c r="J24" s="1826"/>
      <c r="K24" s="1826"/>
      <c r="L24" s="1823">
        <f t="shared" si="0"/>
        <v>0</v>
      </c>
      <c r="M24" s="1826"/>
    </row>
    <row r="25" spans="2:14" ht="20.100000000000001" customHeight="1" x14ac:dyDescent="0.2">
      <c r="B25" s="1113"/>
      <c r="C25" s="2039"/>
      <c r="D25" s="2040"/>
      <c r="E25" s="1826"/>
      <c r="F25" s="1826"/>
      <c r="G25" s="1826"/>
      <c r="H25" s="1826"/>
      <c r="I25" s="1826"/>
      <c r="J25" s="1826"/>
      <c r="K25" s="1826"/>
      <c r="L25" s="1823">
        <f t="shared" si="0"/>
        <v>0</v>
      </c>
      <c r="M25" s="1826"/>
    </row>
    <row r="26" spans="2:14" ht="20.100000000000001" customHeight="1" x14ac:dyDescent="0.2">
      <c r="B26" s="1113"/>
      <c r="C26" s="2039"/>
      <c r="D26" s="2040"/>
      <c r="E26" s="1826"/>
      <c r="F26" s="1826"/>
      <c r="G26" s="1826"/>
      <c r="H26" s="1826"/>
      <c r="I26" s="1826"/>
      <c r="J26" s="1826"/>
      <c r="K26" s="1826"/>
      <c r="L26" s="1823">
        <f t="shared" si="0"/>
        <v>0</v>
      </c>
      <c r="M26" s="1826"/>
    </row>
    <row r="27" spans="2:14" ht="20.100000000000001" customHeight="1" x14ac:dyDescent="0.2">
      <c r="B27" s="1113" t="s">
        <v>2129</v>
      </c>
      <c r="C27" s="2039"/>
      <c r="D27" s="2040"/>
      <c r="E27" s="1826">
        <f>SUM(E18)</f>
        <v>0</v>
      </c>
      <c r="F27" s="1826">
        <f t="shared" ref="F27:K27" si="2">SUM(F18)</f>
        <v>358465</v>
      </c>
      <c r="G27" s="1826">
        <f t="shared" si="2"/>
        <v>0</v>
      </c>
      <c r="H27" s="1826">
        <f t="shared" si="2"/>
        <v>0</v>
      </c>
      <c r="I27" s="1826">
        <f t="shared" si="2"/>
        <v>358465</v>
      </c>
      <c r="J27" s="1826">
        <f t="shared" si="2"/>
        <v>0</v>
      </c>
      <c r="K27" s="1826">
        <f t="shared" si="2"/>
        <v>0</v>
      </c>
      <c r="L27" s="1823">
        <f t="shared" si="0"/>
        <v>358465</v>
      </c>
      <c r="M27" s="1826">
        <f>SUM(M18)</f>
        <v>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C9CD1-CB5F-4642-8B03-D3F619F1374C}">
  <sheetPr>
    <pageSetUpPr fitToPage="1"/>
  </sheetPr>
  <dimension ref="B1:N152"/>
  <sheetViews>
    <sheetView showGridLines="0" zoomScaleNormal="100" workbookViewId="0">
      <selection sqref="A1:XFD104857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5" t="str">
        <f>'Single Audit Cover'!A7</f>
        <v xml:space="preserve">   Riverton CUSD 14</v>
      </c>
      <c r="C1" s="2570"/>
      <c r="D1" s="2570"/>
      <c r="E1" s="2570"/>
      <c r="F1" s="2570"/>
      <c r="G1" s="2570"/>
      <c r="H1" s="2570"/>
      <c r="I1" s="2570"/>
      <c r="J1" s="2570"/>
      <c r="K1" s="2570"/>
      <c r="L1" s="2570"/>
      <c r="M1" s="2570"/>
    </row>
    <row r="2" spans="2:14" ht="15" x14ac:dyDescent="0.2">
      <c r="B2" s="2571">
        <f>'Single Audit Cover'!E7</f>
        <v>51084014026</v>
      </c>
      <c r="C2" s="2571"/>
      <c r="D2" s="2571"/>
      <c r="E2" s="2571"/>
      <c r="F2" s="2571"/>
      <c r="G2" s="2571"/>
      <c r="H2" s="2571"/>
      <c r="I2" s="2571"/>
      <c r="J2" s="2571"/>
      <c r="K2" s="2571"/>
      <c r="L2" s="2571"/>
      <c r="M2" s="2571"/>
      <c r="N2" s="1078"/>
    </row>
    <row r="3" spans="2:14" ht="15" x14ac:dyDescent="0.2">
      <c r="B3" s="2572" t="s">
        <v>1208</v>
      </c>
      <c r="C3" s="2572"/>
      <c r="D3" s="2572"/>
      <c r="E3" s="2572"/>
      <c r="F3" s="2572"/>
      <c r="G3" s="2572"/>
      <c r="H3" s="2572"/>
      <c r="I3" s="2572"/>
      <c r="J3" s="2572"/>
      <c r="K3" s="2572"/>
      <c r="L3" s="2572"/>
      <c r="M3" s="2572"/>
      <c r="N3" s="1078"/>
    </row>
    <row r="4" spans="2:14" ht="15" x14ac:dyDescent="0.2">
      <c r="B4" s="2573" t="str">
        <f>'Single Audit Cover'!A4</f>
        <v>Year Ending June 30, 2020</v>
      </c>
      <c r="C4" s="2573"/>
      <c r="D4" s="2573"/>
      <c r="E4" s="2573"/>
      <c r="F4" s="2573"/>
      <c r="G4" s="2573"/>
      <c r="H4" s="2573"/>
      <c r="I4" s="2573"/>
      <c r="J4" s="2573"/>
      <c r="K4" s="2573"/>
      <c r="L4" s="2573"/>
      <c r="M4" s="2573"/>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2113</v>
      </c>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2114</v>
      </c>
      <c r="C13" s="1824"/>
      <c r="D13" s="1825"/>
      <c r="E13" s="1826">
        <f>SUM(' SEFA'!E27)+SUM(' SEFA (2)'!E27)</f>
        <v>923391</v>
      </c>
      <c r="F13" s="1826">
        <f>SUM(' SEFA'!F27)+SUM(' SEFA (2)'!F27)</f>
        <v>1424684</v>
      </c>
      <c r="G13" s="1826">
        <f>SUM(' SEFA'!G27)+SUM(' SEFA (2)'!G27)</f>
        <v>1033305</v>
      </c>
      <c r="H13" s="1826">
        <f>SUM(' SEFA'!H27)+SUM(' SEFA (2)'!H27)</f>
        <v>0</v>
      </c>
      <c r="I13" s="1826">
        <f>SUM(' SEFA'!I27)+SUM(' SEFA (2)'!I27)</f>
        <v>1433495</v>
      </c>
      <c r="J13" s="1826">
        <f>SUM(' SEFA'!J27)+SUM(' SEFA (2)'!J27)</f>
        <v>0</v>
      </c>
      <c r="K13" s="1826">
        <f>SUM(' SEFA'!K27)+SUM(' SEFA (2)'!K27)</f>
        <v>26713</v>
      </c>
      <c r="L13" s="1823">
        <f t="shared" si="0"/>
        <v>2493513</v>
      </c>
      <c r="M13" s="1826">
        <f>SUM(' SEFA'!M27)+SUM(' SEFA (2)'!M27)</f>
        <v>1182980</v>
      </c>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2115</v>
      </c>
      <c r="C15" s="1824"/>
      <c r="D15" s="1825"/>
      <c r="E15" s="1826">
        <f>SUM(' SEFA (3)'!E27)</f>
        <v>0</v>
      </c>
      <c r="F15" s="1826">
        <f>SUM(' SEFA (3)'!F27)</f>
        <v>11901</v>
      </c>
      <c r="G15" s="1826">
        <f>SUM(' SEFA (3)'!G27)</f>
        <v>0</v>
      </c>
      <c r="H15" s="1826">
        <f>SUM(' SEFA (3)'!H27)</f>
        <v>0</v>
      </c>
      <c r="I15" s="1826">
        <f>SUM(' SEFA (3)'!I27)</f>
        <v>11901</v>
      </c>
      <c r="J15" s="1826">
        <f>SUM(' SEFA (3)'!J27)</f>
        <v>0</v>
      </c>
      <c r="K15" s="1826">
        <f>SUM(' SEFA (3)'!K27)</f>
        <v>0</v>
      </c>
      <c r="L15" s="1823">
        <f t="shared" si="0"/>
        <v>11901</v>
      </c>
      <c r="M15" s="1826">
        <f>SUM(' SEFA (3)'!M27)</f>
        <v>0</v>
      </c>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2116</v>
      </c>
      <c r="C17" s="1824"/>
      <c r="D17" s="1825"/>
      <c r="E17" s="1826">
        <f>SUM(' SEFA (4)'!E27)</f>
        <v>0</v>
      </c>
      <c r="F17" s="1826">
        <f>SUM(' SEFA (4)'!F27)</f>
        <v>358465</v>
      </c>
      <c r="G17" s="1826">
        <f>SUM(' SEFA (4)'!G27)</f>
        <v>0</v>
      </c>
      <c r="H17" s="1826">
        <f>SUM(' SEFA (4)'!H27)</f>
        <v>0</v>
      </c>
      <c r="I17" s="1826">
        <f>SUM(' SEFA (4)'!I27)</f>
        <v>358465</v>
      </c>
      <c r="J17" s="1826">
        <f>SUM(' SEFA (4)'!J27)</f>
        <v>0</v>
      </c>
      <c r="K17" s="1826">
        <f>SUM(' SEFA (4)'!K27)</f>
        <v>0</v>
      </c>
      <c r="L17" s="1823">
        <f t="shared" si="0"/>
        <v>358465</v>
      </c>
      <c r="M17" s="1826">
        <f>SUM(' SEFA (4)'!M27)</f>
        <v>0</v>
      </c>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2117</v>
      </c>
      <c r="C27" s="1824"/>
      <c r="D27" s="1825"/>
      <c r="E27" s="1826">
        <f>SUM(E12:E26)</f>
        <v>923391</v>
      </c>
      <c r="F27" s="1826">
        <f t="shared" ref="F27:K27" si="1">SUM(F12:F26)</f>
        <v>1795050</v>
      </c>
      <c r="G27" s="1826">
        <f t="shared" si="1"/>
        <v>1033305</v>
      </c>
      <c r="H27" s="1826">
        <f t="shared" si="1"/>
        <v>0</v>
      </c>
      <c r="I27" s="1826">
        <f t="shared" si="1"/>
        <v>1803861</v>
      </c>
      <c r="J27" s="1826">
        <f t="shared" si="1"/>
        <v>0</v>
      </c>
      <c r="K27" s="1826">
        <f t="shared" si="1"/>
        <v>26713</v>
      </c>
      <c r="L27" s="1823">
        <f t="shared" si="0"/>
        <v>2863879</v>
      </c>
      <c r="M27" s="1826">
        <f>SUM(M12:M26)</f>
        <v>1182980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fitToWidth="0" orientation="landscape" useFirstPageNumber="1" r:id="rId1"/>
  <headerFooter alignWithMargins="0">
    <oddHeader>&amp;R&amp;8Page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D36" sqref="D3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5" t="str">
        <f>'Single Audit Cover'!A7</f>
        <v xml:space="preserve">   Riverton CUSD 14</v>
      </c>
      <c r="B1" s="2575"/>
      <c r="C1" s="2575"/>
      <c r="D1" s="2575"/>
      <c r="E1" s="2575"/>
      <c r="F1" s="2575"/>
    </row>
    <row r="2" spans="1:7" ht="13.5" customHeight="1" x14ac:dyDescent="0.2">
      <c r="A2" s="2571">
        <f>'Single Audit Cover'!E7</f>
        <v>51084014026</v>
      </c>
      <c r="B2" s="2571"/>
      <c r="C2" s="2571"/>
      <c r="D2" s="2571"/>
      <c r="E2" s="2571"/>
      <c r="F2" s="2571"/>
      <c r="G2" s="1051"/>
    </row>
    <row r="3" spans="1:7" ht="15.75" customHeight="1" x14ac:dyDescent="0.2">
      <c r="A3" s="2576" t="s">
        <v>1260</v>
      </c>
      <c r="B3" s="2576"/>
      <c r="C3" s="2576"/>
      <c r="D3" s="2576"/>
      <c r="E3" s="2576"/>
      <c r="F3" s="2576"/>
    </row>
    <row r="4" spans="1:7" ht="13.5" customHeight="1" x14ac:dyDescent="0.2">
      <c r="A4" s="2577" t="str">
        <f>'Single Audit Cover'!A4</f>
        <v>Year Ending June 30, 2020</v>
      </c>
      <c r="B4" s="2577"/>
      <c r="C4" s="2577"/>
      <c r="D4" s="2577"/>
      <c r="E4" s="2577"/>
      <c r="F4" s="2577"/>
    </row>
    <row r="5" spans="1:7" ht="8.25" customHeight="1" x14ac:dyDescent="0.2">
      <c r="C5" s="295"/>
      <c r="D5" s="295"/>
    </row>
    <row r="6" spans="1:7" ht="13.5" customHeight="1" x14ac:dyDescent="0.2">
      <c r="A6" s="1052" t="s">
        <v>1705</v>
      </c>
      <c r="C6" s="295"/>
      <c r="D6" s="295"/>
    </row>
    <row r="7" spans="1:7" ht="60.95" customHeight="1" x14ac:dyDescent="0.2">
      <c r="A7" s="2574" t="s">
        <v>2135</v>
      </c>
      <c r="B7" s="2574"/>
      <c r="C7" s="2574"/>
      <c r="D7" s="2574"/>
      <c r="E7" s="2574"/>
      <c r="F7" s="2574"/>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2048</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4" t="s">
        <v>2136</v>
      </c>
      <c r="B13" s="2574"/>
      <c r="C13" s="2574"/>
      <c r="D13" s="2574"/>
      <c r="E13" s="2574"/>
      <c r="F13" s="2574"/>
    </row>
    <row r="14" spans="1:7" ht="9.75" customHeight="1" x14ac:dyDescent="0.2">
      <c r="C14" s="1036"/>
      <c r="D14" s="1036"/>
    </row>
    <row r="15" spans="1:7" ht="13.5" customHeight="1" x14ac:dyDescent="0.2">
      <c r="C15" s="1476" t="s">
        <v>1259</v>
      </c>
      <c r="D15" s="2579" t="s">
        <v>1258</v>
      </c>
      <c r="E15" s="2579"/>
      <c r="F15" s="2579"/>
    </row>
    <row r="16" spans="1:7" ht="13.5" customHeight="1" x14ac:dyDescent="0.2">
      <c r="A16" s="1058"/>
      <c r="B16" s="1052" t="s">
        <v>1257</v>
      </c>
      <c r="C16" s="1476" t="s">
        <v>1256</v>
      </c>
      <c r="D16" s="2580" t="s">
        <v>1571</v>
      </c>
      <c r="E16" s="2580"/>
      <c r="F16" s="2580"/>
    </row>
    <row r="17" spans="1:6" ht="20.45" customHeight="1" x14ac:dyDescent="0.2">
      <c r="A17" s="1059"/>
      <c r="B17" s="1060" t="s">
        <v>2134</v>
      </c>
      <c r="C17" s="1061"/>
      <c r="D17" s="2578"/>
      <c r="E17" s="2578"/>
      <c r="F17" s="2578"/>
    </row>
    <row r="18" spans="1:6" ht="20.65" customHeight="1" x14ac:dyDescent="0.2">
      <c r="A18" s="1059"/>
      <c r="B18" s="1060"/>
      <c r="C18" s="1061"/>
      <c r="D18" s="2578"/>
      <c r="E18" s="2578"/>
      <c r="F18" s="2578"/>
    </row>
    <row r="19" spans="1:6" ht="20.65" customHeight="1" x14ac:dyDescent="0.2">
      <c r="A19" s="1059"/>
      <c r="B19" s="1060"/>
      <c r="C19" s="1061"/>
      <c r="D19" s="2578"/>
      <c r="E19" s="2578"/>
      <c r="F19" s="2578"/>
    </row>
    <row r="20" spans="1:6" ht="20.65" customHeight="1" x14ac:dyDescent="0.2">
      <c r="A20" s="1059"/>
      <c r="B20" s="1060"/>
      <c r="C20" s="1061"/>
      <c r="D20" s="2578"/>
      <c r="E20" s="2578"/>
      <c r="F20" s="2578"/>
    </row>
    <row r="21" spans="1:6" ht="20.65" customHeight="1" x14ac:dyDescent="0.2">
      <c r="A21" s="1059"/>
      <c r="B21" s="1060"/>
      <c r="C21" s="1061"/>
      <c r="D21" s="2578"/>
      <c r="E21" s="2578"/>
      <c r="F21" s="2578"/>
    </row>
    <row r="22" spans="1:6" ht="20.65" customHeight="1" x14ac:dyDescent="0.2">
      <c r="A22" s="1059"/>
      <c r="B22" s="1060"/>
      <c r="C22" s="1061"/>
      <c r="D22" s="2578"/>
      <c r="E22" s="2578"/>
      <c r="F22" s="2578"/>
    </row>
    <row r="23" spans="1:6" ht="20.65" customHeight="1" x14ac:dyDescent="0.2">
      <c r="A23" s="1059"/>
      <c r="B23" s="1060"/>
      <c r="C23" s="1061"/>
      <c r="D23" s="2578"/>
      <c r="E23" s="2578"/>
      <c r="F23" s="2578"/>
    </row>
    <row r="24" spans="1:6" ht="20.65" customHeight="1" x14ac:dyDescent="0.2">
      <c r="A24" s="1059"/>
      <c r="B24" s="1060"/>
      <c r="C24" s="1061"/>
      <c r="D24" s="2578"/>
      <c r="E24" s="2578"/>
      <c r="F24" s="2578"/>
    </row>
    <row r="25" spans="1:6" ht="20.65" customHeight="1" x14ac:dyDescent="0.2">
      <c r="A25" s="1059"/>
      <c r="B25" s="1060"/>
      <c r="C25" s="1061"/>
      <c r="D25" s="2578"/>
      <c r="E25" s="2578"/>
      <c r="F25" s="2578"/>
    </row>
    <row r="26" spans="1:6" ht="20.65" customHeight="1" x14ac:dyDescent="0.2">
      <c r="A26" s="1059"/>
      <c r="B26" s="1060"/>
      <c r="C26" s="1061"/>
      <c r="D26" s="2578"/>
      <c r="E26" s="2578"/>
      <c r="F26" s="2578"/>
    </row>
    <row r="27" spans="1:6" ht="20.65" customHeight="1" x14ac:dyDescent="0.2">
      <c r="A27" s="1059"/>
      <c r="B27" s="1060"/>
      <c r="C27" s="1061"/>
      <c r="D27" s="2578"/>
      <c r="E27" s="2578"/>
      <c r="F27" s="2578"/>
    </row>
    <row r="28" spans="1:6" ht="20.65" customHeight="1" x14ac:dyDescent="0.2">
      <c r="A28" s="1059"/>
      <c r="B28" s="1060"/>
      <c r="C28" s="1061"/>
      <c r="D28" s="2578"/>
      <c r="E28" s="2578"/>
      <c r="F28" s="2578"/>
    </row>
    <row r="29" spans="1:6" ht="20.65" customHeight="1" x14ac:dyDescent="0.2">
      <c r="A29" s="1059"/>
      <c r="B29" s="1060"/>
      <c r="C29" s="1061"/>
      <c r="D29" s="2578"/>
      <c r="E29" s="2578"/>
      <c r="F29" s="2578"/>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2" t="s">
        <v>2137</v>
      </c>
      <c r="B32" s="2582"/>
      <c r="C32" s="2582"/>
      <c r="D32" s="2582"/>
      <c r="E32" s="2582"/>
      <c r="F32" s="2582"/>
    </row>
    <row r="33" spans="1:6" ht="13.5" customHeight="1" x14ac:dyDescent="0.2">
      <c r="A33" s="306" t="s">
        <v>1417</v>
      </c>
      <c r="B33" s="306"/>
      <c r="C33" s="1064">
        <f>SUM(' SEFA'!I22)</f>
        <v>41382</v>
      </c>
      <c r="D33" s="1526"/>
      <c r="E33" s="1062"/>
    </row>
    <row r="34" spans="1:6" ht="13.5" customHeight="1" x14ac:dyDescent="0.2">
      <c r="A34" s="306" t="s">
        <v>1808</v>
      </c>
      <c r="B34" s="306"/>
      <c r="C34" s="1065">
        <f>SUM(' SEFA'!I23)</f>
        <v>14999</v>
      </c>
      <c r="D34" s="1526" t="s">
        <v>1572</v>
      </c>
      <c r="E34" s="2583">
        <f>+C33+C34</f>
        <v>56381</v>
      </c>
      <c r="F34" s="258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v>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5" t="s">
        <v>1573</v>
      </c>
      <c r="C49" s="2585"/>
      <c r="D49" s="2585"/>
      <c r="E49" s="1168"/>
    </row>
    <row r="50" spans="1:5" s="1076" customFormat="1" ht="3.75" customHeight="1" x14ac:dyDescent="0.2">
      <c r="A50" s="1075"/>
      <c r="B50" s="1475"/>
      <c r="C50" s="1475"/>
      <c r="D50" s="1475"/>
      <c r="E50" s="1168"/>
    </row>
    <row r="51" spans="1:5" s="1076" customFormat="1" ht="20.25" customHeight="1" x14ac:dyDescent="0.2">
      <c r="A51" s="1077">
        <v>6</v>
      </c>
      <c r="B51" s="2581" t="s">
        <v>1534</v>
      </c>
      <c r="C51" s="2581"/>
      <c r="D51" s="2581"/>
    </row>
    <row r="52" spans="1:5" ht="14.25" customHeight="1" x14ac:dyDescent="0.2">
      <c r="A52" s="1077"/>
      <c r="B52" s="2581"/>
      <c r="C52" s="2581"/>
      <c r="D52" s="258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19" zoomScale="110" zoomScaleNormal="110" workbookViewId="0">
      <selection activeCell="D36" sqref="D36"/>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0" t="str">
        <f>'Single Audit Cover'!A7</f>
        <v xml:space="preserve">   Riverton CUSD 14</v>
      </c>
      <c r="C1" s="2591"/>
      <c r="D1" s="2591"/>
      <c r="E1" s="2591"/>
      <c r="F1" s="2591"/>
      <c r="G1" s="2591"/>
      <c r="H1" s="2591"/>
      <c r="I1" s="2591"/>
      <c r="J1" s="1178"/>
    </row>
    <row r="2" spans="2:10" s="295" customFormat="1" ht="12.75" customHeight="1" x14ac:dyDescent="0.2">
      <c r="B2" s="2592">
        <f>'Single Audit Cover'!E7</f>
        <v>51084014026</v>
      </c>
      <c r="C2" s="2593"/>
      <c r="D2" s="2593"/>
      <c r="E2" s="2593"/>
      <c r="F2" s="2593"/>
      <c r="G2" s="2593"/>
      <c r="H2" s="2593"/>
      <c r="I2" s="2593"/>
      <c r="J2" s="1178"/>
    </row>
    <row r="3" spans="2:10" s="295" customFormat="1" ht="12.75" customHeight="1" x14ac:dyDescent="0.2">
      <c r="B3" s="2594" t="s">
        <v>1274</v>
      </c>
      <c r="C3" s="2595"/>
      <c r="D3" s="2595"/>
      <c r="E3" s="2595"/>
      <c r="F3" s="2595"/>
      <c r="G3" s="2595"/>
      <c r="H3" s="2595"/>
      <c r="I3" s="2595"/>
      <c r="J3" s="1179"/>
    </row>
    <row r="4" spans="2:10" s="295" customFormat="1" ht="12.75" customHeight="1" x14ac:dyDescent="0.2">
      <c r="B4" s="2594" t="str">
        <f>'Single Audit Cover'!A4</f>
        <v>Year Ending June 30, 2020</v>
      </c>
      <c r="C4" s="2595"/>
      <c r="D4" s="2595"/>
      <c r="E4" s="2595"/>
      <c r="F4" s="2595"/>
      <c r="G4" s="2595"/>
      <c r="H4" s="2595"/>
      <c r="I4" s="2595"/>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4" t="s">
        <v>1273</v>
      </c>
      <c r="C7" s="2595"/>
      <c r="D7" s="2595"/>
      <c r="E7" s="2595"/>
      <c r="F7" s="2595"/>
      <c r="G7" s="2595"/>
      <c r="H7" s="2595"/>
      <c r="I7" s="2595"/>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6" t="s">
        <v>2138</v>
      </c>
      <c r="D11" s="2596"/>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2048</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2048</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2048</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2048</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2048</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7" t="s">
        <v>2139</v>
      </c>
      <c r="E29" s="2597"/>
      <c r="F29" s="2597"/>
      <c r="G29" s="2597"/>
      <c r="H29" s="2597"/>
      <c r="I29" s="2597"/>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2048</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8" t="s">
        <v>1725</v>
      </c>
      <c r="D37" s="2599"/>
      <c r="E37" s="2599"/>
      <c r="F37" s="2600"/>
      <c r="G37" s="2598" t="s">
        <v>1575</v>
      </c>
      <c r="H37" s="2599"/>
      <c r="I37" s="2600"/>
    </row>
    <row r="38" spans="2:9" ht="16.5" customHeight="1" x14ac:dyDescent="0.2">
      <c r="B38" s="1200"/>
      <c r="C38" s="2586" t="s">
        <v>2083</v>
      </c>
      <c r="D38" s="2587"/>
      <c r="E38" s="2587"/>
      <c r="F38" s="2588"/>
      <c r="G38" s="2601"/>
      <c r="H38" s="2602"/>
      <c r="I38" s="2603"/>
    </row>
    <row r="39" spans="2:9" ht="16.5" customHeight="1" x14ac:dyDescent="0.2">
      <c r="B39" s="1200">
        <v>10.555</v>
      </c>
      <c r="C39" s="2586" t="s">
        <v>2140</v>
      </c>
      <c r="D39" s="2587"/>
      <c r="E39" s="2587"/>
      <c r="F39" s="2588"/>
      <c r="G39" s="2589">
        <f>SUM(' SEFA'!I15:I16)</f>
        <v>388541</v>
      </c>
      <c r="H39" s="2589"/>
      <c r="I39" s="2589"/>
    </row>
    <row r="40" spans="2:9" ht="16.5" customHeight="1" x14ac:dyDescent="0.2">
      <c r="B40" s="1200">
        <v>10.553000000000001</v>
      </c>
      <c r="C40" s="2586" t="s">
        <v>2089</v>
      </c>
      <c r="D40" s="2587"/>
      <c r="E40" s="2587"/>
      <c r="F40" s="2588"/>
      <c r="G40" s="2589">
        <f>SUM(' SEFA'!I17:I18)</f>
        <v>169377</v>
      </c>
      <c r="H40" s="2589"/>
      <c r="I40" s="2589"/>
    </row>
    <row r="41" spans="2:9" ht="16.5" customHeight="1" x14ac:dyDescent="0.2">
      <c r="B41" s="1200">
        <v>10.558999999999999</v>
      </c>
      <c r="C41" s="2586" t="s">
        <v>2141</v>
      </c>
      <c r="D41" s="2587"/>
      <c r="E41" s="2587"/>
      <c r="F41" s="2588"/>
      <c r="G41" s="2589">
        <f>SUM(' SEFA'!I19)</f>
        <v>182257</v>
      </c>
      <c r="H41" s="2589"/>
      <c r="I41" s="2589"/>
    </row>
    <row r="42" spans="2:9" ht="16.5" customHeight="1" x14ac:dyDescent="0.2">
      <c r="B42" s="1200"/>
      <c r="C42" s="2586"/>
      <c r="D42" s="2587"/>
      <c r="E42" s="2587"/>
      <c r="F42" s="2588"/>
      <c r="G42" s="2589"/>
      <c r="H42" s="2589"/>
      <c r="I42" s="2589"/>
    </row>
    <row r="43" spans="2:9" ht="16.5" customHeight="1" x14ac:dyDescent="0.2">
      <c r="B43" s="1200"/>
      <c r="C43" s="2604" t="s">
        <v>1576</v>
      </c>
      <c r="D43" s="2605"/>
      <c r="E43" s="2605"/>
      <c r="F43" s="2606"/>
      <c r="G43" s="2607">
        <f>SUM(G38:I42)</f>
        <v>740175</v>
      </c>
      <c r="H43" s="2607"/>
      <c r="I43" s="2607"/>
    </row>
    <row r="44" spans="2:9" ht="12.75" customHeight="1" x14ac:dyDescent="0.2"/>
    <row r="45" spans="2:9" ht="12.75" customHeight="1" x14ac:dyDescent="0.2">
      <c r="B45" s="1918" t="str">
        <f>"Total Federal Expenditures for 7/1/"&amp;MID('AFR20'!E2,3,2)-1&amp;"-6/30/"&amp;MID('AFR20'!E2,3,2)</f>
        <v>Total Federal Expenditures for 7/1/19-6/30/20</v>
      </c>
      <c r="C45" s="1919"/>
      <c r="D45" s="2608">
        <f>SUM(' SEFA (5)'!I27)</f>
        <v>1803861</v>
      </c>
      <c r="E45" s="2609"/>
    </row>
    <row r="46" spans="2:9" ht="5.25" customHeight="1" x14ac:dyDescent="0.2">
      <c r="B46" s="1201"/>
      <c r="D46" s="1202"/>
      <c r="E46" s="1203"/>
    </row>
    <row r="47" spans="2:9" ht="12.75" customHeight="1" x14ac:dyDescent="0.2">
      <c r="B47" s="1076" t="s">
        <v>1577</v>
      </c>
      <c r="C47" s="1076"/>
      <c r="D47" s="1204">
        <f>+G43/D45</f>
        <v>0.41032817938854488</v>
      </c>
      <c r="E47" s="1205"/>
      <c r="F47" s="1206"/>
      <c r="I47" s="1207"/>
    </row>
    <row r="48" spans="2:9" ht="9.9499999999999993" customHeight="1" x14ac:dyDescent="0.2"/>
    <row r="49" spans="1:9" x14ac:dyDescent="0.2">
      <c r="B49" s="1138" t="s">
        <v>1262</v>
      </c>
      <c r="C49" s="1058"/>
      <c r="D49" s="1058"/>
      <c r="E49" s="2610">
        <v>750000</v>
      </c>
      <c r="F49" s="2610"/>
      <c r="G49" s="2610"/>
      <c r="H49" s="300"/>
    </row>
    <row r="51" spans="1:9" ht="13.5" customHeight="1" x14ac:dyDescent="0.2">
      <c r="B51" s="1138" t="s">
        <v>1261</v>
      </c>
      <c r="C51" s="1058"/>
      <c r="E51" s="1194"/>
      <c r="F51" s="1076" t="s">
        <v>879</v>
      </c>
      <c r="G51" s="1194" t="s">
        <v>2048</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fitToWidth="0" orientation="portrait" useFirstPageNumber="1" r:id="rId1"/>
  <headerFooter alignWithMargins="0">
    <oddHeader>&amp;R&amp;8Page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sqref="A1:XFD104857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0" t="str">
        <f>'Single Audit Cover'!A7</f>
        <v xml:space="preserve">   Riverton CUSD 14</v>
      </c>
      <c r="C1" s="2590"/>
      <c r="D1" s="2590"/>
      <c r="E1" s="2590"/>
      <c r="F1" s="2590"/>
      <c r="G1" s="2590"/>
      <c r="H1" s="2590"/>
      <c r="I1" s="2590"/>
      <c r="J1" s="2590"/>
      <c r="K1" s="2590"/>
      <c r="L1" s="1144"/>
      <c r="M1" s="1144"/>
    </row>
    <row r="2" spans="1:13" ht="12" customHeight="1" x14ac:dyDescent="0.2">
      <c r="B2" s="2592">
        <f>'Single Audit Cover'!E7</f>
        <v>51084014026</v>
      </c>
      <c r="C2" s="2592"/>
      <c r="D2" s="2592"/>
      <c r="E2" s="2592"/>
      <c r="F2" s="2592"/>
      <c r="G2" s="2592"/>
      <c r="H2" s="2592"/>
      <c r="I2" s="2592"/>
      <c r="J2" s="2592"/>
      <c r="K2" s="2592"/>
      <c r="L2" s="1145"/>
      <c r="M2" s="1146"/>
    </row>
    <row r="3" spans="1:13" ht="10.35" customHeight="1" x14ac:dyDescent="0.2">
      <c r="B3" s="2613" t="s">
        <v>1274</v>
      </c>
      <c r="C3" s="2613"/>
      <c r="D3" s="2613"/>
      <c r="E3" s="2613"/>
      <c r="F3" s="2613"/>
      <c r="G3" s="2613"/>
      <c r="H3" s="2613"/>
      <c r="I3" s="2613"/>
      <c r="J3" s="2613"/>
      <c r="K3" s="2613"/>
      <c r="L3" s="1147"/>
      <c r="M3" s="1147"/>
    </row>
    <row r="4" spans="1:13" ht="14.25" customHeight="1" x14ac:dyDescent="0.2">
      <c r="B4" s="2614" t="str">
        <f>'Single Audit Cover'!A4</f>
        <v>Year Ending June 30, 2020</v>
      </c>
      <c r="C4" s="2614"/>
      <c r="D4" s="2614"/>
      <c r="E4" s="2614"/>
      <c r="F4" s="2614"/>
      <c r="G4" s="2614"/>
      <c r="H4" s="2614"/>
      <c r="I4" s="2614"/>
      <c r="J4" s="2614"/>
      <c r="K4" s="2614"/>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4" t="s">
        <v>1285</v>
      </c>
      <c r="C7" s="2614"/>
      <c r="D7" s="2615"/>
      <c r="E7" s="2615"/>
      <c r="F7" s="2615"/>
      <c r="G7" s="2615"/>
      <c r="H7" s="2615"/>
      <c r="I7" s="2615"/>
      <c r="J7" s="2615"/>
      <c r="K7" s="2615"/>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2" t="s">
        <v>2142</v>
      </c>
      <c r="C14" s="2612"/>
      <c r="D14" s="2612"/>
      <c r="E14" s="2612"/>
      <c r="F14" s="2612"/>
      <c r="G14" s="2612"/>
      <c r="H14" s="2612"/>
      <c r="I14" s="2612"/>
      <c r="J14" s="2612"/>
      <c r="K14" s="261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2"/>
      <c r="C17" s="2612"/>
      <c r="D17" s="2612"/>
      <c r="E17" s="2612"/>
      <c r="F17" s="2612"/>
      <c r="G17" s="2612"/>
      <c r="H17" s="2612"/>
      <c r="I17" s="2612"/>
      <c r="J17" s="2612"/>
      <c r="K17" s="2612"/>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6"/>
      <c r="C20" s="2616"/>
      <c r="D20" s="2612"/>
      <c r="E20" s="2612"/>
      <c r="F20" s="2612"/>
      <c r="G20" s="2612"/>
      <c r="H20" s="2612"/>
      <c r="I20" s="2612"/>
      <c r="J20" s="2612"/>
      <c r="K20" s="261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2"/>
      <c r="C23" s="2612"/>
      <c r="D23" s="2612"/>
      <c r="E23" s="2612"/>
      <c r="F23" s="2612"/>
      <c r="G23" s="2612"/>
      <c r="H23" s="2612"/>
      <c r="I23" s="2612"/>
      <c r="J23" s="2612"/>
      <c r="K23" s="261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2"/>
      <c r="C26" s="2612"/>
      <c r="D26" s="2612"/>
      <c r="E26" s="2612"/>
      <c r="F26" s="2612"/>
      <c r="G26" s="2612"/>
      <c r="H26" s="2612"/>
      <c r="I26" s="2612"/>
      <c r="J26" s="2612"/>
      <c r="K26" s="261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1"/>
      <c r="C29" s="2611"/>
      <c r="D29" s="2612"/>
      <c r="E29" s="2612"/>
      <c r="F29" s="2612"/>
      <c r="G29" s="2612"/>
      <c r="H29" s="2612"/>
      <c r="I29" s="2612"/>
      <c r="J29" s="2612"/>
      <c r="K29" s="261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1"/>
      <c r="C32" s="2611"/>
      <c r="D32" s="2612"/>
      <c r="E32" s="2612"/>
      <c r="F32" s="2612"/>
      <c r="G32" s="2612"/>
      <c r="H32" s="2612"/>
      <c r="I32" s="2612"/>
      <c r="J32" s="2612"/>
      <c r="K32" s="26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sqref="A1:XFD104857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7" t="str">
        <f>'Single Audit Cover'!A7</f>
        <v xml:space="preserve">   Riverton CUSD 14</v>
      </c>
      <c r="C1" s="2617"/>
      <c r="D1" s="2617"/>
      <c r="E1" s="2617"/>
      <c r="F1" s="2617"/>
      <c r="G1" s="2617"/>
      <c r="H1" s="2617"/>
      <c r="I1" s="2617"/>
      <c r="J1" s="2617"/>
      <c r="K1" s="2617"/>
      <c r="L1" s="1221"/>
    </row>
    <row r="2" spans="1:12" ht="12.75" customHeight="1" x14ac:dyDescent="0.2">
      <c r="B2" s="2618">
        <f>'Single Audit Cover'!E7</f>
        <v>51084014026</v>
      </c>
      <c r="C2" s="2618"/>
      <c r="D2" s="2618"/>
      <c r="E2" s="2618"/>
      <c r="F2" s="2618"/>
      <c r="G2" s="2618"/>
      <c r="H2" s="2618"/>
      <c r="I2" s="2618"/>
      <c r="J2" s="2618"/>
      <c r="K2" s="2618"/>
      <c r="L2" s="1222"/>
    </row>
    <row r="3" spans="1:12" ht="12.75" customHeight="1" x14ac:dyDescent="0.2">
      <c r="B3" s="2613" t="s">
        <v>1274</v>
      </c>
      <c r="C3" s="2613"/>
      <c r="D3" s="2613"/>
      <c r="E3" s="2613"/>
      <c r="F3" s="2613"/>
      <c r="G3" s="2613"/>
      <c r="H3" s="2613"/>
      <c r="I3" s="2613"/>
      <c r="J3" s="2613"/>
      <c r="K3" s="2613"/>
      <c r="L3" s="1147"/>
    </row>
    <row r="4" spans="1:12" ht="12.75" customHeight="1" x14ac:dyDescent="0.2">
      <c r="B4" s="2613" t="str">
        <f>'Single Audit Cover'!A4</f>
        <v>Year Ending June 30, 2020</v>
      </c>
      <c r="C4" s="2613"/>
      <c r="D4" s="2613"/>
      <c r="E4" s="2613"/>
      <c r="F4" s="2613"/>
      <c r="G4" s="2613"/>
      <c r="H4" s="2613"/>
      <c r="I4" s="2613"/>
      <c r="J4" s="2613"/>
      <c r="K4" s="2613"/>
      <c r="L4" s="1147"/>
    </row>
    <row r="5" spans="1:12" ht="5.25" customHeight="1" x14ac:dyDescent="0.2">
      <c r="B5" s="1036" t="s">
        <v>1159</v>
      </c>
      <c r="C5" s="1036"/>
      <c r="L5" s="300"/>
    </row>
    <row r="6" spans="1:12" ht="30.75" customHeight="1" x14ac:dyDescent="0.2">
      <c r="A6" s="300"/>
      <c r="B6" s="2619" t="s">
        <v>1297</v>
      </c>
      <c r="C6" s="2619"/>
      <c r="D6" s="2619"/>
      <c r="E6" s="2619"/>
      <c r="F6" s="2619"/>
      <c r="G6" s="2619"/>
      <c r="H6" s="2619"/>
      <c r="I6" s="2619"/>
      <c r="J6" s="2619"/>
      <c r="K6" s="2619"/>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7"/>
      <c r="G12" s="2597"/>
      <c r="H12" s="2597"/>
      <c r="I12" s="2597"/>
      <c r="J12" s="2597"/>
      <c r="K12" s="259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0"/>
      <c r="E14" s="2620"/>
      <c r="F14" s="2620"/>
      <c r="H14" s="1230" t="s">
        <v>1292</v>
      </c>
      <c r="I14" s="2621"/>
      <c r="J14" s="2621"/>
      <c r="K14" s="262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1"/>
      <c r="E16" s="2621"/>
      <c r="F16" s="2621"/>
      <c r="G16" s="2621"/>
      <c r="H16" s="2621"/>
      <c r="I16" s="2621"/>
      <c r="J16" s="2621"/>
      <c r="K16" s="2621"/>
      <c r="L16" s="300"/>
    </row>
    <row r="17" spans="2:12" ht="13.5" customHeight="1" x14ac:dyDescent="0.2">
      <c r="B17" s="1156" t="s">
        <v>1290</v>
      </c>
      <c r="C17" s="1156"/>
      <c r="D17" s="2622"/>
      <c r="E17" s="2622"/>
      <c r="F17" s="2622"/>
      <c r="G17" s="2622"/>
      <c r="H17" s="2622"/>
      <c r="I17" s="2622"/>
      <c r="J17" s="2622"/>
      <c r="K17" s="262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2" t="s">
        <v>2142</v>
      </c>
      <c r="C20" s="2612"/>
      <c r="D20" s="2612"/>
      <c r="E20" s="2612"/>
      <c r="F20" s="2612"/>
      <c r="G20" s="2612"/>
      <c r="H20" s="2612"/>
      <c r="I20" s="2612"/>
      <c r="J20" s="2612"/>
      <c r="K20" s="261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2"/>
      <c r="C23" s="2612"/>
      <c r="D23" s="2612"/>
      <c r="E23" s="2612"/>
      <c r="F23" s="2612"/>
      <c r="G23" s="2612"/>
      <c r="H23" s="2612"/>
      <c r="I23" s="2612"/>
      <c r="J23" s="2612"/>
      <c r="K23" s="261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2"/>
      <c r="C26" s="2612"/>
      <c r="D26" s="2612"/>
      <c r="E26" s="2612"/>
      <c r="F26" s="2612"/>
      <c r="G26" s="2612"/>
      <c r="H26" s="2612"/>
      <c r="I26" s="2612"/>
      <c r="J26" s="2612"/>
      <c r="K26" s="261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2"/>
      <c r="C29" s="2612"/>
      <c r="D29" s="2612"/>
      <c r="E29" s="2612"/>
      <c r="F29" s="2612"/>
      <c r="G29" s="2612"/>
      <c r="H29" s="2612"/>
      <c r="I29" s="2612"/>
      <c r="J29" s="2612"/>
      <c r="K29" s="261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2"/>
      <c r="C32" s="2612"/>
      <c r="D32" s="2612"/>
      <c r="E32" s="2612"/>
      <c r="F32" s="2612"/>
      <c r="G32" s="2612"/>
      <c r="H32" s="2612"/>
      <c r="I32" s="2612"/>
      <c r="J32" s="2612"/>
      <c r="K32" s="261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2"/>
      <c r="C35" s="2612"/>
      <c r="D35" s="2612"/>
      <c r="E35" s="2612"/>
      <c r="F35" s="2612"/>
      <c r="G35" s="2612"/>
      <c r="H35" s="2612"/>
      <c r="I35" s="2612"/>
      <c r="J35" s="2612"/>
      <c r="K35" s="261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2"/>
      <c r="C38" s="2612"/>
      <c r="D38" s="2612"/>
      <c r="E38" s="2612"/>
      <c r="F38" s="2612"/>
      <c r="G38" s="2612"/>
      <c r="H38" s="2612"/>
      <c r="I38" s="2612"/>
      <c r="J38" s="2612"/>
      <c r="K38" s="261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2"/>
      <c r="C41" s="2612"/>
      <c r="D41" s="2612"/>
      <c r="E41" s="2612"/>
      <c r="F41" s="2612"/>
      <c r="G41" s="2612"/>
      <c r="H41" s="2612"/>
      <c r="I41" s="2612"/>
      <c r="J41" s="2612"/>
      <c r="K41" s="261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sqref="A1:XFD104857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0" t="str">
        <f>'Single Audit Cover'!A7</f>
        <v xml:space="preserve">   Riverton CUSD 14</v>
      </c>
      <c r="C1" s="2590"/>
      <c r="D1" s="2590"/>
      <c r="E1" s="1240"/>
    </row>
    <row r="2" spans="2:5" s="1058" customFormat="1" ht="12.75" customHeight="1" x14ac:dyDescent="0.2">
      <c r="B2" s="2592">
        <f>'Single Audit Cover'!E7</f>
        <v>51084014026</v>
      </c>
      <c r="C2" s="2592"/>
      <c r="D2" s="2592"/>
      <c r="E2" s="1241"/>
    </row>
    <row r="3" spans="2:5" ht="12.75" customHeight="1" x14ac:dyDescent="0.2">
      <c r="B3" s="2613" t="s">
        <v>1740</v>
      </c>
      <c r="C3" s="2613"/>
      <c r="D3" s="2613"/>
      <c r="E3" s="1050"/>
    </row>
    <row r="4" spans="2:5" s="1058" customFormat="1" ht="12.75" customHeight="1" x14ac:dyDescent="0.2">
      <c r="B4" s="2623" t="str">
        <f>'Single Audit Cover'!A4</f>
        <v>Year Ending June 30, 2020</v>
      </c>
      <c r="C4" s="2623"/>
      <c r="D4" s="2623"/>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c r="C7" s="302"/>
      <c r="D7" s="302"/>
      <c r="E7" s="302"/>
    </row>
    <row r="8" spans="2:5" ht="13.5" customHeight="1" x14ac:dyDescent="0.2">
      <c r="B8" s="1245" t="s">
        <v>2143</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L11" sqref="L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3" t="s">
        <v>383</v>
      </c>
      <c r="B1" s="2193"/>
      <c r="C1" s="2193"/>
      <c r="D1" s="2193"/>
      <c r="E1" s="2193"/>
      <c r="F1" s="2193"/>
      <c r="G1" s="2193"/>
      <c r="H1" s="2193"/>
      <c r="I1" s="2193"/>
      <c r="J1" s="2193"/>
      <c r="K1" s="2193"/>
      <c r="L1" s="2193"/>
      <c r="M1" s="219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127584288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2.5467E-2</v>
      </c>
      <c r="E10" s="333" t="s">
        <v>998</v>
      </c>
      <c r="F10" s="332">
        <v>5.8890000000000001E-3</v>
      </c>
      <c r="G10" s="333" t="s">
        <v>998</v>
      </c>
      <c r="H10" s="332">
        <v>3.4039999999999999E-3</v>
      </c>
      <c r="I10" s="333" t="s">
        <v>999</v>
      </c>
      <c r="J10" s="1424">
        <f>ROUND(D10+F10+H10,5)</f>
        <v>3.4759999999999999E-2</v>
      </c>
      <c r="K10" s="217"/>
      <c r="L10" s="332">
        <v>0</v>
      </c>
      <c r="M10" s="217"/>
    </row>
    <row r="11" spans="1:14" ht="7.5" customHeight="1" x14ac:dyDescent="0.2">
      <c r="B11" s="217"/>
      <c r="C11" s="217"/>
      <c r="D11" s="2203" t="str">
        <f>IF(SUM(J10)&lt;=0.0999999,"","Enter the Tax Rates by moving the decimal two places to the left.")</f>
        <v/>
      </c>
      <c r="E11" s="2204"/>
      <c r="F11" s="2204"/>
      <c r="G11" s="2204"/>
      <c r="H11" s="2204"/>
      <c r="I11" s="2204"/>
      <c r="J11" s="220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14528343</v>
      </c>
      <c r="E16" s="1547"/>
      <c r="F16" s="1546">
        <f>SUM('Acct Summary 7-8'!C17,'Acct Summary 7-8'!D17,'Acct Summary 7-8'!F17)</f>
        <v>13732722</v>
      </c>
      <c r="G16" s="1547"/>
      <c r="H16" s="1546">
        <f>SUM(D16-F16)</f>
        <v>795621</v>
      </c>
      <c r="I16" s="1548"/>
      <c r="J16" s="1546">
        <f>SUM('Acct Summary 7-8'!C81,'Acct Summary 7-8'!D81,'Acct Summary 7-8'!F81,'Acct Summary 7-8'!I81)</f>
        <v>14027088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17606631.744000003</v>
      </c>
      <c r="I31" s="345"/>
      <c r="J31" s="217"/>
      <c r="K31" s="217"/>
      <c r="L31" s="217"/>
      <c r="M31" s="217"/>
    </row>
    <row r="32" spans="1:13" ht="13.35" customHeight="1" x14ac:dyDescent="0.2">
      <c r="B32" s="346" t="s">
        <v>2048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13784286</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4"/>
      <c r="C54" s="2195"/>
      <c r="D54" s="2195"/>
      <c r="E54" s="2195"/>
      <c r="F54" s="2195"/>
      <c r="G54" s="2195"/>
      <c r="H54" s="2195"/>
      <c r="I54" s="2195"/>
      <c r="J54" s="2195"/>
      <c r="K54" s="2195"/>
      <c r="L54" s="2196"/>
      <c r="M54" s="357"/>
    </row>
    <row r="55" spans="1:13" ht="12.75" customHeight="1" x14ac:dyDescent="0.2">
      <c r="B55" s="2197"/>
      <c r="C55" s="2198"/>
      <c r="D55" s="2198"/>
      <c r="E55" s="2198"/>
      <c r="F55" s="2198"/>
      <c r="G55" s="2198"/>
      <c r="H55" s="2198"/>
      <c r="I55" s="2198"/>
      <c r="J55" s="2198"/>
      <c r="K55" s="2198"/>
      <c r="L55" s="2199"/>
      <c r="M55" s="357"/>
    </row>
    <row r="56" spans="1:13" ht="12.75" customHeight="1" x14ac:dyDescent="0.2">
      <c r="B56" s="2197"/>
      <c r="C56" s="2198"/>
      <c r="D56" s="2198"/>
      <c r="E56" s="2198"/>
      <c r="F56" s="2198"/>
      <c r="G56" s="2198"/>
      <c r="H56" s="2198"/>
      <c r="I56" s="2198"/>
      <c r="J56" s="2198"/>
      <c r="K56" s="2198"/>
      <c r="L56" s="2199"/>
      <c r="M56" s="217"/>
    </row>
    <row r="57" spans="1:13" ht="12.75" customHeight="1" x14ac:dyDescent="0.2">
      <c r="B57" s="2197"/>
      <c r="C57" s="2198"/>
      <c r="D57" s="2198"/>
      <c r="E57" s="2198"/>
      <c r="F57" s="2198"/>
      <c r="G57" s="2198"/>
      <c r="H57" s="2198"/>
      <c r="I57" s="2198"/>
      <c r="J57" s="2198"/>
      <c r="K57" s="2198"/>
      <c r="L57" s="2199"/>
      <c r="M57" s="217"/>
    </row>
    <row r="58" spans="1:13" x14ac:dyDescent="0.2">
      <c r="B58" s="2200"/>
      <c r="C58" s="2201"/>
      <c r="D58" s="2201"/>
      <c r="E58" s="2201"/>
      <c r="F58" s="2201"/>
      <c r="G58" s="2201"/>
      <c r="H58" s="2201"/>
      <c r="I58" s="2201"/>
      <c r="J58" s="2201"/>
      <c r="K58" s="2201"/>
      <c r="L58" s="220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5"/>
      <c r="D61" s="220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8"/>
      <c r="B1" s="2209"/>
      <c r="C1" s="2209"/>
      <c r="D1" s="361"/>
      <c r="E1" s="361"/>
      <c r="F1" s="361"/>
      <c r="G1" s="361"/>
      <c r="H1" s="361"/>
      <c r="I1" s="361"/>
      <c r="J1" s="361"/>
      <c r="K1" s="361"/>
      <c r="L1" s="361"/>
      <c r="M1" s="361"/>
      <c r="N1" s="361"/>
      <c r="O1" s="2208"/>
      <c r="P1" s="2209"/>
      <c r="Q1" s="2209"/>
    </row>
    <row r="2" spans="1:18" ht="15" x14ac:dyDescent="0.2">
      <c r="A2" s="2212" t="s">
        <v>552</v>
      </c>
      <c r="B2" s="2212"/>
      <c r="C2" s="2212"/>
      <c r="D2" s="2212"/>
      <c r="E2" s="2212"/>
      <c r="F2" s="2212"/>
      <c r="G2" s="2212"/>
      <c r="H2" s="2212"/>
      <c r="I2" s="2212"/>
      <c r="J2" s="2212"/>
      <c r="K2" s="2212"/>
      <c r="L2" s="2212"/>
      <c r="M2" s="2212"/>
      <c r="N2" s="2212"/>
      <c r="O2" s="2212"/>
      <c r="P2" s="2212"/>
      <c r="Q2" s="2212"/>
      <c r="R2" s="2212"/>
    </row>
    <row r="3" spans="1:18" ht="12.75" x14ac:dyDescent="0.2">
      <c r="A3" s="2213" t="s">
        <v>1396</v>
      </c>
      <c r="B3" s="2213"/>
      <c r="C3" s="2213"/>
      <c r="D3" s="2213"/>
      <c r="E3" s="2213"/>
      <c r="F3" s="2213"/>
      <c r="G3" s="2213"/>
      <c r="H3" s="2213"/>
      <c r="I3" s="2213"/>
      <c r="J3" s="2213"/>
      <c r="K3" s="2213"/>
      <c r="L3" s="2213"/>
      <c r="M3" s="2213"/>
      <c r="N3" s="2213"/>
      <c r="O3" s="2213"/>
      <c r="P3" s="2213"/>
      <c r="Q3" s="2213"/>
      <c r="R3" s="2213"/>
    </row>
    <row r="4" spans="1:18" x14ac:dyDescent="0.2">
      <c r="A4" s="2214" t="s">
        <v>1537</v>
      </c>
      <c r="B4" s="2214"/>
      <c r="C4" s="2214"/>
      <c r="D4" s="2214"/>
      <c r="E4" s="2214"/>
      <c r="F4" s="2214"/>
      <c r="G4" s="2214"/>
      <c r="H4" s="2214"/>
      <c r="I4" s="2214"/>
      <c r="J4" s="2214"/>
      <c r="K4" s="2214"/>
      <c r="L4" s="2214"/>
      <c r="M4" s="2214"/>
      <c r="N4" s="2214"/>
      <c r="O4" s="2214"/>
      <c r="P4" s="2214"/>
      <c r="Q4" s="2214"/>
      <c r="R4" s="221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Riverton CUSD 14</v>
      </c>
      <c r="E7" s="368"/>
      <c r="G7" s="247"/>
      <c r="H7" s="364"/>
      <c r="I7" s="364"/>
      <c r="J7" s="364"/>
      <c r="K7" s="364"/>
      <c r="L7" s="307"/>
      <c r="M7" s="307"/>
      <c r="N7" s="307"/>
      <c r="O7" s="307"/>
      <c r="P7" s="307"/>
    </row>
    <row r="8" spans="1:18" ht="12.75" x14ac:dyDescent="0.2">
      <c r="A8" s="307"/>
      <c r="B8" s="307"/>
      <c r="C8" s="366" t="s">
        <v>1115</v>
      </c>
      <c r="D8" s="369">
        <f>COVER!A13</f>
        <v>51084014026</v>
      </c>
      <c r="E8" s="370"/>
      <c r="G8" s="307"/>
      <c r="H8" s="307"/>
      <c r="I8" s="307"/>
      <c r="J8" s="307"/>
      <c r="K8" s="307"/>
      <c r="L8" s="307"/>
      <c r="M8" s="307"/>
      <c r="N8" s="307"/>
      <c r="O8" s="307"/>
      <c r="P8" s="307"/>
    </row>
    <row r="9" spans="1:18" ht="12.75" x14ac:dyDescent="0.2">
      <c r="A9" s="307"/>
      <c r="B9" s="307"/>
      <c r="C9" s="366" t="s">
        <v>708</v>
      </c>
      <c r="D9" s="371" t="str">
        <f>COVER!A15</f>
        <v>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14027088</v>
      </c>
      <c r="I12" s="380"/>
      <c r="J12" s="380"/>
      <c r="K12" s="1559">
        <f>TRUNC((H12/H13*100000),5)/100000</f>
        <v>0.96549813009999996</v>
      </c>
      <c r="L12" s="381"/>
      <c r="M12" s="337" t="s">
        <v>1134</v>
      </c>
      <c r="N12" s="337"/>
      <c r="O12" s="1562">
        <v>0.35</v>
      </c>
      <c r="P12" s="213"/>
      <c r="Q12" s="213"/>
    </row>
    <row r="13" spans="1:18" s="382" customFormat="1" ht="12.75" x14ac:dyDescent="0.2">
      <c r="A13" s="213"/>
      <c r="B13" s="377"/>
      <c r="C13" s="2210" t="s">
        <v>1313</v>
      </c>
      <c r="D13" s="2211"/>
      <c r="E13" s="213"/>
      <c r="F13" s="383" t="s">
        <v>788</v>
      </c>
      <c r="G13" s="378"/>
      <c r="H13" s="1551">
        <f>SUM('Acct Summary 7-8'!C8+'Acct Summary 7-8'!D8+'Acct Summary 7-8'!F8+'Acct Summary 7-8'!I8)+H14</f>
        <v>14528343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13732722</v>
      </c>
      <c r="I17" s="380"/>
      <c r="J17" s="389"/>
      <c r="K17" s="1559">
        <f>TRUNC((H17/H18*100000),5)/100000</f>
        <v>0.94523663149999992</v>
      </c>
      <c r="L17" s="381"/>
      <c r="M17" s="390" t="s">
        <v>1161</v>
      </c>
      <c r="O17" s="1565" t="str">
        <f>IF(AND(O16="2", J20 &gt; 2),"1",IF(AND(O16 = "1", J20 &gt; 2),"2",IF(AND(O16="1", J20 &gt;1),"1","0")))</f>
        <v>0</v>
      </c>
      <c r="P17" s="213"/>
    </row>
    <row r="18" spans="1:18" s="382" customFormat="1" ht="11.25" x14ac:dyDescent="0.2">
      <c r="A18" s="213"/>
      <c r="B18" s="377"/>
      <c r="C18" s="2210" t="s">
        <v>1306</v>
      </c>
      <c r="D18" s="2211"/>
      <c r="E18" s="213"/>
      <c r="F18" s="391" t="s">
        <v>789</v>
      </c>
      <c r="G18" s="378"/>
      <c r="H18" s="1551">
        <f>SUM('Acct Summary 7-8'!C8+'Acct Summary 7-8'!D8+'Acct Summary 7-8'!F8+'Acct Summary 7-8'!I8)+H19</f>
        <v>14528343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7" t="s">
        <v>1395</v>
      </c>
      <c r="D24" s="2207"/>
      <c r="E24" s="213"/>
      <c r="F24" s="213" t="s">
        <v>442</v>
      </c>
      <c r="G24" s="378"/>
      <c r="H24" s="1551">
        <f>SUM('Assets-Liab 5-6'!C4+'Assets-Liab 5-6'!D4+'Assets-Liab 5-6'!F4+'Assets-Liab 5-6'!I4+'Assets-Liab 5-6'!C5+'Assets-Liab 5-6'!D5+'Assets-Liab 5-6'!F5+'Assets-Liab 5-6'!I5)</f>
        <v>7865498</v>
      </c>
      <c r="I24" s="394"/>
      <c r="J24" s="394"/>
      <c r="K24" s="1555">
        <f>TRUNC(((H24/H25*100000)/100000),2)</f>
        <v>206.19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38146.449999999997</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3769605.3732500002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13784286</v>
      </c>
      <c r="I32" s="392"/>
      <c r="J32" s="392"/>
      <c r="K32" s="1555">
        <f>TRUNC(100-((((H32/H33*100))*100)/100),2)</f>
        <v>21.7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17606631.744000003</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C13" sqref="C13:L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5"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6"/>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7" t="s">
        <v>967</v>
      </c>
      <c r="B3" s="2218"/>
      <c r="C3" s="1306"/>
      <c r="D3" s="1307"/>
      <c r="E3" s="1307"/>
      <c r="F3" s="1307"/>
      <c r="G3" s="1307"/>
      <c r="H3" s="1307"/>
      <c r="I3" s="1307"/>
      <c r="J3" s="1307"/>
      <c r="K3" s="1307"/>
      <c r="L3" s="1307"/>
      <c r="M3" s="1308"/>
      <c r="N3" s="1309"/>
    </row>
    <row r="4" spans="1:14" ht="13.5" customHeight="1" x14ac:dyDescent="0.2">
      <c r="A4" s="427" t="s">
        <v>1632</v>
      </c>
      <c r="B4" s="428"/>
      <c r="C4" s="1572"/>
      <c r="D4" s="1573">
        <v>1308139</v>
      </c>
      <c r="E4" s="1573">
        <v>714681</v>
      </c>
      <c r="F4" s="1573">
        <v>1095730</v>
      </c>
      <c r="G4" s="1573">
        <f>385158</f>
        <v>385158</v>
      </c>
      <c r="H4" s="1573">
        <f>7318077+43650-7268077</f>
        <v>93650</v>
      </c>
      <c r="I4" s="1573">
        <v>2205465</v>
      </c>
      <c r="J4" s="1574"/>
      <c r="K4" s="1573">
        <v>3</v>
      </c>
      <c r="L4" s="1573">
        <f>232876+9659</f>
        <v>242535</v>
      </c>
      <c r="M4" s="1575"/>
      <c r="N4" s="1576"/>
    </row>
    <row r="5" spans="1:14" x14ac:dyDescent="0.2">
      <c r="A5" s="427" t="s">
        <v>985</v>
      </c>
      <c r="B5" s="429">
        <v>120</v>
      </c>
      <c r="C5" s="1572">
        <v>3256164</v>
      </c>
      <c r="D5" s="1573"/>
      <c r="E5" s="1573"/>
      <c r="F5" s="1573"/>
      <c r="G5" s="1573"/>
      <c r="H5" s="1573">
        <v>7268077</v>
      </c>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v>7512900</v>
      </c>
      <c r="D12" s="1573"/>
      <c r="E12" s="1573"/>
      <c r="F12" s="1573"/>
      <c r="G12" s="1573"/>
      <c r="H12" s="1573"/>
      <c r="I12" s="1573"/>
      <c r="J12" s="1574"/>
      <c r="K12" s="1573"/>
      <c r="L12" s="1573"/>
      <c r="M12" s="1576"/>
      <c r="N12" s="1576"/>
    </row>
    <row r="13" spans="1:14" ht="13.5" customHeight="1" thickBot="1" x14ac:dyDescent="0.25">
      <c r="A13" s="1426" t="s">
        <v>639</v>
      </c>
      <c r="B13" s="1407"/>
      <c r="C13" s="1587">
        <f>SUM(C4:C12)</f>
        <v>10769064</v>
      </c>
      <c r="D13" s="1587">
        <f t="shared" ref="D13:L13" si="0">SUM(D4:D12)</f>
        <v>1308139</v>
      </c>
      <c r="E13" s="1587">
        <f t="shared" si="0"/>
        <v>714681</v>
      </c>
      <c r="F13" s="1587">
        <f t="shared" si="0"/>
        <v>1095730</v>
      </c>
      <c r="G13" s="1587">
        <f t="shared" si="0"/>
        <v>385158</v>
      </c>
      <c r="H13" s="1587">
        <f t="shared" si="0"/>
        <v>7361727</v>
      </c>
      <c r="I13" s="1587">
        <f t="shared" si="0"/>
        <v>2205465</v>
      </c>
      <c r="J13" s="1587">
        <f t="shared" si="0"/>
        <v>0</v>
      </c>
      <c r="K13" s="1587">
        <f t="shared" si="0"/>
        <v>3</v>
      </c>
      <c r="L13" s="1587">
        <f t="shared" si="0"/>
        <v>242535</v>
      </c>
      <c r="M13" s="1575"/>
      <c r="N13" s="1576"/>
    </row>
    <row r="14" spans="1:14" ht="18" customHeight="1" thickTop="1" x14ac:dyDescent="0.2">
      <c r="A14" s="2219" t="s">
        <v>146</v>
      </c>
      <c r="B14" s="2220"/>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1553417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30036809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824001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2697128+303232</f>
        <v>3000360</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714681</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13069605</v>
      </c>
    </row>
    <row r="23" spans="1:14" ht="13.5" customHeight="1" thickBot="1" x14ac:dyDescent="0.25">
      <c r="A23" s="1426" t="s">
        <v>638</v>
      </c>
      <c r="B23" s="1429"/>
      <c r="C23" s="1575"/>
      <c r="D23" s="1575"/>
      <c r="E23" s="1575"/>
      <c r="F23" s="1575"/>
      <c r="G23" s="1575"/>
      <c r="H23" s="1575"/>
      <c r="I23" s="1575"/>
      <c r="J23" s="1575"/>
      <c r="K23" s="1575"/>
      <c r="L23" s="1575"/>
      <c r="M23" s="1594">
        <f>SUM(M15:M22)</f>
        <v>35414587</v>
      </c>
      <c r="N23" s="1594">
        <f>SUM(N21:N22)</f>
        <v>13784286</v>
      </c>
    </row>
    <row r="24" spans="1:14" ht="18" customHeight="1" thickTop="1" x14ac:dyDescent="0.2">
      <c r="A24" s="2221" t="s">
        <v>594</v>
      </c>
      <c r="B24" s="2222"/>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f>1370954-19644</f>
        <v>1351310</v>
      </c>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242535</v>
      </c>
      <c r="M33" s="1575"/>
      <c r="N33" s="1576"/>
    </row>
    <row r="34" spans="1:14" ht="13.5" customHeight="1" thickBot="1" x14ac:dyDescent="0.25">
      <c r="A34" s="1427" t="s">
        <v>649</v>
      </c>
      <c r="B34" s="1428"/>
      <c r="C34" s="1600">
        <f>SUM(C25:C33)</f>
        <v>1351310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242535</v>
      </c>
      <c r="M34" s="1575"/>
      <c r="N34" s="1585"/>
    </row>
    <row r="35" spans="1:14" ht="18" customHeight="1" thickTop="1" x14ac:dyDescent="0.2">
      <c r="A35" s="2223" t="s">
        <v>526</v>
      </c>
      <c r="B35" s="2224"/>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13784286</v>
      </c>
    </row>
    <row r="37" spans="1:14" ht="13.5" thickBot="1" x14ac:dyDescent="0.25">
      <c r="A37" s="1426" t="s">
        <v>648</v>
      </c>
      <c r="B37" s="1429"/>
      <c r="C37" s="1582"/>
      <c r="D37" s="1582"/>
      <c r="E37" s="1582"/>
      <c r="F37" s="1582"/>
      <c r="G37" s="1582"/>
      <c r="H37" s="1582"/>
      <c r="I37" s="1582"/>
      <c r="J37" s="1582"/>
      <c r="K37" s="1582"/>
      <c r="L37" s="1585"/>
      <c r="M37" s="1575"/>
      <c r="N37" s="1594">
        <f>SUM(N36:N36)</f>
        <v>13784286</v>
      </c>
    </row>
    <row r="38" spans="1:14" s="307" customFormat="1" ht="13.5" customHeight="1" thickTop="1" x14ac:dyDescent="0.2">
      <c r="A38" s="438" t="s">
        <v>417</v>
      </c>
      <c r="B38" s="432">
        <v>714</v>
      </c>
      <c r="C38" s="1573">
        <v>557524</v>
      </c>
      <c r="D38" s="1573"/>
      <c r="E38" s="1573">
        <v>714681</v>
      </c>
      <c r="F38" s="1573"/>
      <c r="G38" s="1573">
        <v>385158</v>
      </c>
      <c r="H38" s="1573">
        <v>7361727</v>
      </c>
      <c r="I38" s="1573"/>
      <c r="J38" s="1574"/>
      <c r="K38" s="1573">
        <v>3</v>
      </c>
      <c r="L38" s="1586"/>
      <c r="M38" s="1604"/>
      <c r="N38" s="1604"/>
    </row>
    <row r="39" spans="1:14" s="307" customFormat="1" ht="13.5" customHeight="1" x14ac:dyDescent="0.2">
      <c r="A39" s="438" t="s">
        <v>339</v>
      </c>
      <c r="B39" s="432">
        <v>730</v>
      </c>
      <c r="C39" s="1573">
        <v>8860230</v>
      </c>
      <c r="D39" s="1573">
        <v>1308139</v>
      </c>
      <c r="E39" s="1573"/>
      <c r="F39" s="1573">
        <v>1095730</v>
      </c>
      <c r="G39" s="1573"/>
      <c r="H39" s="1573"/>
      <c r="I39" s="1573">
        <v>2205465</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35414587</v>
      </c>
      <c r="N40" s="1604"/>
    </row>
    <row r="41" spans="1:14" ht="13.5" customHeight="1" thickBot="1" x14ac:dyDescent="0.25">
      <c r="A41" s="1426" t="s">
        <v>650</v>
      </c>
      <c r="B41" s="1405"/>
      <c r="C41" s="1594">
        <f>(SUM(C34,C37,C38,C39))</f>
        <v>10769064</v>
      </c>
      <c r="D41" s="1594">
        <f t="shared" ref="D41:L41" si="2">SUM(D34,D37,D38:D39)</f>
        <v>1308139</v>
      </c>
      <c r="E41" s="1594">
        <f t="shared" si="2"/>
        <v>714681</v>
      </c>
      <c r="F41" s="1594">
        <f t="shared" si="2"/>
        <v>1095730</v>
      </c>
      <c r="G41" s="1594">
        <f t="shared" si="2"/>
        <v>385158</v>
      </c>
      <c r="H41" s="1594">
        <f t="shared" si="2"/>
        <v>7361727</v>
      </c>
      <c r="I41" s="1594">
        <f t="shared" si="2"/>
        <v>2205465</v>
      </c>
      <c r="J41" s="1594">
        <f t="shared" si="2"/>
        <v>0</v>
      </c>
      <c r="K41" s="1594">
        <f t="shared" si="2"/>
        <v>3</v>
      </c>
      <c r="L41" s="1594">
        <f t="shared" si="2"/>
        <v>242535</v>
      </c>
      <c r="M41" s="1594">
        <f>SUM(M40)</f>
        <v>35414587</v>
      </c>
      <c r="N41" s="1594">
        <f>SUM(N37)</f>
        <v>13784286</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9" sqref="C19:I1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3"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4"/>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5" t="s">
        <v>1165</v>
      </c>
      <c r="B3" s="2246"/>
      <c r="C3" s="1311"/>
      <c r="D3" s="1312"/>
      <c r="E3" s="1312"/>
      <c r="F3" s="1312"/>
      <c r="G3" s="1312"/>
      <c r="H3" s="1312"/>
      <c r="I3" s="1312"/>
      <c r="J3" s="1312"/>
      <c r="K3" s="1313"/>
      <c r="L3" s="446"/>
    </row>
    <row r="4" spans="1:13" ht="15.75" customHeight="1" x14ac:dyDescent="0.2">
      <c r="A4" s="1537" t="s">
        <v>1482</v>
      </c>
      <c r="B4" s="1538">
        <v>1000</v>
      </c>
      <c r="C4" s="1606">
        <f>'Revenues 9-14'!C109</f>
        <v>3630232</v>
      </c>
      <c r="D4" s="1606">
        <f>'Revenues 9-14'!D109</f>
        <v>752788</v>
      </c>
      <c r="E4" s="1606">
        <f>'Revenues 9-14'!E109</f>
        <v>902729</v>
      </c>
      <c r="F4" s="1606">
        <f>'Revenues 9-14'!F109</f>
        <v>349038</v>
      </c>
      <c r="G4" s="1606">
        <f>'Revenues 9-14'!G109</f>
        <v>399058</v>
      </c>
      <c r="H4" s="1606">
        <f>'Revenues 9-14'!H109</f>
        <v>772252</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6779594</v>
      </c>
      <c r="D6" s="1607">
        <f>'Revenues 9-14'!D170</f>
        <v>600000</v>
      </c>
      <c r="E6" s="1607">
        <f>'Revenues 9-14'!E170</f>
        <v>151387</v>
      </c>
      <c r="F6" s="1607">
        <f>'Revenues 9-14'!F170</f>
        <v>566833</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1849858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12259684</v>
      </c>
      <c r="D8" s="1594">
        <f t="shared" ref="D8:K8" si="0">SUM(D4:D7)</f>
        <v>1352788</v>
      </c>
      <c r="E8" s="1594">
        <f t="shared" si="0"/>
        <v>1054116</v>
      </c>
      <c r="F8" s="1594">
        <f t="shared" si="0"/>
        <v>915871</v>
      </c>
      <c r="G8" s="1594">
        <f t="shared" si="0"/>
        <v>399058</v>
      </c>
      <c r="H8" s="1594">
        <f t="shared" si="0"/>
        <v>822252</v>
      </c>
      <c r="I8" s="1594">
        <f t="shared" si="0"/>
        <v>0</v>
      </c>
      <c r="J8" s="1594">
        <f t="shared" si="0"/>
        <v>0</v>
      </c>
      <c r="K8" s="1594">
        <f t="shared" si="0"/>
        <v>0</v>
      </c>
      <c r="L8" s="325"/>
    </row>
    <row r="9" spans="1:13" ht="15.75" thickTop="1" x14ac:dyDescent="0.2">
      <c r="A9" s="449" t="s">
        <v>1634</v>
      </c>
      <c r="B9" s="450">
        <v>3998</v>
      </c>
      <c r="C9" s="1586">
        <v>4865194</v>
      </c>
      <c r="D9" s="1613"/>
      <c r="E9" s="1586"/>
      <c r="F9" s="1586"/>
      <c r="G9" s="1614"/>
      <c r="H9" s="1586"/>
      <c r="I9" s="1609" t="s">
        <v>1159</v>
      </c>
      <c r="J9" s="1583"/>
      <c r="K9" s="1586"/>
      <c r="L9" s="325"/>
    </row>
    <row r="10" spans="1:13" s="452" customFormat="1" ht="13.5" thickBot="1" x14ac:dyDescent="0.25">
      <c r="A10" s="1426" t="s">
        <v>1163</v>
      </c>
      <c r="B10" s="1407"/>
      <c r="C10" s="1594">
        <f>SUM(C8:C9)</f>
        <v>17124878</v>
      </c>
      <c r="D10" s="1594">
        <f t="shared" ref="D10:K10" si="1">SUM(D8:D9)</f>
        <v>1352788</v>
      </c>
      <c r="E10" s="1594">
        <f t="shared" si="1"/>
        <v>1054116</v>
      </c>
      <c r="F10" s="1594">
        <f t="shared" si="1"/>
        <v>915871</v>
      </c>
      <c r="G10" s="1594">
        <f t="shared" si="1"/>
        <v>399058</v>
      </c>
      <c r="H10" s="1594">
        <f t="shared" si="1"/>
        <v>822252</v>
      </c>
      <c r="I10" s="1594">
        <f t="shared" si="1"/>
        <v>0</v>
      </c>
      <c r="J10" s="1594">
        <f t="shared" si="1"/>
        <v>0</v>
      </c>
      <c r="K10" s="1594">
        <f t="shared" si="1"/>
        <v>0</v>
      </c>
      <c r="L10" s="451"/>
    </row>
    <row r="11" spans="1:13" s="452" customFormat="1" ht="16.7" customHeight="1" thickTop="1" x14ac:dyDescent="0.2">
      <c r="A11" s="2219" t="s">
        <v>1166</v>
      </c>
      <c r="B11" s="2220"/>
      <c r="C11" s="1602"/>
      <c r="D11" s="1603"/>
      <c r="E11" s="1603"/>
      <c r="F11" s="1603"/>
      <c r="G11" s="1603"/>
      <c r="H11" s="1603"/>
      <c r="I11" s="1603"/>
      <c r="J11" s="1603"/>
      <c r="K11" s="1615"/>
      <c r="L11" s="451"/>
    </row>
    <row r="12" spans="1:13" ht="15.75" customHeight="1" x14ac:dyDescent="0.2">
      <c r="A12" s="1314" t="s">
        <v>453</v>
      </c>
      <c r="B12" s="1316">
        <v>1000</v>
      </c>
      <c r="C12" s="1606">
        <f>'Expenditures 15-22'!K33</f>
        <v>7200411</v>
      </c>
      <c r="D12" s="1616" t="s">
        <v>1159</v>
      </c>
      <c r="E12" s="1575" t="s">
        <v>1159</v>
      </c>
      <c r="F12" s="1575" t="s">
        <v>1159</v>
      </c>
      <c r="G12" s="1606">
        <f>'Expenditures 15-22'!K229</f>
        <v>174983</v>
      </c>
      <c r="H12" s="1617"/>
      <c r="I12" s="1575" t="s">
        <v>1159</v>
      </c>
      <c r="J12" s="1575" t="s">
        <v>1159</v>
      </c>
      <c r="K12" s="1617" t="s">
        <v>1159</v>
      </c>
      <c r="L12" s="325"/>
    </row>
    <row r="13" spans="1:13" ht="15.75" customHeight="1" x14ac:dyDescent="0.2">
      <c r="A13" s="1314" t="s">
        <v>454</v>
      </c>
      <c r="B13" s="1316">
        <v>2000</v>
      </c>
      <c r="C13" s="1607">
        <f>'Expenditures 15-22'!K74</f>
        <v>2644877</v>
      </c>
      <c r="D13" s="1607">
        <f>'Expenditures 15-22'!K129</f>
        <v>1282374</v>
      </c>
      <c r="E13" s="1576" t="s">
        <v>1159</v>
      </c>
      <c r="F13" s="1607">
        <f>'Expenditures 15-22'!K184</f>
        <v>779780</v>
      </c>
      <c r="G13" s="1607">
        <f>'Expenditures 15-22'!K279</f>
        <v>218123</v>
      </c>
      <c r="H13" s="1607">
        <f>'Expenditures 15-22'!K303</f>
        <v>2985771</v>
      </c>
      <c r="I13" s="1575" t="s">
        <v>1159</v>
      </c>
      <c r="J13" s="1607">
        <f>'Expenditures 15-22'!K330</f>
        <v>0</v>
      </c>
      <c r="K13" s="1618">
        <f>'Expenditures 15-22'!K352</f>
        <v>0</v>
      </c>
      <c r="L13" s="325"/>
    </row>
    <row r="14" spans="1:13" ht="15.75" customHeight="1" x14ac:dyDescent="0.2">
      <c r="A14" s="1314" t="s">
        <v>446</v>
      </c>
      <c r="B14" s="1316">
        <v>3000</v>
      </c>
      <c r="C14" s="1607">
        <f>'Expenditures 15-22'!K75</f>
        <v>177013</v>
      </c>
      <c r="D14" s="1607">
        <f>'Expenditures 15-22'!K130</f>
        <v>0</v>
      </c>
      <c r="E14" s="1616" t="s">
        <v>1159</v>
      </c>
      <c r="F14" s="1607">
        <f>'Expenditures 15-22'!K185</f>
        <v>0</v>
      </c>
      <c r="G14" s="1607">
        <f>'Expenditures 15-22'!K280</f>
        <v>11717</v>
      </c>
      <c r="H14" s="1612"/>
      <c r="I14" s="1575" t="s">
        <v>1159</v>
      </c>
      <c r="J14" s="1575" t="s">
        <v>1159</v>
      </c>
      <c r="K14" s="1612" t="s">
        <v>1159</v>
      </c>
      <c r="L14" s="325"/>
    </row>
    <row r="15" spans="1:13" ht="15.75" customHeight="1" x14ac:dyDescent="0.2">
      <c r="A15" s="1314" t="s">
        <v>107</v>
      </c>
      <c r="B15" s="1316">
        <v>4000</v>
      </c>
      <c r="C15" s="1607">
        <f>'Expenditures 15-22'!K102</f>
        <v>1648267</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1660867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11670568</v>
      </c>
      <c r="D17" s="1594">
        <f t="shared" si="2"/>
        <v>1282374</v>
      </c>
      <c r="E17" s="1594">
        <f t="shared" si="2"/>
        <v>1660867</v>
      </c>
      <c r="F17" s="1594">
        <f t="shared" si="2"/>
        <v>779780</v>
      </c>
      <c r="G17" s="1594">
        <f t="shared" si="2"/>
        <v>404823</v>
      </c>
      <c r="H17" s="1594">
        <f t="shared" si="2"/>
        <v>2985771</v>
      </c>
      <c r="I17" s="1575"/>
      <c r="J17" s="1594">
        <f>SUM(J12:J16)</f>
        <v>0</v>
      </c>
      <c r="K17" s="1594">
        <f>SUM(K12:K16)</f>
        <v>0</v>
      </c>
      <c r="L17" s="325"/>
    </row>
    <row r="18" spans="1:12" ht="15" customHeight="1" thickTop="1" x14ac:dyDescent="0.2">
      <c r="A18" s="1430" t="s">
        <v>1635</v>
      </c>
      <c r="B18" s="1431">
        <v>4180</v>
      </c>
      <c r="C18" s="1606">
        <f t="shared" ref="C18:H18" si="3">C9</f>
        <v>4865194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16535762</v>
      </c>
      <c r="D19" s="1594">
        <f t="shared" si="4"/>
        <v>1282374</v>
      </c>
      <c r="E19" s="1594">
        <f t="shared" si="4"/>
        <v>1660867</v>
      </c>
      <c r="F19" s="1594">
        <f t="shared" si="4"/>
        <v>779780</v>
      </c>
      <c r="G19" s="1594">
        <f t="shared" si="4"/>
        <v>404823</v>
      </c>
      <c r="H19" s="1594">
        <f t="shared" si="4"/>
        <v>2985771</v>
      </c>
      <c r="I19" s="1575"/>
      <c r="J19" s="1594">
        <f>SUM(J17:J18)</f>
        <v>0</v>
      </c>
      <c r="K19" s="1594">
        <f>SUM(K17:K18)</f>
        <v>0</v>
      </c>
      <c r="L19" s="325"/>
    </row>
    <row r="20" spans="1:12" ht="16.5" thickTop="1" thickBot="1" x14ac:dyDescent="0.25">
      <c r="A20" s="2235" t="s">
        <v>1636</v>
      </c>
      <c r="B20" s="2236"/>
      <c r="C20" s="1622">
        <f>C8-C17</f>
        <v>589116</v>
      </c>
      <c r="D20" s="1622">
        <f t="shared" ref="D20:K20" si="5">D8-D17</f>
        <v>70414</v>
      </c>
      <c r="E20" s="1622">
        <f t="shared" si="5"/>
        <v>-606751</v>
      </c>
      <c r="F20" s="1622">
        <f t="shared" si="5"/>
        <v>136091</v>
      </c>
      <c r="G20" s="1622">
        <f t="shared" si="5"/>
        <v>-5765</v>
      </c>
      <c r="H20" s="1622">
        <f t="shared" si="5"/>
        <v>-2163519</v>
      </c>
      <c r="I20" s="1622">
        <f t="shared" si="5"/>
        <v>0</v>
      </c>
      <c r="J20" s="1622">
        <f t="shared" si="5"/>
        <v>0</v>
      </c>
      <c r="K20" s="1622">
        <f t="shared" si="5"/>
        <v>0</v>
      </c>
      <c r="L20" s="325"/>
    </row>
    <row r="21" spans="1:12" ht="16.7" customHeight="1" thickTop="1" x14ac:dyDescent="0.2">
      <c r="A21" s="2247" t="s">
        <v>591</v>
      </c>
      <c r="B21" s="2248"/>
      <c r="C21" s="1602"/>
      <c r="D21" s="1603"/>
      <c r="E21" s="1603"/>
      <c r="F21" s="1603"/>
      <c r="G21" s="1603"/>
      <c r="H21" s="1603"/>
      <c r="I21" s="1603"/>
      <c r="J21" s="1603"/>
      <c r="K21" s="1615"/>
      <c r="L21" s="453"/>
    </row>
    <row r="22" spans="1:12" ht="15.75" customHeight="1" collapsed="1" x14ac:dyDescent="0.2">
      <c r="A22" s="2243" t="s">
        <v>592</v>
      </c>
      <c r="B22" s="2244"/>
      <c r="C22" s="1582"/>
      <c r="D22" s="1582"/>
      <c r="E22" s="1582"/>
      <c r="F22" s="1582"/>
      <c r="G22" s="1582"/>
      <c r="H22" s="1582"/>
      <c r="I22" s="1582"/>
      <c r="J22" s="1582"/>
      <c r="K22" s="1582"/>
      <c r="L22" s="325"/>
    </row>
    <row r="23" spans="1:12" s="433" customFormat="1" ht="15.75" customHeight="1" x14ac:dyDescent="0.2">
      <c r="A23" s="2239" t="s">
        <v>290</v>
      </c>
      <c r="B23" s="2240"/>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v>4100000</v>
      </c>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1" t="s">
        <v>974</v>
      </c>
      <c r="B32" s="2242"/>
      <c r="C32" s="1582"/>
      <c r="D32" s="1582"/>
      <c r="E32" s="1580"/>
      <c r="F32" s="1582"/>
      <c r="G32" s="1582"/>
      <c r="H32" s="1582"/>
      <c r="I32" s="1582"/>
      <c r="J32" s="1582"/>
      <c r="K32" s="1582"/>
      <c r="L32" s="453"/>
    </row>
    <row r="33" spans="1:12" s="433" customFormat="1" x14ac:dyDescent="0.2">
      <c r="A33" s="1260" t="s">
        <v>409</v>
      </c>
      <c r="B33" s="454">
        <v>7210</v>
      </c>
      <c r="C33" s="1574"/>
      <c r="D33" s="1574"/>
      <c r="E33" s="1574">
        <v>559568</v>
      </c>
      <c r="F33" s="1574"/>
      <c r="G33" s="1582"/>
      <c r="H33" s="1574">
        <f>5360000+56200</f>
        <v>5416200</v>
      </c>
      <c r="I33" s="1574">
        <v>3971432</v>
      </c>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9" t="s">
        <v>371</v>
      </c>
      <c r="B44" s="2250"/>
      <c r="C44" s="1624">
        <f>SUM(C24:C43)</f>
        <v>0</v>
      </c>
      <c r="D44" s="1624">
        <f t="shared" ref="D44:K44" si="6">SUM(D24:D43)</f>
        <v>0</v>
      </c>
      <c r="E44" s="1624">
        <f t="shared" si="6"/>
        <v>559568</v>
      </c>
      <c r="F44" s="1624">
        <f t="shared" si="6"/>
        <v>0</v>
      </c>
      <c r="G44" s="1624">
        <f t="shared" si="6"/>
        <v>0</v>
      </c>
      <c r="H44" s="1624">
        <f t="shared" si="6"/>
        <v>9516200</v>
      </c>
      <c r="I44" s="1624">
        <f t="shared" si="6"/>
        <v>3971432</v>
      </c>
      <c r="J44" s="1624">
        <f t="shared" si="6"/>
        <v>0</v>
      </c>
      <c r="K44" s="1624">
        <f t="shared" si="6"/>
        <v>0</v>
      </c>
      <c r="L44" s="453"/>
    </row>
    <row r="45" spans="1:12" ht="15.75" customHeight="1" thickTop="1" x14ac:dyDescent="0.2">
      <c r="A45" s="2243" t="s">
        <v>108</v>
      </c>
      <c r="B45" s="2244"/>
      <c r="C45" s="1625"/>
      <c r="D45" s="1625"/>
      <c r="E45" s="1625"/>
      <c r="F45" s="1625"/>
      <c r="G45" s="1625"/>
      <c r="H45" s="1625"/>
      <c r="I45" s="1625"/>
      <c r="J45" s="1625"/>
      <c r="K45" s="1625"/>
      <c r="L45" s="325"/>
    </row>
    <row r="46" spans="1:12" s="433" customFormat="1" ht="15.75" customHeight="1" x14ac:dyDescent="0.2">
      <c r="A46" s="2251" t="s">
        <v>109</v>
      </c>
      <c r="B46" s="2252"/>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4100000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5" t="s">
        <v>437</v>
      </c>
      <c r="B76" s="2226"/>
      <c r="C76" s="1624">
        <f t="shared" ref="C76:K76" si="7">SUM(C47:C75)</f>
        <v>0</v>
      </c>
      <c r="D76" s="1624">
        <f t="shared" si="7"/>
        <v>0</v>
      </c>
      <c r="E76" s="1624">
        <f t="shared" si="7"/>
        <v>0</v>
      </c>
      <c r="F76" s="1624">
        <f t="shared" si="7"/>
        <v>0</v>
      </c>
      <c r="G76" s="1624">
        <f t="shared" si="7"/>
        <v>0</v>
      </c>
      <c r="H76" s="1624">
        <f t="shared" si="7"/>
        <v>0</v>
      </c>
      <c r="I76" s="1624">
        <f t="shared" si="7"/>
        <v>4100000</v>
      </c>
      <c r="J76" s="1624">
        <f t="shared" si="7"/>
        <v>0</v>
      </c>
      <c r="K76" s="1624">
        <f t="shared" si="7"/>
        <v>0</v>
      </c>
      <c r="L76" s="453"/>
    </row>
    <row r="77" spans="1:12" ht="14.25" thickTop="1" thickBot="1" x14ac:dyDescent="0.25">
      <c r="A77" s="2227" t="s">
        <v>1167</v>
      </c>
      <c r="B77" s="2228"/>
      <c r="C77" s="1624">
        <f t="shared" ref="C77:K77" si="8">C44-C76</f>
        <v>0</v>
      </c>
      <c r="D77" s="1624">
        <f t="shared" si="8"/>
        <v>0</v>
      </c>
      <c r="E77" s="1624">
        <f t="shared" si="8"/>
        <v>559568</v>
      </c>
      <c r="F77" s="1624">
        <f t="shared" si="8"/>
        <v>0</v>
      </c>
      <c r="G77" s="1624">
        <f t="shared" si="8"/>
        <v>0</v>
      </c>
      <c r="H77" s="1624">
        <f t="shared" si="8"/>
        <v>9516200</v>
      </c>
      <c r="I77" s="1624">
        <f t="shared" si="8"/>
        <v>-128568</v>
      </c>
      <c r="J77" s="1624">
        <f t="shared" si="8"/>
        <v>0</v>
      </c>
      <c r="K77" s="1624">
        <f t="shared" si="8"/>
        <v>0</v>
      </c>
      <c r="L77" s="325"/>
    </row>
    <row r="78" spans="1:12" ht="21.75" customHeight="1" thickTop="1" thickBot="1" x14ac:dyDescent="0.25">
      <c r="A78" s="2231" t="s">
        <v>593</v>
      </c>
      <c r="B78" s="2232"/>
      <c r="C78" s="1629">
        <f t="shared" ref="C78:K78" si="9">C20+C77</f>
        <v>589116</v>
      </c>
      <c r="D78" s="1629">
        <f t="shared" si="9"/>
        <v>70414</v>
      </c>
      <c r="E78" s="1629">
        <f t="shared" si="9"/>
        <v>-47183</v>
      </c>
      <c r="F78" s="1629">
        <f t="shared" si="9"/>
        <v>136091</v>
      </c>
      <c r="G78" s="1629">
        <f t="shared" si="9"/>
        <v>-5765</v>
      </c>
      <c r="H78" s="1629">
        <f t="shared" si="9"/>
        <v>7352681</v>
      </c>
      <c r="I78" s="1629">
        <f t="shared" si="9"/>
        <v>-128568</v>
      </c>
      <c r="J78" s="1629">
        <f t="shared" si="9"/>
        <v>0</v>
      </c>
      <c r="K78" s="1629">
        <f t="shared" si="9"/>
        <v>0</v>
      </c>
      <c r="L78" s="457"/>
    </row>
    <row r="79" spans="1:12" ht="13.5" thickTop="1" x14ac:dyDescent="0.2">
      <c r="A79" s="1844" t="str">
        <f>"Fund Balances - July 1, "&amp;'AFR20'!E2-1</f>
        <v>Fund Balances - July 1, 2019</v>
      </c>
      <c r="B79" s="458"/>
      <c r="C79" s="1583">
        <v>8828638</v>
      </c>
      <c r="D79" s="1630">
        <v>1237725</v>
      </c>
      <c r="E79" s="1630">
        <v>761864</v>
      </c>
      <c r="F79" s="1630">
        <v>959639</v>
      </c>
      <c r="G79" s="1630">
        <v>390923</v>
      </c>
      <c r="H79" s="1630">
        <v>9046</v>
      </c>
      <c r="I79" s="1630">
        <v>2334033</v>
      </c>
      <c r="J79" s="1630"/>
      <c r="K79" s="1630">
        <v>3</v>
      </c>
      <c r="L79" s="325"/>
    </row>
    <row r="80" spans="1:12" x14ac:dyDescent="0.2">
      <c r="A80" s="2237" t="s">
        <v>1769</v>
      </c>
      <c r="B80" s="2238"/>
      <c r="C80" s="1574"/>
      <c r="D80" s="1574"/>
      <c r="E80" s="1574"/>
      <c r="F80" s="1574"/>
      <c r="G80" s="1574"/>
      <c r="H80" s="1574"/>
      <c r="I80" s="1574"/>
      <c r="J80" s="1574"/>
      <c r="K80" s="1574"/>
      <c r="L80" s="325"/>
    </row>
    <row r="81" spans="1:12" ht="13.5" thickBot="1" x14ac:dyDescent="0.25">
      <c r="A81" s="2229" t="str">
        <f>"Fund Balances - June 30, "&amp;'AFR20'!E2</f>
        <v>Fund Balances - June 30, 2020</v>
      </c>
      <c r="B81" s="2230"/>
      <c r="C81" s="1594">
        <f>(SUM(C78:C80))</f>
        <v>9417754</v>
      </c>
      <c r="D81" s="1594">
        <f>SUM(D78:D80)</f>
        <v>1308139</v>
      </c>
      <c r="E81" s="1594">
        <f t="shared" ref="E81:K81" si="10">SUM(E78:E80)</f>
        <v>714681</v>
      </c>
      <c r="F81" s="1594">
        <f t="shared" si="10"/>
        <v>1095730</v>
      </c>
      <c r="G81" s="1594">
        <f t="shared" si="10"/>
        <v>385158</v>
      </c>
      <c r="H81" s="1594">
        <f t="shared" si="10"/>
        <v>7361727</v>
      </c>
      <c r="I81" s="1594">
        <f t="shared" si="10"/>
        <v>2205465</v>
      </c>
      <c r="J81" s="1594">
        <f t="shared" si="10"/>
        <v>0</v>
      </c>
      <c r="K81" s="1594">
        <f t="shared" si="10"/>
        <v>3</v>
      </c>
      <c r="L81" s="325"/>
    </row>
    <row r="82" spans="1:12" ht="0.75" customHeight="1" thickTop="1" thickBot="1" x14ac:dyDescent="0.25">
      <c r="A82" s="459" t="s">
        <v>340</v>
      </c>
      <c r="B82" s="460"/>
      <c r="C82" s="461">
        <f>(C81-C79)</f>
        <v>589116</v>
      </c>
      <c r="D82" s="461">
        <f t="shared" ref="D82:K82" si="11">(D81-D79)</f>
        <v>70414</v>
      </c>
      <c r="E82" s="461">
        <f t="shared" si="11"/>
        <v>-47183</v>
      </c>
      <c r="F82" s="461">
        <f t="shared" si="11"/>
        <v>136091</v>
      </c>
      <c r="G82" s="461">
        <f t="shared" si="11"/>
        <v>-5765</v>
      </c>
      <c r="H82" s="461">
        <f t="shared" si="11"/>
        <v>7352681</v>
      </c>
      <c r="I82" s="461">
        <f t="shared" si="11"/>
        <v>-128568</v>
      </c>
      <c r="J82" s="461">
        <f t="shared" si="11"/>
        <v>0</v>
      </c>
      <c r="K82" s="461">
        <f t="shared" si="11"/>
        <v>0</v>
      </c>
    </row>
    <row r="83" spans="1:12" ht="14.25" hidden="1" thickTop="1" thickBot="1" x14ac:dyDescent="0.25">
      <c r="A83" s="462" t="s">
        <v>341</v>
      </c>
      <c r="B83" s="428"/>
      <c r="C83" s="463">
        <f>C82/C81</f>
        <v>6.2553768127729822E-2</v>
      </c>
      <c r="D83" s="463">
        <f t="shared" ref="D83:K83" si="12">D82/D81</f>
        <v>5.3827613120624035E-2</v>
      </c>
      <c r="E83" s="463">
        <f t="shared" si="12"/>
        <v>-6.6019664717545307E-2</v>
      </c>
      <c r="F83" s="463">
        <f t="shared" si="12"/>
        <v>0.12420121745320471</v>
      </c>
      <c r="G83" s="463">
        <f t="shared" si="12"/>
        <v>-1.4967883310225933E-2</v>
      </c>
      <c r="H83" s="463">
        <f t="shared" si="12"/>
        <v>0.99877121224408349</v>
      </c>
      <c r="I83" s="463">
        <f t="shared" si="12"/>
        <v>-5.8295189449843909E-2</v>
      </c>
      <c r="J83" s="463" t="e">
        <f t="shared" si="12"/>
        <v>#DIV/0!</v>
      </c>
      <c r="K83" s="463">
        <f t="shared" si="12"/>
        <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3" t="s">
        <v>1776</v>
      </c>
      <c r="B1" s="416"/>
      <c r="C1" s="417" t="s">
        <v>422</v>
      </c>
      <c r="D1" s="417" t="s">
        <v>423</v>
      </c>
      <c r="E1" s="417" t="s">
        <v>424</v>
      </c>
      <c r="F1" s="417" t="s">
        <v>425</v>
      </c>
      <c r="G1" s="417" t="s">
        <v>426</v>
      </c>
      <c r="H1" s="417" t="s">
        <v>427</v>
      </c>
      <c r="I1" s="417" t="s">
        <v>428</v>
      </c>
      <c r="J1" s="417" t="s">
        <v>429</v>
      </c>
      <c r="K1" s="417" t="s">
        <v>751</v>
      </c>
    </row>
    <row r="2" spans="1:12" ht="36" x14ac:dyDescent="0.2">
      <c r="A2" s="2234"/>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3044910</v>
      </c>
      <c r="D5" s="1586">
        <v>656450</v>
      </c>
      <c r="E5" s="1573">
        <v>902140</v>
      </c>
      <c r="F5" s="1631">
        <v>333783</v>
      </c>
      <c r="G5" s="1573">
        <v>176579</v>
      </c>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71384</v>
      </c>
      <c r="D7" s="1573"/>
      <c r="E7" s="1575"/>
      <c r="F7" s="1574"/>
      <c r="G7" s="1574"/>
      <c r="H7" s="1574"/>
      <c r="I7" s="1575"/>
      <c r="J7" s="1575"/>
      <c r="K7" s="1575"/>
    </row>
    <row r="8" spans="1:12" x14ac:dyDescent="0.2">
      <c r="A8" s="427" t="s">
        <v>410</v>
      </c>
      <c r="B8" s="429">
        <v>1150</v>
      </c>
      <c r="C8" s="1580"/>
      <c r="D8" s="1580"/>
      <c r="E8" s="1582"/>
      <c r="F8" s="1582"/>
      <c r="G8" s="1586">
        <v>222149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3116294</v>
      </c>
      <c r="D12" s="1633">
        <f t="shared" si="0"/>
        <v>656450</v>
      </c>
      <c r="E12" s="1633">
        <f t="shared" si="0"/>
        <v>902140</v>
      </c>
      <c r="F12" s="1633">
        <f t="shared" si="0"/>
        <v>333783</v>
      </c>
      <c r="G12" s="1633">
        <f t="shared" si="0"/>
        <v>398728</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v>92782</v>
      </c>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92782</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f>2015+290612</f>
        <v>292627</v>
      </c>
      <c r="D65" s="1573">
        <v>397</v>
      </c>
      <c r="E65" s="1573">
        <v>589</v>
      </c>
      <c r="F65" s="1574">
        <v>174</v>
      </c>
      <c r="G65" s="1573">
        <v>330</v>
      </c>
      <c r="H65" s="1573">
        <v>22503</v>
      </c>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292627</v>
      </c>
      <c r="D67" s="1594">
        <f t="shared" ref="D67:K67" si="2">SUM(D65:D66)</f>
        <v>397</v>
      </c>
      <c r="E67" s="1594">
        <f t="shared" si="2"/>
        <v>589</v>
      </c>
      <c r="F67" s="1594">
        <f t="shared" si="2"/>
        <v>174</v>
      </c>
      <c r="G67" s="1594">
        <f t="shared" si="2"/>
        <v>330</v>
      </c>
      <c r="H67" s="1594">
        <f t="shared" si="2"/>
        <v>22503</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f>329+4330+4308</f>
        <v>8967</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8967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f>6920+3097+3302+6412+443+7589+4039</f>
        <v>31802</v>
      </c>
      <c r="D77" s="1573"/>
      <c r="E77" s="1575"/>
      <c r="F77" s="1575"/>
      <c r="G77" s="1575"/>
      <c r="H77" s="1575"/>
      <c r="I77" s="1575"/>
      <c r="J77" s="1575"/>
      <c r="K77" s="1575"/>
    </row>
    <row r="78" spans="1:11" ht="12.75" customHeight="1" x14ac:dyDescent="0.2">
      <c r="A78" s="427" t="s">
        <v>76</v>
      </c>
      <c r="B78" s="429">
        <v>1719</v>
      </c>
      <c r="C78" s="1632">
        <f>2439+4665</f>
        <v>7104</v>
      </c>
      <c r="D78" s="1573"/>
      <c r="E78" s="1575"/>
      <c r="F78" s="1575"/>
      <c r="G78" s="1575"/>
      <c r="H78" s="1575"/>
      <c r="I78" s="1575"/>
      <c r="J78" s="1575"/>
      <c r="K78" s="1575"/>
    </row>
    <row r="79" spans="1:11" ht="12.75" customHeight="1" x14ac:dyDescent="0.2">
      <c r="A79" s="427" t="s">
        <v>546</v>
      </c>
      <c r="B79" s="429">
        <v>1720</v>
      </c>
      <c r="C79" s="1632">
        <f>10404+13780</f>
        <v>24184</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63090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f>14340+20740+20406</f>
        <v>55486</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55486</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15950</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8489</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749749</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f>2882+11861+71</f>
        <v>14814</v>
      </c>
      <c r="D106" s="1598"/>
      <c r="E106" s="1574"/>
      <c r="F106" s="1574"/>
      <c r="G106" s="1574"/>
      <c r="H106" s="1574"/>
      <c r="I106" s="1617"/>
      <c r="J106" s="1574"/>
      <c r="K106" s="1574"/>
    </row>
    <row r="107" spans="1:12" ht="12.75" customHeight="1" x14ac:dyDescent="0.2">
      <c r="A107" s="427" t="s">
        <v>78</v>
      </c>
      <c r="B107" s="429">
        <v>1999</v>
      </c>
      <c r="C107" s="1632">
        <v>54515</v>
      </c>
      <c r="D107" s="1573">
        <v>3159</v>
      </c>
      <c r="E107" s="1573"/>
      <c r="F107" s="1573">
        <v>15081</v>
      </c>
      <c r="G107" s="1573"/>
      <c r="H107" s="1573"/>
      <c r="I107" s="1573"/>
      <c r="J107" s="1574"/>
      <c r="K107" s="1573"/>
    </row>
    <row r="108" spans="1:12" ht="12.75" customHeight="1" thickBot="1" x14ac:dyDescent="0.25">
      <c r="A108" s="1406" t="s">
        <v>484</v>
      </c>
      <c r="B108" s="1408"/>
      <c r="C108" s="1633">
        <f>SUM(C95:C107)</f>
        <v>93768</v>
      </c>
      <c r="D108" s="1633">
        <f t="shared" ref="D108:K108" si="3">SUM(D95:D107)</f>
        <v>3159</v>
      </c>
      <c r="E108" s="1633">
        <f t="shared" si="3"/>
        <v>0</v>
      </c>
      <c r="F108" s="1633">
        <f t="shared" si="3"/>
        <v>15081</v>
      </c>
      <c r="G108" s="1633">
        <f t="shared" si="3"/>
        <v>0</v>
      </c>
      <c r="H108" s="1633">
        <f t="shared" si="3"/>
        <v>749749</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3630232</v>
      </c>
      <c r="D109" s="1641">
        <f t="shared" si="4"/>
        <v>752788</v>
      </c>
      <c r="E109" s="1641">
        <f t="shared" si="4"/>
        <v>902729</v>
      </c>
      <c r="F109" s="1641">
        <f t="shared" si="4"/>
        <v>349038</v>
      </c>
      <c r="G109" s="1641">
        <f t="shared" si="4"/>
        <v>399058</v>
      </c>
      <c r="H109" s="1641">
        <f t="shared" si="4"/>
        <v>772252</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5806362</v>
      </c>
      <c r="D117" s="1586">
        <v>600000</v>
      </c>
      <c r="E117" s="1573">
        <v>151387</v>
      </c>
      <c r="F117" s="1586">
        <v>300000</v>
      </c>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5806362</v>
      </c>
      <c r="D122" s="1633">
        <f t="shared" si="5"/>
        <v>600000</v>
      </c>
      <c r="E122" s="1633">
        <f t="shared" si="5"/>
        <v>151387</v>
      </c>
      <c r="F122" s="1633">
        <f t="shared" si="5"/>
        <v>300000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186877</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v>116759</v>
      </c>
      <c r="D127" s="1573"/>
      <c r="E127" s="1575"/>
      <c r="F127" s="1573"/>
      <c r="G127" s="1575"/>
      <c r="H127" s="1575"/>
      <c r="I127" s="1575"/>
      <c r="J127" s="1575"/>
      <c r="K127" s="1575"/>
    </row>
    <row r="128" spans="1:11" ht="12.75" customHeight="1" x14ac:dyDescent="0.2">
      <c r="A128" s="427" t="s">
        <v>105</v>
      </c>
      <c r="B128" s="478">
        <v>3120</v>
      </c>
      <c r="C128" s="1573">
        <v>31831</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335467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9789</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11525</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124655</v>
      </c>
      <c r="G152" s="1574"/>
      <c r="H152" s="1575"/>
      <c r="I152" s="1575"/>
      <c r="J152" s="1575"/>
      <c r="K152" s="1575"/>
    </row>
    <row r="153" spans="1:11" ht="12.75" customHeight="1" x14ac:dyDescent="0.2">
      <c r="A153" s="427" t="s">
        <v>1048</v>
      </c>
      <c r="B153" s="478">
        <v>3510</v>
      </c>
      <c r="C153" s="1632"/>
      <c r="D153" s="1573"/>
      <c r="E153" s="1640"/>
      <c r="F153" s="1573">
        <v>142178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266833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f>194325+422126</f>
        <v>616451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3" t="s">
        <v>395</v>
      </c>
      <c r="B169" s="2254"/>
      <c r="C169" s="1658">
        <f t="shared" ref="C169:K169" si="6">SUM(C132,C141,C145,C146:C150,C155,C156:C167,C168)</f>
        <v>973232</v>
      </c>
      <c r="D169" s="1658">
        <f t="shared" si="6"/>
        <v>0</v>
      </c>
      <c r="E169" s="1658">
        <f t="shared" si="6"/>
        <v>0</v>
      </c>
      <c r="F169" s="1658">
        <f t="shared" si="6"/>
        <v>266833</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6779594</v>
      </c>
      <c r="D170" s="1641">
        <f t="shared" si="7"/>
        <v>600000</v>
      </c>
      <c r="E170" s="1641">
        <f t="shared" si="7"/>
        <v>151387</v>
      </c>
      <c r="F170" s="1641">
        <f t="shared" si="7"/>
        <v>566833</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5" t="s">
        <v>1475</v>
      </c>
      <c r="B172" s="2256"/>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9" t="s">
        <v>1646</v>
      </c>
      <c r="B175" s="2260"/>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3" t="s">
        <v>1645</v>
      </c>
      <c r="B176" s="2264"/>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1" t="s">
        <v>780</v>
      </c>
      <c r="B181" s="2262"/>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7" t="s">
        <v>1777</v>
      </c>
      <c r="B182" s="2258"/>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388541</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169377</v>
      </c>
      <c r="D193" s="1575"/>
      <c r="E193" s="1640"/>
      <c r="F193" s="1575"/>
      <c r="G193" s="1664"/>
      <c r="H193" s="1575"/>
      <c r="I193" s="1575"/>
      <c r="J193" s="1575"/>
      <c r="K193" s="1575"/>
    </row>
    <row r="194" spans="1:11" ht="12.75" customHeight="1" x14ac:dyDescent="0.2">
      <c r="A194" s="427" t="s">
        <v>1434</v>
      </c>
      <c r="B194" s="429">
        <v>4225</v>
      </c>
      <c r="C194" s="1632">
        <v>182257</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740175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f>423001</f>
        <v>423001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134866</v>
      </c>
      <c r="D203" s="1573"/>
      <c r="E203" s="1575"/>
      <c r="F203" s="1573"/>
      <c r="G203" s="1573"/>
      <c r="H203" s="1575"/>
      <c r="I203" s="1575"/>
      <c r="J203" s="1575"/>
      <c r="K203" s="1575"/>
    </row>
    <row r="204" spans="1:11" ht="12.75" customHeight="1" thickBot="1" x14ac:dyDescent="0.25">
      <c r="A204" s="1406" t="s">
        <v>397</v>
      </c>
      <c r="B204" s="1407"/>
      <c r="C204" s="1633">
        <f>SUM(C200:C203)</f>
        <v>557867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17170</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184264</v>
      </c>
      <c r="D213" s="1573"/>
      <c r="E213" s="1575"/>
      <c r="F213" s="1573"/>
      <c r="G213" s="1573"/>
      <c r="H213" s="1575"/>
      <c r="I213" s="1575"/>
      <c r="J213" s="1575"/>
      <c r="K213" s="1575"/>
    </row>
    <row r="214" spans="1:11" ht="12.75" customHeight="1" x14ac:dyDescent="0.2">
      <c r="A214" s="427" t="s">
        <v>1045</v>
      </c>
      <c r="B214" s="429">
        <v>4625</v>
      </c>
      <c r="C214" s="1632">
        <v>157031</v>
      </c>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358465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70261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11901</v>
      </c>
      <c r="D263" s="1651"/>
      <c r="E263" s="1575"/>
      <c r="F263" s="1651"/>
      <c r="G263" s="1651"/>
      <c r="H263" s="1575"/>
      <c r="I263" s="1575"/>
      <c r="J263" s="1575"/>
      <c r="K263" s="1575"/>
    </row>
    <row r="264" spans="1:11" ht="12.75" customHeight="1" thickTop="1" thickBot="1" x14ac:dyDescent="0.25">
      <c r="A264" s="427" t="s">
        <v>374</v>
      </c>
      <c r="B264" s="429">
        <v>4992</v>
      </c>
      <c r="C264" s="1650">
        <v>111189</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1849858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1849858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12259684</v>
      </c>
      <c r="D268" s="1641">
        <f t="shared" si="12"/>
        <v>1352788</v>
      </c>
      <c r="E268" s="1641">
        <f t="shared" si="12"/>
        <v>1054116</v>
      </c>
      <c r="F268" s="1641">
        <f t="shared" si="12"/>
        <v>915871</v>
      </c>
      <c r="G268" s="1641">
        <f t="shared" si="12"/>
        <v>399058</v>
      </c>
      <c r="H268" s="1641">
        <f t="shared" si="12"/>
        <v>822252</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94" activePane="bottomLeft" state="frozen"/>
      <selection pane="bottomLeft" activeCell="F260" sqref="F26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3"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3" t="s">
        <v>294</v>
      </c>
      <c r="B3" s="227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264785+230912+200911+160325+157396+62259+43793+80316+193090+101436+38029+56130+170329+246065+263933+221438+176153+21716+23196+50048+19559+1721+19795+181498+225149+144275+130388+59890+133169+21716+23196+42974+1817+15873+17115-4</f>
        <v>3800391</v>
      </c>
      <c r="D5" s="1573">
        <f>344+4021+3472+3082+2405+2304+936+661+1211+23486+1582+5554+21601+17724+8493+16616+4062+4431+4431+4431+4431+4431+4062+58+58+54+43+54+14+14+14+50+28+13+720+227+2558+3704+3946+3261+2652+326+348+748+48+8862+12923+17724+15139+13293+2215+2215+4062+185+43+74+72+76+29+7+7+13+1+1440+218+2751+2474+2068+1968+900+2028+326+349+646+27+715+11631+8493+12209+8123+4431+2215+2215+4431+15+61+59+41+40+18+32+7+7+14+2520</f>
        <v>312121</v>
      </c>
      <c r="E5" s="1573">
        <f>38005+20563+11372+352+5610+499+410+107625+15823+79147</f>
        <v>279406</v>
      </c>
      <c r="F5" s="1573">
        <f>59642+5594+4642+870+713+1113+337+1289+519+41+37120+5594+4070+80445+10829+491+681+619+644+720+44+976+295+7281+5594+3069+2282+102+1056+506+1592+478+1371+1255+1774+8379+85369+8692</f>
        <v>346088</v>
      </c>
      <c r="G5" s="1573">
        <f>1678+47252</f>
        <v>48930</v>
      </c>
      <c r="H5" s="1573">
        <f>166+135+350+194+40</f>
        <v>885</v>
      </c>
      <c r="I5" s="1574"/>
      <c r="J5" s="1574"/>
      <c r="K5" s="1672">
        <f>SUM(C5:J5)</f>
        <v>4787821</v>
      </c>
      <c r="L5" s="1573">
        <v>4840203</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f>155764+56432</f>
        <v>212196</v>
      </c>
      <c r="D7" s="1574">
        <f>2476+10518+73</f>
        <v>13067</v>
      </c>
      <c r="E7" s="1574">
        <v>3250</v>
      </c>
      <c r="F7" s="1574">
        <v>24459</v>
      </c>
      <c r="G7" s="1574"/>
      <c r="H7" s="1574"/>
      <c r="I7" s="1574"/>
      <c r="J7" s="1574"/>
      <c r="K7" s="1672">
        <f t="shared" ref="K7:K32" si="0">SUM(C7:J7)</f>
        <v>252972</v>
      </c>
      <c r="L7" s="1573">
        <v>259259</v>
      </c>
    </row>
    <row r="8" spans="1:14" x14ac:dyDescent="0.2">
      <c r="A8" s="1274" t="s">
        <v>163</v>
      </c>
      <c r="B8" s="503">
        <v>1200</v>
      </c>
      <c r="C8" s="1573">
        <f>615455+181288+136365+259498+32849+68801+219616+56002</f>
        <v>1569874</v>
      </c>
      <c r="D8" s="1573">
        <f>9231+76833+366+3294+24739+156+3304+24001+114</f>
        <v>142038</v>
      </c>
      <c r="E8" s="1573">
        <v>112</v>
      </c>
      <c r="F8" s="1573">
        <f>2011+2016+75+951</f>
        <v>5053</v>
      </c>
      <c r="G8" s="1573"/>
      <c r="H8" s="1573"/>
      <c r="I8" s="1574"/>
      <c r="J8" s="1574"/>
      <c r="K8" s="1672">
        <f t="shared" si="0"/>
        <v>1717077</v>
      </c>
      <c r="L8" s="1573">
        <v>1712160</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525</v>
      </c>
      <c r="D10" s="1573">
        <v>8</v>
      </c>
      <c r="E10" s="1573"/>
      <c r="F10" s="1573"/>
      <c r="G10" s="1573"/>
      <c r="H10" s="1573"/>
      <c r="I10" s="1574"/>
      <c r="J10" s="1574"/>
      <c r="K10" s="1672">
        <f t="shared" si="0"/>
        <v>533</v>
      </c>
      <c r="L10" s="1573">
        <v>1008</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c r="D12" s="1573"/>
      <c r="E12" s="1573"/>
      <c r="F12" s="1573"/>
      <c r="G12" s="1573"/>
      <c r="H12" s="1573"/>
      <c r="I12" s="1574"/>
      <c r="J12" s="1574"/>
      <c r="K12" s="1672">
        <f t="shared" si="0"/>
        <v>0</v>
      </c>
      <c r="L12" s="1573">
        <v>0</v>
      </c>
    </row>
    <row r="13" spans="1:14" x14ac:dyDescent="0.2">
      <c r="A13" s="1274" t="s">
        <v>718</v>
      </c>
      <c r="B13" s="503">
        <v>1400</v>
      </c>
      <c r="C13" s="1573">
        <v>44563</v>
      </c>
      <c r="D13" s="1573">
        <v>688</v>
      </c>
      <c r="E13" s="1573"/>
      <c r="F13" s="1573"/>
      <c r="G13" s="1573"/>
      <c r="H13" s="1573"/>
      <c r="I13" s="1574"/>
      <c r="J13" s="1574"/>
      <c r="K13" s="1672">
        <f t="shared" si="0"/>
        <v>45251</v>
      </c>
      <c r="L13" s="1573">
        <v>45259</v>
      </c>
    </row>
    <row r="14" spans="1:14" x14ac:dyDescent="0.2">
      <c r="A14" s="1274" t="s">
        <v>957</v>
      </c>
      <c r="B14" s="503">
        <v>1500</v>
      </c>
      <c r="C14" s="1573">
        <f>570+570+1592+1200+2088+4236+1549+4397+4967+4397+2271+1139+2240+1519+2278+1899+2278+3062+1899+5473+11429+4726+8695+5582+8292+6341+3341+6618+3076+3987+2504+1818+1899+65050+28972+3049+2149</f>
        <v>217152</v>
      </c>
      <c r="D14" s="1573">
        <f>9+9+12+18+26+64+14+37+66+25+17+34+23+34+28+34+46+28+82+95+49+95+124+60+24+99+46+60+38+976+5538+36+1</f>
        <v>7847</v>
      </c>
      <c r="E14" s="1573">
        <f>1180+1150+210+3030+710+210+2446+1260+960+75+4270+1551+2317+2006+24375+1747</f>
        <v>47497</v>
      </c>
      <c r="F14" s="1573">
        <f>60+435+393+417+141+413+1355+194+8017+395+402+395+309+434+1805+239+2749</f>
        <v>18153</v>
      </c>
      <c r="G14" s="1573">
        <v>6590</v>
      </c>
      <c r="H14" s="1573">
        <f>780+341+2215+6195</f>
        <v>9531</v>
      </c>
      <c r="I14" s="1574"/>
      <c r="J14" s="1574"/>
      <c r="K14" s="1672">
        <f t="shared" si="0"/>
        <v>306770</v>
      </c>
      <c r="L14" s="1573">
        <v>313109</v>
      </c>
    </row>
    <row r="15" spans="1:14" x14ac:dyDescent="0.2">
      <c r="A15" s="1274" t="s">
        <v>958</v>
      </c>
      <c r="B15" s="503">
        <v>1600</v>
      </c>
      <c r="C15" s="1573"/>
      <c r="D15" s="1573"/>
      <c r="E15" s="1573"/>
      <c r="F15" s="1573"/>
      <c r="G15" s="1573"/>
      <c r="H15" s="1573"/>
      <c r="I15" s="1574"/>
      <c r="J15" s="1574"/>
      <c r="K15" s="1672">
        <f t="shared" si="0"/>
        <v>0</v>
      </c>
      <c r="L15" s="1573">
        <v>0</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58544</v>
      </c>
      <c r="D17" s="1574">
        <f>880+3692+2</f>
        <v>4574</v>
      </c>
      <c r="E17" s="1574">
        <v>711</v>
      </c>
      <c r="F17" s="1574">
        <f>295+883</f>
        <v>1178</v>
      </c>
      <c r="G17" s="1574">
        <v>24980</v>
      </c>
      <c r="H17" s="1574"/>
      <c r="I17" s="1574"/>
      <c r="J17" s="1574"/>
      <c r="K17" s="1672">
        <f t="shared" si="0"/>
        <v>89987</v>
      </c>
      <c r="L17" s="1573">
        <v>90471</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c r="D19" s="1573"/>
      <c r="E19" s="1573"/>
      <c r="F19" s="1573"/>
      <c r="G19" s="1573"/>
      <c r="H19" s="1573"/>
      <c r="I19" s="1574"/>
      <c r="J19" s="1574"/>
      <c r="K19" s="1672">
        <f t="shared" si="0"/>
        <v>0</v>
      </c>
      <c r="L19" s="1573">
        <v>0</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5903245</v>
      </c>
      <c r="D33" s="1674">
        <f t="shared" ref="D33:L33" si="1">SUM(D5:D32)</f>
        <v>480343</v>
      </c>
      <c r="E33" s="1674">
        <f t="shared" si="1"/>
        <v>330976</v>
      </c>
      <c r="F33" s="1674">
        <f t="shared" si="1"/>
        <v>394931</v>
      </c>
      <c r="G33" s="1674">
        <f t="shared" si="1"/>
        <v>80500</v>
      </c>
      <c r="H33" s="1674">
        <f t="shared" si="1"/>
        <v>10416</v>
      </c>
      <c r="I33" s="1674">
        <f t="shared" si="1"/>
        <v>0</v>
      </c>
      <c r="J33" s="1674">
        <f t="shared" si="1"/>
        <v>0</v>
      </c>
      <c r="K33" s="1674">
        <f t="shared" si="1"/>
        <v>7200411</v>
      </c>
      <c r="L33" s="1674">
        <f t="shared" si="1"/>
        <v>7261469</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v>0</v>
      </c>
    </row>
    <row r="37" spans="1:14" x14ac:dyDescent="0.2">
      <c r="A37" s="1274" t="s">
        <v>1081</v>
      </c>
      <c r="B37" s="503">
        <v>2120</v>
      </c>
      <c r="C37" s="1573">
        <f>65446+73442+159140</f>
        <v>298028</v>
      </c>
      <c r="D37" s="1573">
        <f>986+18+1104+4431+14+2392+8862+29</f>
        <v>17836</v>
      </c>
      <c r="E37" s="1573">
        <f>104+332</f>
        <v>436</v>
      </c>
      <c r="F37" s="1573">
        <v>336</v>
      </c>
      <c r="G37" s="1573"/>
      <c r="H37" s="1573"/>
      <c r="I37" s="1574"/>
      <c r="J37" s="1574"/>
      <c r="K37" s="1672">
        <f t="shared" si="2"/>
        <v>316636</v>
      </c>
      <c r="L37" s="1573">
        <v>317256</v>
      </c>
    </row>
    <row r="38" spans="1:14" x14ac:dyDescent="0.2">
      <c r="A38" s="1274" t="s">
        <v>196</v>
      </c>
      <c r="B38" s="503">
        <v>2130</v>
      </c>
      <c r="C38" s="1573">
        <v>68292</v>
      </c>
      <c r="D38" s="1573">
        <f>7016+28</f>
        <v>7044</v>
      </c>
      <c r="E38" s="1573">
        <f>11970+6699</f>
        <v>18669</v>
      </c>
      <c r="F38" s="1573">
        <v>1198</v>
      </c>
      <c r="G38" s="1573"/>
      <c r="H38" s="1573"/>
      <c r="I38" s="1574"/>
      <c r="J38" s="1574"/>
      <c r="K38" s="1672">
        <f t="shared" si="2"/>
        <v>95203</v>
      </c>
      <c r="L38" s="1573">
        <v>100605</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c r="D41" s="1573"/>
      <c r="E41" s="1573"/>
      <c r="F41" s="1573"/>
      <c r="G41" s="1573"/>
      <c r="H41" s="1573"/>
      <c r="I41" s="1574"/>
      <c r="J41" s="1574"/>
      <c r="K41" s="1672">
        <f t="shared" si="2"/>
        <v>0</v>
      </c>
      <c r="L41" s="1573">
        <v>0</v>
      </c>
    </row>
    <row r="42" spans="1:14" ht="12.75" customHeight="1" thickBot="1" x14ac:dyDescent="0.25">
      <c r="A42" s="1380" t="s">
        <v>556</v>
      </c>
      <c r="B42" s="1381" t="s">
        <v>711</v>
      </c>
      <c r="C42" s="1674">
        <f>SUM(C36:C41)</f>
        <v>366320</v>
      </c>
      <c r="D42" s="1674">
        <f t="shared" ref="D42:L42" si="3">SUM(D36:D41)</f>
        <v>24880</v>
      </c>
      <c r="E42" s="1674">
        <f t="shared" si="3"/>
        <v>19105</v>
      </c>
      <c r="F42" s="1674">
        <f t="shared" si="3"/>
        <v>1534</v>
      </c>
      <c r="G42" s="1674">
        <f t="shared" si="3"/>
        <v>0</v>
      </c>
      <c r="H42" s="1674">
        <f t="shared" si="3"/>
        <v>0</v>
      </c>
      <c r="I42" s="1674">
        <f t="shared" si="3"/>
        <v>0</v>
      </c>
      <c r="J42" s="1674">
        <f t="shared" si="3"/>
        <v>0</v>
      </c>
      <c r="K42" s="1674">
        <f t="shared" si="3"/>
        <v>411839</v>
      </c>
      <c r="L42" s="1674">
        <f t="shared" si="3"/>
        <v>417861</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f>109+7713+48141</f>
        <v>55963</v>
      </c>
      <c r="D44" s="1586">
        <f>15+1461+5913+17</f>
        <v>7406</v>
      </c>
      <c r="E44" s="1586">
        <f>52454+1328+1821+7140+145+616+750</f>
        <v>64254</v>
      </c>
      <c r="F44" s="1586">
        <f>41+547+1659</f>
        <v>2247</v>
      </c>
      <c r="G44" s="1586"/>
      <c r="H44" s="1586"/>
      <c r="I44" s="1574"/>
      <c r="J44" s="1574"/>
      <c r="K44" s="1678">
        <f>SUM(C44:J44)</f>
        <v>129870</v>
      </c>
      <c r="L44" s="1586">
        <v>149157</v>
      </c>
    </row>
    <row r="45" spans="1:14" x14ac:dyDescent="0.2">
      <c r="A45" s="1274" t="s">
        <v>810</v>
      </c>
      <c r="B45" s="503">
        <v>2220</v>
      </c>
      <c r="C45" s="1573">
        <v>71193</v>
      </c>
      <c r="D45" s="1573">
        <f>1073+4431+14</f>
        <v>5518</v>
      </c>
      <c r="E45" s="1573">
        <v>150</v>
      </c>
      <c r="F45" s="1573">
        <f>4163+491+577+725+1197+167+240+25</f>
        <v>7585</v>
      </c>
      <c r="G45" s="1573">
        <v>839</v>
      </c>
      <c r="H45" s="1573">
        <v>3766</v>
      </c>
      <c r="I45" s="1574"/>
      <c r="J45" s="1574"/>
      <c r="K45" s="1678">
        <f>SUM(C45:J45)</f>
        <v>89051</v>
      </c>
      <c r="L45" s="1573">
        <v>90766</v>
      </c>
    </row>
    <row r="46" spans="1:14" x14ac:dyDescent="0.2">
      <c r="A46" s="1274" t="s">
        <v>811</v>
      </c>
      <c r="B46" s="503">
        <v>2230</v>
      </c>
      <c r="C46" s="1573"/>
      <c r="D46" s="1573"/>
      <c r="E46" s="1573">
        <v>2500</v>
      </c>
      <c r="F46" s="1573"/>
      <c r="G46" s="1573"/>
      <c r="H46" s="1573"/>
      <c r="I46" s="1574"/>
      <c r="J46" s="1574"/>
      <c r="K46" s="1678">
        <f>SUM(C46:J46)</f>
        <v>2500</v>
      </c>
      <c r="L46" s="1573">
        <v>4000</v>
      </c>
    </row>
    <row r="47" spans="1:14" ht="12.75" customHeight="1" thickBot="1" x14ac:dyDescent="0.25">
      <c r="A47" s="1380" t="s">
        <v>557</v>
      </c>
      <c r="B47" s="1381" t="s">
        <v>32</v>
      </c>
      <c r="C47" s="1674">
        <f>SUM(C44:C46)</f>
        <v>127156</v>
      </c>
      <c r="D47" s="1674">
        <f t="shared" ref="D47:K47" si="4">SUM(D44:D46)</f>
        <v>12924</v>
      </c>
      <c r="E47" s="1674">
        <f t="shared" si="4"/>
        <v>66904</v>
      </c>
      <c r="F47" s="1674">
        <f t="shared" si="4"/>
        <v>9832</v>
      </c>
      <c r="G47" s="1674">
        <f t="shared" si="4"/>
        <v>839</v>
      </c>
      <c r="H47" s="1674">
        <f t="shared" si="4"/>
        <v>3766</v>
      </c>
      <c r="I47" s="1674">
        <f t="shared" si="4"/>
        <v>0</v>
      </c>
      <c r="J47" s="1674">
        <f t="shared" si="4"/>
        <v>0</v>
      </c>
      <c r="K47" s="1674">
        <f t="shared" si="4"/>
        <v>221421</v>
      </c>
      <c r="L47" s="1674">
        <f>SUM(L44:L46)</f>
        <v>243923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7856</v>
      </c>
      <c r="D49" s="1586">
        <v>79563</v>
      </c>
      <c r="E49" s="1586">
        <f>4100+17159+9385+35666+673+6678+46732+3991</f>
        <v>124384</v>
      </c>
      <c r="F49" s="1586">
        <v>397</v>
      </c>
      <c r="G49" s="1586"/>
      <c r="H49" s="1586">
        <v>4500</v>
      </c>
      <c r="I49" s="1574"/>
      <c r="J49" s="1574"/>
      <c r="K49" s="1678">
        <f>SUM(C49:J49)</f>
        <v>216700</v>
      </c>
      <c r="L49" s="1586">
        <v>204410</v>
      </c>
    </row>
    <row r="50" spans="1:14" x14ac:dyDescent="0.2">
      <c r="A50" s="1274" t="s">
        <v>813</v>
      </c>
      <c r="B50" s="503">
        <v>2320</v>
      </c>
      <c r="C50" s="1573">
        <f>14667+130369+58539</f>
        <v>203575</v>
      </c>
      <c r="D50" s="1573">
        <f>92+7+1955+38453+5538+61+4350</f>
        <v>50456</v>
      </c>
      <c r="E50" s="1573">
        <f>23208+568+2277+195</f>
        <v>26248</v>
      </c>
      <c r="F50" s="1573">
        <f>3529+737</f>
        <v>4266</v>
      </c>
      <c r="G50" s="1573"/>
      <c r="H50" s="1573">
        <v>1256</v>
      </c>
      <c r="I50" s="1574"/>
      <c r="J50" s="1574"/>
      <c r="K50" s="1678">
        <f>SUM(C50:J50)</f>
        <v>285801</v>
      </c>
      <c r="L50" s="1573">
        <v>275156</v>
      </c>
    </row>
    <row r="51" spans="1:14" x14ac:dyDescent="0.2">
      <c r="A51" s="1274" t="s">
        <v>42</v>
      </c>
      <c r="B51" s="503">
        <v>2330</v>
      </c>
      <c r="C51" s="1573"/>
      <c r="D51" s="1573"/>
      <c r="E51" s="1573"/>
      <c r="F51" s="1573"/>
      <c r="G51" s="1573"/>
      <c r="H51" s="1573"/>
      <c r="I51" s="1574"/>
      <c r="J51" s="1574"/>
      <c r="K51" s="1678">
        <f>SUM(C51:J51)</f>
        <v>0</v>
      </c>
      <c r="L51" s="1573">
        <v>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211431</v>
      </c>
      <c r="D53" s="1674">
        <f t="shared" ref="D53:L53" si="5">SUM(D49:D52)</f>
        <v>130019</v>
      </c>
      <c r="E53" s="1674">
        <f t="shared" si="5"/>
        <v>150632</v>
      </c>
      <c r="F53" s="1674">
        <f t="shared" si="5"/>
        <v>4663</v>
      </c>
      <c r="G53" s="1674">
        <f t="shared" si="5"/>
        <v>0</v>
      </c>
      <c r="H53" s="1674">
        <f t="shared" si="5"/>
        <v>5756</v>
      </c>
      <c r="I53" s="1674">
        <f t="shared" si="5"/>
        <v>0</v>
      </c>
      <c r="J53" s="1674">
        <f t="shared" si="5"/>
        <v>0</v>
      </c>
      <c r="K53" s="1674">
        <f t="shared" si="5"/>
        <v>502501</v>
      </c>
      <c r="L53" s="1674">
        <f t="shared" si="5"/>
        <v>479566</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f>156151+37550+159168+45702+173011+59926</f>
        <v>631508</v>
      </c>
      <c r="D55" s="1586">
        <f>2342+5538+65+2387+15508+65+2595+15046+67</f>
        <v>43613</v>
      </c>
      <c r="E55" s="1586">
        <f>70+2210+145+562+3614+100+53+1914</f>
        <v>8668</v>
      </c>
      <c r="F55" s="1586">
        <f>667+4690+140+4649+634</f>
        <v>10780</v>
      </c>
      <c r="G55" s="1586">
        <v>4530</v>
      </c>
      <c r="H55" s="1586">
        <f>1032+398+299</f>
        <v>1729</v>
      </c>
      <c r="I55" s="1574"/>
      <c r="J55" s="1574"/>
      <c r="K55" s="1678">
        <f>SUM(C55:J55)</f>
        <v>700828</v>
      </c>
      <c r="L55" s="1586">
        <v>702288</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631508</v>
      </c>
      <c r="D57" s="1679">
        <f t="shared" ref="D57:K57" si="6">SUM(D55:D56)</f>
        <v>43613</v>
      </c>
      <c r="E57" s="1679">
        <f t="shared" si="6"/>
        <v>8668</v>
      </c>
      <c r="F57" s="1679">
        <f t="shared" si="6"/>
        <v>10780</v>
      </c>
      <c r="G57" s="1679">
        <f t="shared" si="6"/>
        <v>4530</v>
      </c>
      <c r="H57" s="1679">
        <f t="shared" si="6"/>
        <v>1729</v>
      </c>
      <c r="I57" s="1679">
        <f t="shared" si="6"/>
        <v>0</v>
      </c>
      <c r="J57" s="1679">
        <f t="shared" si="6"/>
        <v>0</v>
      </c>
      <c r="K57" s="1679">
        <f t="shared" si="6"/>
        <v>700828</v>
      </c>
      <c r="L57" s="1674">
        <f>SUM(L55:L56)</f>
        <v>702288</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v>0</v>
      </c>
      <c r="M59" s="501"/>
      <c r="N59" s="501"/>
    </row>
    <row r="60" spans="1:14" s="321" customFormat="1" x14ac:dyDescent="0.2">
      <c r="A60" s="1274" t="s">
        <v>460</v>
      </c>
      <c r="B60" s="503">
        <v>2520</v>
      </c>
      <c r="C60" s="1573">
        <f>80757+29433</f>
        <v>110190</v>
      </c>
      <c r="D60" s="1573">
        <f>1212+16312+36</f>
        <v>17560</v>
      </c>
      <c r="E60" s="1573">
        <v>199</v>
      </c>
      <c r="F60" s="1573">
        <v>404</v>
      </c>
      <c r="G60" s="1573"/>
      <c r="H60" s="1573">
        <v>839</v>
      </c>
      <c r="I60" s="1574"/>
      <c r="J60" s="1574"/>
      <c r="K60" s="1678">
        <f t="shared" si="7"/>
        <v>129192</v>
      </c>
      <c r="L60" s="1573">
        <v>130262</v>
      </c>
      <c r="M60" s="501"/>
      <c r="N60" s="501"/>
    </row>
    <row r="61" spans="1:14" s="321" customFormat="1" x14ac:dyDescent="0.2">
      <c r="A61" s="1274" t="s">
        <v>195</v>
      </c>
      <c r="B61" s="503">
        <v>2540</v>
      </c>
      <c r="C61" s="1573">
        <v>24588</v>
      </c>
      <c r="D61" s="1573">
        <f>975+11</f>
        <v>986</v>
      </c>
      <c r="E61" s="1573">
        <v>12934</v>
      </c>
      <c r="F61" s="1573">
        <v>-850</v>
      </c>
      <c r="G61" s="1573">
        <v>2657</v>
      </c>
      <c r="H61" s="1573"/>
      <c r="I61" s="1574"/>
      <c r="J61" s="1574"/>
      <c r="K61" s="1678">
        <f t="shared" si="7"/>
        <v>40315</v>
      </c>
      <c r="L61" s="1573">
        <v>100974</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v>0</v>
      </c>
      <c r="M62" s="501"/>
      <c r="N62" s="501"/>
    </row>
    <row r="63" spans="1:14" s="501" customFormat="1" x14ac:dyDescent="0.2">
      <c r="A63" s="1274" t="s">
        <v>100</v>
      </c>
      <c r="B63" s="503">
        <v>2560</v>
      </c>
      <c r="C63" s="1573">
        <f>13794+2107+26761</f>
        <v>42662</v>
      </c>
      <c r="D63" s="1573">
        <f>4431+14+32+18</f>
        <v>4495</v>
      </c>
      <c r="E63" s="1573">
        <f>199850+1683+323+152681+1683+198354+1683+882</f>
        <v>557139</v>
      </c>
      <c r="F63" s="1573">
        <f>3386+328</f>
        <v>3714</v>
      </c>
      <c r="G63" s="1573">
        <v>5175</v>
      </c>
      <c r="H63" s="1573"/>
      <c r="I63" s="1574"/>
      <c r="J63" s="1574"/>
      <c r="K63" s="1678">
        <f t="shared" si="7"/>
        <v>613185</v>
      </c>
      <c r="L63" s="1573">
        <v>603051</v>
      </c>
    </row>
    <row r="64" spans="1:14" s="501" customFormat="1" x14ac:dyDescent="0.2">
      <c r="A64" s="1279" t="s">
        <v>101</v>
      </c>
      <c r="B64" s="513">
        <v>2570</v>
      </c>
      <c r="C64" s="1586">
        <v>1136</v>
      </c>
      <c r="D64" s="1586"/>
      <c r="E64" s="1586"/>
      <c r="F64" s="1586"/>
      <c r="G64" s="1586"/>
      <c r="H64" s="1586"/>
      <c r="I64" s="1574"/>
      <c r="J64" s="1574"/>
      <c r="K64" s="1678">
        <f t="shared" si="7"/>
        <v>1136</v>
      </c>
      <c r="L64" s="1586">
        <v>1270</v>
      </c>
    </row>
    <row r="65" spans="1:14" s="321" customFormat="1" ht="12.75" customHeight="1" thickBot="1" x14ac:dyDescent="0.25">
      <c r="A65" s="1380" t="s">
        <v>714</v>
      </c>
      <c r="B65" s="1381" t="s">
        <v>35</v>
      </c>
      <c r="C65" s="1674">
        <f>SUM(C59:C64)</f>
        <v>178576</v>
      </c>
      <c r="D65" s="1674">
        <f t="shared" ref="D65:L65" si="8">SUM(D59:D64)</f>
        <v>23041</v>
      </c>
      <c r="E65" s="1674">
        <f t="shared" si="8"/>
        <v>570272</v>
      </c>
      <c r="F65" s="1674">
        <f t="shared" si="8"/>
        <v>3268</v>
      </c>
      <c r="G65" s="1674">
        <f t="shared" si="8"/>
        <v>7832</v>
      </c>
      <c r="H65" s="1674">
        <f t="shared" si="8"/>
        <v>839</v>
      </c>
      <c r="I65" s="1674">
        <f t="shared" si="8"/>
        <v>0</v>
      </c>
      <c r="J65" s="1674">
        <f t="shared" si="8"/>
        <v>0</v>
      </c>
      <c r="K65" s="1674">
        <f t="shared" si="8"/>
        <v>783828</v>
      </c>
      <c r="L65" s="1674">
        <f t="shared" si="8"/>
        <v>835557</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c r="F69" s="1573"/>
      <c r="G69" s="1573"/>
      <c r="H69" s="1573"/>
      <c r="I69" s="1574"/>
      <c r="J69" s="1574"/>
      <c r="K69" s="1678">
        <f>SUM(C69:J69)</f>
        <v>0</v>
      </c>
      <c r="L69" s="1573">
        <v>0</v>
      </c>
      <c r="M69" s="501"/>
      <c r="N69" s="501"/>
    </row>
    <row r="70" spans="1:14" s="321" customFormat="1" x14ac:dyDescent="0.2">
      <c r="A70" s="1274" t="s">
        <v>400</v>
      </c>
      <c r="B70" s="503">
        <v>2640</v>
      </c>
      <c r="C70" s="1573"/>
      <c r="D70" s="1573"/>
      <c r="E70" s="1573">
        <v>1205</v>
      </c>
      <c r="F70" s="1573"/>
      <c r="G70" s="1573"/>
      <c r="H70" s="1573"/>
      <c r="I70" s="1574"/>
      <c r="J70" s="1574"/>
      <c r="K70" s="1678">
        <f>SUM(C70:J70)</f>
        <v>1205</v>
      </c>
      <c r="L70" s="1573">
        <v>1200</v>
      </c>
      <c r="M70" s="501"/>
      <c r="N70" s="501"/>
    </row>
    <row r="71" spans="1:14" s="321" customFormat="1" x14ac:dyDescent="0.2">
      <c r="A71" s="1274" t="s">
        <v>401</v>
      </c>
      <c r="B71" s="503">
        <v>2660</v>
      </c>
      <c r="C71" s="1573"/>
      <c r="D71" s="1573"/>
      <c r="E71" s="1573"/>
      <c r="F71" s="1573"/>
      <c r="G71" s="1573"/>
      <c r="H71" s="1573"/>
      <c r="I71" s="1574"/>
      <c r="J71" s="1574"/>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1205</v>
      </c>
      <c r="F72" s="1674">
        <f t="shared" si="9"/>
        <v>0</v>
      </c>
      <c r="G72" s="1674">
        <f t="shared" si="9"/>
        <v>0</v>
      </c>
      <c r="H72" s="1674">
        <f t="shared" si="9"/>
        <v>0</v>
      </c>
      <c r="I72" s="1674">
        <f t="shared" si="9"/>
        <v>0</v>
      </c>
      <c r="J72" s="1674">
        <f t="shared" si="9"/>
        <v>0</v>
      </c>
      <c r="K72" s="1674">
        <f t="shared" si="9"/>
        <v>1205</v>
      </c>
      <c r="L72" s="1674">
        <f>SUM(L67:L71)</f>
        <v>1200</v>
      </c>
      <c r="M72" s="501"/>
      <c r="N72" s="501"/>
    </row>
    <row r="73" spans="1:14" s="321" customFormat="1" ht="14.25" thickTop="1" thickBot="1" x14ac:dyDescent="0.25">
      <c r="A73" s="1280" t="s">
        <v>973</v>
      </c>
      <c r="B73" s="515" t="s">
        <v>570</v>
      </c>
      <c r="C73" s="1649">
        <f>20903+2352</f>
        <v>23255</v>
      </c>
      <c r="D73" s="1649"/>
      <c r="E73" s="1649"/>
      <c r="F73" s="1649"/>
      <c r="G73" s="1649"/>
      <c r="H73" s="1649"/>
      <c r="I73" s="1627"/>
      <c r="J73" s="1627"/>
      <c r="K73" s="1674">
        <f>SUM(C73:J73)</f>
        <v>23255</v>
      </c>
      <c r="L73" s="1651">
        <v>25503</v>
      </c>
      <c r="M73" s="501"/>
      <c r="N73" s="501"/>
    </row>
    <row r="74" spans="1:14" ht="12.75" customHeight="1" thickTop="1" thickBot="1" x14ac:dyDescent="0.25">
      <c r="A74" s="1380" t="s">
        <v>806</v>
      </c>
      <c r="B74" s="1384">
        <v>2000</v>
      </c>
      <c r="C74" s="1681">
        <f>SUM(C42,C47,C53,C57,C65,C72,C73)</f>
        <v>1538246</v>
      </c>
      <c r="D74" s="1681">
        <f t="shared" ref="D74:K74" si="10">SUM(D42,D47,D53,D57,D65,D72,D73)</f>
        <v>234477</v>
      </c>
      <c r="E74" s="1681">
        <f t="shared" si="10"/>
        <v>816786</v>
      </c>
      <c r="F74" s="1681">
        <f t="shared" si="10"/>
        <v>30077</v>
      </c>
      <c r="G74" s="1681">
        <f t="shared" si="10"/>
        <v>13201</v>
      </c>
      <c r="H74" s="1681">
        <f t="shared" si="10"/>
        <v>12090</v>
      </c>
      <c r="I74" s="1681">
        <f t="shared" si="10"/>
        <v>0</v>
      </c>
      <c r="J74" s="1681">
        <f t="shared" si="10"/>
        <v>0</v>
      </c>
      <c r="K74" s="1681">
        <f t="shared" si="10"/>
        <v>2644877</v>
      </c>
      <c r="L74" s="1681">
        <f>SUM(L42,L47,L53,L57,L65,L72,L73)</f>
        <v>2705898</v>
      </c>
    </row>
    <row r="75" spans="1:14" s="254" customFormat="1" ht="15.75" customHeight="1" thickTop="1" thickBot="1" x14ac:dyDescent="0.25">
      <c r="A75" s="1348" t="s">
        <v>47</v>
      </c>
      <c r="B75" s="1349" t="s">
        <v>571</v>
      </c>
      <c r="C75" s="1649">
        <f>42458+66235</f>
        <v>108693</v>
      </c>
      <c r="D75" s="1649">
        <f>573+6462+14+15</f>
        <v>7064</v>
      </c>
      <c r="E75" s="1649">
        <f>954+749+1963</f>
        <v>3666</v>
      </c>
      <c r="F75" s="1649">
        <f>556+6207+19599</f>
        <v>26362</v>
      </c>
      <c r="G75" s="1649">
        <v>31228</v>
      </c>
      <c r="H75" s="1649"/>
      <c r="I75" s="1627"/>
      <c r="J75" s="1627"/>
      <c r="K75" s="1674">
        <f>SUM(C75:J75)</f>
        <v>177013</v>
      </c>
      <c r="L75" s="1651">
        <v>229970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63012</v>
      </c>
      <c r="F78" s="1673"/>
      <c r="G78" s="1673"/>
      <c r="H78" s="1682"/>
      <c r="I78" s="1582"/>
      <c r="J78" s="1582"/>
      <c r="K78" s="1672">
        <f t="shared" ref="K78:K83" si="11">SUM(C78:J78)</f>
        <v>63012</v>
      </c>
      <c r="L78" s="1586">
        <v>50000</v>
      </c>
    </row>
    <row r="79" spans="1:14" x14ac:dyDescent="0.2">
      <c r="A79" s="1274" t="s">
        <v>301</v>
      </c>
      <c r="B79" s="503">
        <v>4120</v>
      </c>
      <c r="C79" s="1673"/>
      <c r="D79" s="1673"/>
      <c r="E79" s="1573">
        <f>162103+1279823</f>
        <v>1441926</v>
      </c>
      <c r="F79" s="1673"/>
      <c r="G79" s="1673"/>
      <c r="H79" s="1573"/>
      <c r="I79" s="1582"/>
      <c r="J79" s="1582"/>
      <c r="K79" s="1672">
        <f t="shared" si="11"/>
        <v>1441926</v>
      </c>
      <c r="L79" s="1573">
        <v>1449444</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f>118605+724</f>
        <v>119329</v>
      </c>
      <c r="F81" s="1673"/>
      <c r="G81" s="1673"/>
      <c r="H81" s="1573"/>
      <c r="I81" s="1582"/>
      <c r="J81" s="1582"/>
      <c r="K81" s="1672">
        <f t="shared" si="11"/>
        <v>119329</v>
      </c>
      <c r="L81" s="1573">
        <v>119330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f>7500+16500</f>
        <v>24000</v>
      </c>
      <c r="F83" s="1673"/>
      <c r="G83" s="1673"/>
      <c r="H83" s="1573"/>
      <c r="I83" s="1582"/>
      <c r="J83" s="1582"/>
      <c r="K83" s="1672">
        <f t="shared" si="11"/>
        <v>24000</v>
      </c>
      <c r="L83" s="1573">
        <v>42000</v>
      </c>
    </row>
    <row r="84" spans="1:12" ht="13.5" thickBot="1" x14ac:dyDescent="0.25">
      <c r="A84" s="1380" t="s">
        <v>1468</v>
      </c>
      <c r="B84" s="1385">
        <v>4100</v>
      </c>
      <c r="C84" s="1673"/>
      <c r="D84" s="1673"/>
      <c r="E84" s="1674">
        <f>SUM(E78:E83)</f>
        <v>1648267</v>
      </c>
      <c r="F84" s="1673"/>
      <c r="G84" s="1673"/>
      <c r="H84" s="1674">
        <f>SUM(H78:H83)</f>
        <v>0</v>
      </c>
      <c r="I84" s="1582"/>
      <c r="J84" s="1582"/>
      <c r="K84" s="1674">
        <f>SUM(K78:K83)</f>
        <v>1648267</v>
      </c>
      <c r="L84" s="1674">
        <f>SUM(L78:L83)</f>
        <v>1660774</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1648267</v>
      </c>
      <c r="F102" s="1673"/>
      <c r="G102" s="1673"/>
      <c r="H102" s="1681">
        <f>SUM(H84,H92,H100,H101)</f>
        <v>0</v>
      </c>
      <c r="I102" s="1582"/>
      <c r="J102" s="1582"/>
      <c r="K102" s="1681">
        <f>SUM(K84,K92,K100,K101)</f>
        <v>1648267</v>
      </c>
      <c r="L102" s="1681">
        <f>SUM(L84,L92,L100,L101)</f>
        <v>1660774</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6500</v>
      </c>
      <c r="M113" s="502"/>
      <c r="N113" s="502"/>
    </row>
    <row r="114" spans="1:14" ht="12.75" customHeight="1" thickTop="1" thickBot="1" x14ac:dyDescent="0.25">
      <c r="A114" s="1380" t="s">
        <v>48</v>
      </c>
      <c r="B114" s="1388"/>
      <c r="C114" s="1674">
        <f>SUM(C33,C74,C75,C102,C112,C113)</f>
        <v>7550184</v>
      </c>
      <c r="D114" s="1674">
        <f t="shared" ref="D114:K114" si="13">SUM(D33,D74,D75,D102,D112,D113)</f>
        <v>721884</v>
      </c>
      <c r="E114" s="1674">
        <f t="shared" si="13"/>
        <v>2799695</v>
      </c>
      <c r="F114" s="1674">
        <f t="shared" si="13"/>
        <v>451370</v>
      </c>
      <c r="G114" s="1674">
        <f t="shared" si="13"/>
        <v>124929</v>
      </c>
      <c r="H114" s="1674">
        <f>SUM(H33,H74,H75,H102,H112,H113)</f>
        <v>22506</v>
      </c>
      <c r="I114" s="1674">
        <f t="shared" si="13"/>
        <v>0</v>
      </c>
      <c r="J114" s="1674">
        <f t="shared" si="13"/>
        <v>0</v>
      </c>
      <c r="K114" s="1674">
        <f t="shared" si="13"/>
        <v>11670568</v>
      </c>
      <c r="L114" s="1674">
        <f>SUM(L33,L74,L75,L102,L112,L113)</f>
        <v>11864611</v>
      </c>
    </row>
    <row r="115" spans="1:14" ht="13.5" thickTop="1" x14ac:dyDescent="0.2">
      <c r="A115" s="2265" t="s">
        <v>989</v>
      </c>
      <c r="B115" s="2266"/>
      <c r="C115" s="1675"/>
      <c r="D115" s="1675"/>
      <c r="E115" s="1675"/>
      <c r="F115" s="1675"/>
      <c r="G115" s="1675"/>
      <c r="H115" s="1675"/>
      <c r="I115" s="1675"/>
      <c r="J115" s="1675"/>
      <c r="K115" s="1689">
        <f>'Revenues 9-14'!C268-'Expenditures 15-22'!K114</f>
        <v>589116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0" t="s">
        <v>293</v>
      </c>
      <c r="B117" s="227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f>70694+80716+101102+41778+49162-5</f>
        <v>343447</v>
      </c>
      <c r="D124" s="1573">
        <f>8286+33+4431+15+16090+38+4032+6064+15+20</f>
        <v>39024</v>
      </c>
      <c r="E124" s="1573">
        <f>1683+1424+28817+3405+6788+150+502+3969+1683+4117+44944+352+5113+150+474+2507+2513+1474+61648+1246+7946+150+807+3742+1500+4293+835+5725+9314+241+167+64036</f>
        <v>271715</v>
      </c>
      <c r="F124" s="1573">
        <f>27284+128673+29171+152772+23696+198197+39+3884+784+14019+2753</f>
        <v>581272</v>
      </c>
      <c r="G124" s="1573">
        <f>8188+1130+22183+15415</f>
        <v>46916</v>
      </c>
      <c r="H124" s="1573"/>
      <c r="I124" s="1574"/>
      <c r="J124" s="1574"/>
      <c r="K124" s="1674">
        <f>SUM(C124:J124)</f>
        <v>1282374</v>
      </c>
      <c r="L124" s="1573">
        <v>1350477</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343447</v>
      </c>
      <c r="D127" s="1674">
        <f t="shared" ref="D127:L127" si="14">SUM(D122:D126)</f>
        <v>39024</v>
      </c>
      <c r="E127" s="1674">
        <f t="shared" si="14"/>
        <v>271715</v>
      </c>
      <c r="F127" s="1674">
        <f t="shared" si="14"/>
        <v>581272</v>
      </c>
      <c r="G127" s="1674">
        <f t="shared" si="14"/>
        <v>46916</v>
      </c>
      <c r="H127" s="1674">
        <f t="shared" si="14"/>
        <v>0</v>
      </c>
      <c r="I127" s="1674">
        <f t="shared" si="14"/>
        <v>0</v>
      </c>
      <c r="J127" s="1674">
        <f t="shared" si="14"/>
        <v>0</v>
      </c>
      <c r="K127" s="1674">
        <f t="shared" si="14"/>
        <v>1282374</v>
      </c>
      <c r="L127" s="1674">
        <f t="shared" si="14"/>
        <v>1350477</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343447</v>
      </c>
      <c r="D129" s="1681">
        <f t="shared" ref="D129:L129" si="15">SUM(D120,D127,D128)</f>
        <v>39024</v>
      </c>
      <c r="E129" s="1681">
        <f t="shared" si="15"/>
        <v>271715</v>
      </c>
      <c r="F129" s="1681">
        <f t="shared" si="15"/>
        <v>581272</v>
      </c>
      <c r="G129" s="1681">
        <f t="shared" si="15"/>
        <v>46916</v>
      </c>
      <c r="H129" s="1681">
        <f t="shared" si="15"/>
        <v>0</v>
      </c>
      <c r="I129" s="1681">
        <f t="shared" si="15"/>
        <v>0</v>
      </c>
      <c r="J129" s="1681">
        <f t="shared" si="15"/>
        <v>0</v>
      </c>
      <c r="K129" s="1681">
        <f t="shared" si="15"/>
        <v>1282374</v>
      </c>
      <c r="L129" s="1681">
        <f t="shared" si="15"/>
        <v>1350477</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2000</v>
      </c>
    </row>
    <row r="151" spans="1:14" ht="12.75" customHeight="1" thickTop="1" thickBot="1" x14ac:dyDescent="0.25">
      <c r="A151" s="2282" t="s">
        <v>616</v>
      </c>
      <c r="B151" s="2262"/>
      <c r="C151" s="1674">
        <f>SUM(C129,C130,C139,C149,C150)</f>
        <v>343447</v>
      </c>
      <c r="D151" s="1674">
        <f t="shared" ref="D151:K151" si="16">SUM(D129,D130,D139,D149,D150)</f>
        <v>39024</v>
      </c>
      <c r="E151" s="1674">
        <f t="shared" si="16"/>
        <v>271715</v>
      </c>
      <c r="F151" s="1674">
        <f t="shared" si="16"/>
        <v>581272</v>
      </c>
      <c r="G151" s="1674">
        <f t="shared" si="16"/>
        <v>46916</v>
      </c>
      <c r="H151" s="1674">
        <f t="shared" si="16"/>
        <v>0</v>
      </c>
      <c r="I151" s="1674">
        <f t="shared" si="16"/>
        <v>0</v>
      </c>
      <c r="J151" s="1674">
        <f t="shared" si="16"/>
        <v>0</v>
      </c>
      <c r="K151" s="1674">
        <f t="shared" si="16"/>
        <v>1282374</v>
      </c>
      <c r="L151" s="1674">
        <f>SUM(L129,L130,L139,L149,L150)</f>
        <v>1352477</v>
      </c>
    </row>
    <row r="152" spans="1:14" ht="12.75" customHeight="1" thickTop="1" x14ac:dyDescent="0.2">
      <c r="A152" s="2285" t="s">
        <v>1168</v>
      </c>
      <c r="B152" s="2286"/>
      <c r="C152" s="1675"/>
      <c r="D152" s="1675"/>
      <c r="E152" s="1675"/>
      <c r="F152" s="1675"/>
      <c r="G152" s="1675"/>
      <c r="H152" s="1675"/>
      <c r="I152" s="1675"/>
      <c r="J152" s="1673"/>
      <c r="K152" s="1689">
        <f>'Revenues 9-14'!D268-'Expenditures 15-22'!K151</f>
        <v>70414</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0" t="s">
        <v>617</v>
      </c>
      <c r="B154" s="227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v>0</v>
      </c>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f>81191+68989+17312</f>
        <v>167492</v>
      </c>
      <c r="I169" s="1673"/>
      <c r="J169" s="1673"/>
      <c r="K169" s="1672">
        <f>SUM(C169:H169)</f>
        <v>167492</v>
      </c>
      <c r="L169" s="1695">
        <v>167492</v>
      </c>
    </row>
    <row r="170" spans="1:14" ht="33.75" customHeight="1" x14ac:dyDescent="0.2">
      <c r="A170" s="543" t="s">
        <v>1651</v>
      </c>
      <c r="B170" s="545" t="s">
        <v>31</v>
      </c>
      <c r="C170" s="1673"/>
      <c r="D170" s="1673"/>
      <c r="E170" s="1673"/>
      <c r="F170" s="1673"/>
      <c r="G170" s="1673"/>
      <c r="H170" s="1646">
        <f>459700+843100+134075</f>
        <v>1436875</v>
      </c>
      <c r="I170" s="1673"/>
      <c r="J170" s="1673"/>
      <c r="K170" s="1672">
        <f>SUM(C170:J170)</f>
        <v>1436875</v>
      </c>
      <c r="L170" s="1646">
        <v>1436875</v>
      </c>
    </row>
    <row r="171" spans="1:14" ht="15.75" customHeight="1" x14ac:dyDescent="0.2">
      <c r="A171" s="507" t="s">
        <v>761</v>
      </c>
      <c r="B171" s="546" t="s">
        <v>84</v>
      </c>
      <c r="C171" s="1673"/>
      <c r="D171" s="1673"/>
      <c r="E171" s="1573"/>
      <c r="F171" s="1673"/>
      <c r="G171" s="1673"/>
      <c r="H171" s="1646">
        <v>56500</v>
      </c>
      <c r="I171" s="1582"/>
      <c r="J171" s="1673"/>
      <c r="K171" s="1672">
        <f>SUM(C171:J171)</f>
        <v>56500</v>
      </c>
      <c r="L171" s="1646">
        <v>56500</v>
      </c>
    </row>
    <row r="172" spans="1:14" ht="12.75" customHeight="1" thickBot="1" x14ac:dyDescent="0.25">
      <c r="A172" s="1380" t="s">
        <v>633</v>
      </c>
      <c r="B172" s="1381" t="s">
        <v>489</v>
      </c>
      <c r="C172" s="1673"/>
      <c r="D172" s="1673"/>
      <c r="E172" s="1681">
        <f>SUM(E168,E169,E170,E171)</f>
        <v>0</v>
      </c>
      <c r="F172" s="1673"/>
      <c r="G172" s="1673"/>
      <c r="H172" s="1681">
        <f>SUM(H168,H169,H170,H171)</f>
        <v>1660867</v>
      </c>
      <c r="I172" s="1684"/>
      <c r="J172" s="1673"/>
      <c r="K172" s="1681">
        <f>SUM(K168,K169,K170,K171)</f>
        <v>1660867</v>
      </c>
      <c r="L172" s="1681">
        <f>SUM(L168,L169,L170,L171)</f>
        <v>1660867</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1660867</v>
      </c>
      <c r="I174" s="1684"/>
      <c r="J174" s="1673"/>
      <c r="K174" s="1681">
        <f>SUM(K160,K172,K173)</f>
        <v>1660867</v>
      </c>
      <c r="L174" s="1681">
        <f>SUM(L160,L172,L173)</f>
        <v>1660867</v>
      </c>
    </row>
    <row r="175" spans="1:14" ht="13.5" thickTop="1" x14ac:dyDescent="0.2">
      <c r="A175" s="2265" t="s">
        <v>989</v>
      </c>
      <c r="B175" s="2266"/>
      <c r="C175" s="1673"/>
      <c r="D175" s="1673"/>
      <c r="E175" s="1673"/>
      <c r="F175" s="1673"/>
      <c r="G175" s="1673"/>
      <c r="H175" s="1675"/>
      <c r="I175" s="1673"/>
      <c r="J175" s="1673"/>
      <c r="K175" s="1689">
        <f>'Revenues 9-14'!E268-'Expenditures 15-22'!K174</f>
        <v>-606751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f>48083+223119+52463+125413</f>
        <v>449078</v>
      </c>
      <c r="D182" s="1573">
        <f>5538+18852+4431+18+66+14</f>
        <v>28919</v>
      </c>
      <c r="E182" s="1573">
        <f>10588+160714+21108+11733+5815+20228</f>
        <v>230186</v>
      </c>
      <c r="F182" s="1573">
        <f>11690+752+56442</f>
        <v>68884</v>
      </c>
      <c r="G182" s="1573">
        <v>2713</v>
      </c>
      <c r="H182" s="1573"/>
      <c r="I182" s="1574"/>
      <c r="J182" s="1574"/>
      <c r="K182" s="1672">
        <f>SUM(C182:J182)</f>
        <v>779780</v>
      </c>
      <c r="L182" s="1573">
        <v>806118</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449078</v>
      </c>
      <c r="D184" s="1681">
        <f t="shared" ref="D184:J184" si="17">SUM(D180,D182,D183)</f>
        <v>28919</v>
      </c>
      <c r="E184" s="1681">
        <f t="shared" si="17"/>
        <v>230186</v>
      </c>
      <c r="F184" s="1681">
        <f t="shared" si="17"/>
        <v>68884</v>
      </c>
      <c r="G184" s="1681">
        <f t="shared" si="17"/>
        <v>2713</v>
      </c>
      <c r="H184" s="1681">
        <f t="shared" si="17"/>
        <v>0</v>
      </c>
      <c r="I184" s="1681">
        <f t="shared" si="17"/>
        <v>0</v>
      </c>
      <c r="J184" s="1681">
        <f t="shared" si="17"/>
        <v>0</v>
      </c>
      <c r="K184" s="1681">
        <f>SUM(K180,K182,K183)</f>
        <v>779780</v>
      </c>
      <c r="L184" s="1681">
        <f>SUM(L180, L182:L183)</f>
        <v>806118</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500</v>
      </c>
    </row>
    <row r="210" spans="1:14" ht="12.75" customHeight="1" thickTop="1" thickBot="1" x14ac:dyDescent="0.25">
      <c r="A210" s="1394" t="s">
        <v>275</v>
      </c>
      <c r="B210" s="1395"/>
      <c r="C210" s="1674">
        <f>SUM(C184,C185)</f>
        <v>449078</v>
      </c>
      <c r="D210" s="1674">
        <f>SUM(D184,D185)</f>
        <v>28919</v>
      </c>
      <c r="E210" s="1674">
        <f>SUM(E184,E185,E196)</f>
        <v>230186</v>
      </c>
      <c r="F210" s="1674">
        <f>SUM(F184,F185)</f>
        <v>68884</v>
      </c>
      <c r="G210" s="1674">
        <f>SUM(G184,G185)</f>
        <v>2713</v>
      </c>
      <c r="H210" s="1674">
        <f>SUM(H184,H185,H196,H208,H209)</f>
        <v>0</v>
      </c>
      <c r="I210" s="1674">
        <f>SUM(I184,I185)</f>
        <v>0</v>
      </c>
      <c r="J210" s="1674">
        <f>SUM(J184,J185)</f>
        <v>0</v>
      </c>
      <c r="K210" s="1672">
        <f>SUM(K184,K185,K196,K208,K209)</f>
        <v>779780</v>
      </c>
      <c r="L210" s="1674">
        <f>SUM(L184,L185,L196,L208,L209)</f>
        <v>806618</v>
      </c>
    </row>
    <row r="211" spans="1:14" ht="13.5" thickTop="1" x14ac:dyDescent="0.2">
      <c r="A211" s="2265" t="s">
        <v>989</v>
      </c>
      <c r="B211" s="2266"/>
      <c r="C211" s="1675"/>
      <c r="D211" s="1675"/>
      <c r="E211" s="1675"/>
      <c r="F211" s="1675"/>
      <c r="G211" s="1675"/>
      <c r="H211" s="1675"/>
      <c r="I211" s="1673"/>
      <c r="J211" s="1673"/>
      <c r="K211" s="1689">
        <f>'Revenues 9-14'!F268-'Expenditures 15-22'!K210</f>
        <v>136091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7" t="s">
        <v>959</v>
      </c>
      <c r="B213" s="228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f>1050+813+3665+3165+2796+2237+2263+812+612+1148+2741+1455+529+236+285+2346+3405+3443+3010+2364+301+323+705+281+24+347+1589+1096+473+2550+3054+1822+1765+813+1886+301+324+601+24-1</f>
        <v>56653</v>
      </c>
      <c r="E215" s="1673"/>
      <c r="F215" s="1673"/>
      <c r="G215" s="1673"/>
      <c r="H215" s="1673"/>
      <c r="I215" s="1673"/>
      <c r="J215" s="1673"/>
      <c r="K215" s="1672">
        <f>D215</f>
        <v>56653</v>
      </c>
      <c r="L215" s="1573">
        <v>56709</v>
      </c>
    </row>
    <row r="216" spans="1:14" x14ac:dyDescent="0.2">
      <c r="A216" s="1274" t="s">
        <v>162</v>
      </c>
      <c r="B216" s="503" t="s">
        <v>961</v>
      </c>
      <c r="C216" s="1673"/>
      <c r="D216" s="1574">
        <f>5015+2714+2718</f>
        <v>10447</v>
      </c>
      <c r="E216" s="1673"/>
      <c r="F216" s="1673"/>
      <c r="G216" s="1673"/>
      <c r="H216" s="1673"/>
      <c r="I216" s="1673"/>
      <c r="J216" s="1673"/>
      <c r="K216" s="1672">
        <f t="shared" ref="K216:K228" si="19">D216</f>
        <v>10447</v>
      </c>
      <c r="L216" s="1573">
        <v>10436</v>
      </c>
    </row>
    <row r="217" spans="1:14" x14ac:dyDescent="0.2">
      <c r="A217" s="1274" t="s">
        <v>163</v>
      </c>
      <c r="B217" s="503">
        <v>1200</v>
      </c>
      <c r="C217" s="1673"/>
      <c r="D217" s="1573">
        <f>31581+18288+12629+9748+5777+4995+5685+3345+3712</f>
        <v>95760</v>
      </c>
      <c r="E217" s="1673"/>
      <c r="F217" s="1673"/>
      <c r="G217" s="1673"/>
      <c r="H217" s="1673"/>
      <c r="I217" s="1673"/>
      <c r="J217" s="1673"/>
      <c r="K217" s="1672">
        <f t="shared" si="19"/>
        <v>95760</v>
      </c>
      <c r="L217" s="1573">
        <v>95671</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7</v>
      </c>
      <c r="E219" s="1673"/>
      <c r="F219" s="1673"/>
      <c r="G219" s="1673"/>
      <c r="H219" s="1673"/>
      <c r="I219" s="1673"/>
      <c r="J219" s="1673"/>
      <c r="K219" s="1672">
        <f t="shared" si="19"/>
        <v>7</v>
      </c>
      <c r="L219" s="1573">
        <v>10</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c r="E221" s="1673"/>
      <c r="F221" s="1673"/>
      <c r="G221" s="1673"/>
      <c r="H221" s="1673"/>
      <c r="I221" s="1673"/>
      <c r="J221" s="1673"/>
      <c r="K221" s="1672">
        <f t="shared" si="19"/>
        <v>0</v>
      </c>
      <c r="L221" s="1573">
        <v>0</v>
      </c>
    </row>
    <row r="222" spans="1:14" x14ac:dyDescent="0.2">
      <c r="A222" s="1274" t="s">
        <v>718</v>
      </c>
      <c r="B222" s="503">
        <v>1400</v>
      </c>
      <c r="C222" s="1673"/>
      <c r="D222" s="1573">
        <v>646</v>
      </c>
      <c r="E222" s="1673"/>
      <c r="F222" s="1673"/>
      <c r="G222" s="1673"/>
      <c r="H222" s="1673"/>
      <c r="I222" s="1673"/>
      <c r="J222" s="1673"/>
      <c r="K222" s="1672">
        <f t="shared" si="19"/>
        <v>646</v>
      </c>
      <c r="L222" s="1573">
        <v>647</v>
      </c>
    </row>
    <row r="223" spans="1:14" x14ac:dyDescent="0.2">
      <c r="A223" s="1274" t="s">
        <v>957</v>
      </c>
      <c r="B223" s="503">
        <v>1500</v>
      </c>
      <c r="C223" s="1673"/>
      <c r="D223" s="1573">
        <f>8+61+244+46+24+37+118+37+235+37+8+21+17+30+60+22+64+69+64+33+16+30+303+313+90+146+346+146+106+113+118+21+33+27+32+41+26+78+164+65+126+81+117+92+47+94+43+55+36+26+28+2962+190+15+1686+149+110+1336+35+30</f>
        <v>10707</v>
      </c>
      <c r="E223" s="1673"/>
      <c r="F223" s="1673"/>
      <c r="G223" s="1673"/>
      <c r="H223" s="1673"/>
      <c r="I223" s="1673"/>
      <c r="J223" s="1673"/>
      <c r="K223" s="1672">
        <f t="shared" si="19"/>
        <v>10707</v>
      </c>
      <c r="L223" s="1573">
        <v>10884</v>
      </c>
    </row>
    <row r="224" spans="1:14" x14ac:dyDescent="0.2">
      <c r="A224" s="1274" t="s">
        <v>958</v>
      </c>
      <c r="B224" s="503">
        <v>1600</v>
      </c>
      <c r="C224" s="1673"/>
      <c r="D224" s="1573"/>
      <c r="E224" s="1673"/>
      <c r="F224" s="1673"/>
      <c r="G224" s="1673"/>
      <c r="H224" s="1673"/>
      <c r="I224" s="1673"/>
      <c r="J224" s="1673"/>
      <c r="K224" s="1672">
        <f t="shared" si="19"/>
        <v>0</v>
      </c>
      <c r="L224" s="1573">
        <v>0</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763</v>
      </c>
      <c r="E226" s="1673"/>
      <c r="F226" s="1673"/>
      <c r="G226" s="1673"/>
      <c r="H226" s="1673"/>
      <c r="I226" s="1673"/>
      <c r="J226" s="1673"/>
      <c r="K226" s="1672">
        <f t="shared" si="19"/>
        <v>763</v>
      </c>
      <c r="L226" s="1573">
        <v>764</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174983</v>
      </c>
      <c r="E229" s="1673"/>
      <c r="F229" s="1673"/>
      <c r="G229" s="1673"/>
      <c r="H229" s="1673"/>
      <c r="I229" s="1673"/>
      <c r="J229" s="1673"/>
      <c r="K229" s="1674">
        <f>SUM(K215:K228)</f>
        <v>174983</v>
      </c>
      <c r="L229" s="1674">
        <f>SUM(L215:L228)</f>
        <v>175121</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v>0</v>
      </c>
    </row>
    <row r="233" spans="1:12" x14ac:dyDescent="0.2">
      <c r="A233" s="1274" t="s">
        <v>1081</v>
      </c>
      <c r="B233" s="503">
        <v>2120</v>
      </c>
      <c r="C233" s="1673"/>
      <c r="D233" s="1573">
        <f>949+1024+2102</f>
        <v>4075</v>
      </c>
      <c r="E233" s="1673"/>
      <c r="F233" s="1673"/>
      <c r="G233" s="1673"/>
      <c r="H233" s="1673"/>
      <c r="I233" s="1673"/>
      <c r="J233" s="1673"/>
      <c r="K233" s="1672">
        <f t="shared" si="20"/>
        <v>4075</v>
      </c>
      <c r="L233" s="1573">
        <v>3969</v>
      </c>
    </row>
    <row r="234" spans="1:12" x14ac:dyDescent="0.2">
      <c r="A234" s="1274" t="s">
        <v>196</v>
      </c>
      <c r="B234" s="503">
        <v>2130</v>
      </c>
      <c r="C234" s="1673"/>
      <c r="D234" s="1573">
        <f>7066+4005+937</f>
        <v>12008</v>
      </c>
      <c r="E234" s="1673"/>
      <c r="F234" s="1673"/>
      <c r="G234" s="1673"/>
      <c r="H234" s="1673"/>
      <c r="I234" s="1673"/>
      <c r="J234" s="1673"/>
      <c r="K234" s="1672">
        <f t="shared" si="20"/>
        <v>12008</v>
      </c>
      <c r="L234" s="1573">
        <v>12324</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16083</v>
      </c>
      <c r="E238" s="1673"/>
      <c r="F238" s="1673"/>
      <c r="G238" s="1673"/>
      <c r="H238" s="1673"/>
      <c r="I238" s="1673"/>
      <c r="J238" s="1673"/>
      <c r="K238" s="1674">
        <f>SUM(K232:K237)</f>
        <v>16083</v>
      </c>
      <c r="L238" s="1674">
        <f>SUM(L232:L237)</f>
        <v>16293</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f>22+1+112+346</f>
        <v>481</v>
      </c>
      <c r="E240" s="1673"/>
      <c r="F240" s="1673"/>
      <c r="G240" s="1673"/>
      <c r="H240" s="1673"/>
      <c r="I240" s="1673"/>
      <c r="J240" s="1673"/>
      <c r="K240" s="1678">
        <f>D240</f>
        <v>481</v>
      </c>
      <c r="L240" s="1586">
        <v>475</v>
      </c>
    </row>
    <row r="241" spans="1:12" x14ac:dyDescent="0.2">
      <c r="A241" s="1274" t="s">
        <v>810</v>
      </c>
      <c r="B241" s="503">
        <v>2220</v>
      </c>
      <c r="C241" s="1673"/>
      <c r="D241" s="1573">
        <v>970</v>
      </c>
      <c r="E241" s="1673"/>
      <c r="F241" s="1673"/>
      <c r="G241" s="1673"/>
      <c r="H241" s="1673"/>
      <c r="I241" s="1673"/>
      <c r="J241" s="1673"/>
      <c r="K241" s="1678">
        <f>D241</f>
        <v>970</v>
      </c>
      <c r="L241" s="1573">
        <v>970</v>
      </c>
    </row>
    <row r="242" spans="1:12" x14ac:dyDescent="0.2">
      <c r="A242" s="1274" t="s">
        <v>811</v>
      </c>
      <c r="B242" s="503">
        <v>2230</v>
      </c>
      <c r="C242" s="1673"/>
      <c r="D242" s="1573"/>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1451</v>
      </c>
      <c r="E243" s="1673"/>
      <c r="F243" s="1673"/>
      <c r="G243" s="1673"/>
      <c r="H243" s="1673"/>
      <c r="I243" s="1673"/>
      <c r="J243" s="1673"/>
      <c r="K243" s="1674">
        <f>SUM(K240:K242)</f>
        <v>1451</v>
      </c>
      <c r="L243" s="1674">
        <f>SUM(L240:L242)</f>
        <v>1445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f>804+478+112</f>
        <v>1394</v>
      </c>
      <c r="E245" s="1673"/>
      <c r="F245" s="1673"/>
      <c r="G245" s="1673"/>
      <c r="H245" s="1673"/>
      <c r="I245" s="1673"/>
      <c r="J245" s="1673"/>
      <c r="K245" s="1678">
        <f>D245</f>
        <v>1394</v>
      </c>
      <c r="L245" s="1586">
        <v>1396</v>
      </c>
    </row>
    <row r="246" spans="1:12" x14ac:dyDescent="0.2">
      <c r="A246" s="1274" t="s">
        <v>813</v>
      </c>
      <c r="B246" s="503">
        <v>2320</v>
      </c>
      <c r="C246" s="1673"/>
      <c r="D246" s="1573">
        <f>884+522+209+5853+3629+2732</f>
        <v>13829</v>
      </c>
      <c r="E246" s="1673"/>
      <c r="F246" s="1673"/>
      <c r="G246" s="1673"/>
      <c r="H246" s="1673"/>
      <c r="I246" s="1673"/>
      <c r="J246" s="1673"/>
      <c r="K246" s="1678">
        <f t="shared" ref="K246:K256" si="21">D246</f>
        <v>13829</v>
      </c>
      <c r="L246" s="1573">
        <v>13943</v>
      </c>
    </row>
    <row r="247" spans="1:12" x14ac:dyDescent="0.2">
      <c r="A247" s="1274" t="s">
        <v>814</v>
      </c>
      <c r="B247" s="503">
        <v>2330</v>
      </c>
      <c r="C247" s="1673"/>
      <c r="D247" s="1573"/>
      <c r="E247" s="1673"/>
      <c r="F247" s="1673"/>
      <c r="G247" s="1673"/>
      <c r="H247" s="1673"/>
      <c r="I247" s="1673"/>
      <c r="J247" s="1673"/>
      <c r="K247" s="1678">
        <f t="shared" si="21"/>
        <v>0</v>
      </c>
      <c r="L247" s="1573">
        <v>0</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1779</v>
      </c>
      <c r="B249" s="557" t="s">
        <v>280</v>
      </c>
      <c r="C249" s="1673"/>
      <c r="D249" s="1579"/>
      <c r="E249" s="1673"/>
      <c r="F249" s="1673"/>
      <c r="G249" s="1673"/>
      <c r="H249" s="1673"/>
      <c r="I249" s="1673"/>
      <c r="J249" s="1673"/>
      <c r="K249" s="1678">
        <f t="shared" si="21"/>
        <v>0</v>
      </c>
      <c r="L249" s="1573">
        <v>0</v>
      </c>
    </row>
    <row r="250" spans="1:12" x14ac:dyDescent="0.2">
      <c r="A250" s="1275" t="s">
        <v>1780</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15223</v>
      </c>
      <c r="E257" s="1673"/>
      <c r="F257" s="1673"/>
      <c r="G257" s="1673"/>
      <c r="H257" s="1673"/>
      <c r="I257" s="1673"/>
      <c r="J257" s="1673"/>
      <c r="K257" s="1674">
        <f>SUM(K245:K256)</f>
        <v>15223</v>
      </c>
      <c r="L257" s="1674">
        <f>SUM(L245:L256)</f>
        <v>15339</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f>3885+2314+2723+4683+2203+2679+6145+3593+3300</f>
        <v>31525</v>
      </c>
      <c r="E259" s="1673"/>
      <c r="F259" s="1673"/>
      <c r="G259" s="1673"/>
      <c r="H259" s="1673"/>
      <c r="I259" s="1673"/>
      <c r="J259" s="1673"/>
      <c r="K259" s="1678">
        <f>D259</f>
        <v>31525</v>
      </c>
      <c r="L259" s="1586">
        <v>31583</v>
      </c>
    </row>
    <row r="260" spans="1:14" s="493" customFormat="1" x14ac:dyDescent="0.2">
      <c r="A260" s="1292" t="s">
        <v>1778</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31525</v>
      </c>
      <c r="E261" s="1673"/>
      <c r="F261" s="1673"/>
      <c r="G261" s="1673"/>
      <c r="H261" s="1673"/>
      <c r="I261" s="1673"/>
      <c r="J261" s="1673"/>
      <c r="K261" s="1674">
        <f>SUM(K259:K260)</f>
        <v>31525</v>
      </c>
      <c r="L261" s="1674">
        <f>SUM(L259:L260)</f>
        <v>31583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v>0</v>
      </c>
    </row>
    <row r="264" spans="1:14" x14ac:dyDescent="0.2">
      <c r="A264" s="1274" t="s">
        <v>460</v>
      </c>
      <c r="B264" s="559">
        <v>2520</v>
      </c>
      <c r="C264" s="1673"/>
      <c r="D264" s="1573">
        <f>2980+1794+1546</f>
        <v>6320</v>
      </c>
      <c r="E264" s="1673"/>
      <c r="F264" s="1673"/>
      <c r="G264" s="1673"/>
      <c r="H264" s="1673"/>
      <c r="I264" s="1673"/>
      <c r="J264" s="1673"/>
      <c r="K264" s="1678">
        <f t="shared" ref="K264:K269" si="22">D264</f>
        <v>6320</v>
      </c>
      <c r="L264" s="1573">
        <v>6393</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f>2515+7266+1489+4098+348+958+7408+4849+1134+10425+5898+1379+4278+5132+2469+2941+578+688</f>
        <v>63853</v>
      </c>
      <c r="E266" s="1673"/>
      <c r="F266" s="1673"/>
      <c r="G266" s="1673"/>
      <c r="H266" s="1673"/>
      <c r="I266" s="1673"/>
      <c r="J266" s="1673"/>
      <c r="K266" s="1678">
        <f t="shared" si="22"/>
        <v>63853</v>
      </c>
      <c r="L266" s="1573">
        <v>63713</v>
      </c>
    </row>
    <row r="267" spans="1:14" x14ac:dyDescent="0.2">
      <c r="A267" s="1274" t="s">
        <v>947</v>
      </c>
      <c r="B267" s="503">
        <v>2550</v>
      </c>
      <c r="C267" s="1673"/>
      <c r="D267" s="1573">
        <f>5030+29658+4936+2949+21107+3069+690+4943+718</f>
        <v>73100</v>
      </c>
      <c r="E267" s="1673"/>
      <c r="F267" s="1673"/>
      <c r="G267" s="1673"/>
      <c r="H267" s="1673"/>
      <c r="I267" s="1673"/>
      <c r="J267" s="1673"/>
      <c r="K267" s="1678">
        <f t="shared" si="22"/>
        <v>73100</v>
      </c>
      <c r="L267" s="1573">
        <v>75286</v>
      </c>
    </row>
    <row r="268" spans="1:14" x14ac:dyDescent="0.2">
      <c r="A268" s="1274" t="s">
        <v>100</v>
      </c>
      <c r="B268" s="503">
        <v>2560</v>
      </c>
      <c r="C268" s="1673"/>
      <c r="D268" s="1573">
        <f>1414+786+184+2732+1659+416</f>
        <v>7191</v>
      </c>
      <c r="E268" s="1673"/>
      <c r="F268" s="1673"/>
      <c r="G268" s="1673"/>
      <c r="H268" s="1673"/>
      <c r="I268" s="1673"/>
      <c r="J268" s="1673"/>
      <c r="K268" s="1678">
        <f t="shared" si="22"/>
        <v>7191</v>
      </c>
      <c r="L268" s="1573">
        <v>7208</v>
      </c>
    </row>
    <row r="269" spans="1:14" x14ac:dyDescent="0.2">
      <c r="A269" s="1274" t="s">
        <v>101</v>
      </c>
      <c r="B269" s="503">
        <v>2570</v>
      </c>
      <c r="C269" s="1673"/>
      <c r="D269" s="1573">
        <f>115+66+15</f>
        <v>196</v>
      </c>
      <c r="E269" s="1673"/>
      <c r="F269" s="1673"/>
      <c r="G269" s="1673"/>
      <c r="H269" s="1673"/>
      <c r="I269" s="1673"/>
      <c r="J269" s="1673"/>
      <c r="K269" s="1678">
        <f t="shared" si="22"/>
        <v>196</v>
      </c>
      <c r="L269" s="1573">
        <v>213</v>
      </c>
    </row>
    <row r="270" spans="1:14" ht="12.75" customHeight="1" thickBot="1" x14ac:dyDescent="0.25">
      <c r="A270" s="1380" t="s">
        <v>714</v>
      </c>
      <c r="B270" s="1383" t="s">
        <v>35</v>
      </c>
      <c r="C270" s="1673"/>
      <c r="D270" s="1674">
        <f>SUM(D263:D269)</f>
        <v>150660</v>
      </c>
      <c r="E270" s="1673"/>
      <c r="F270" s="1673"/>
      <c r="G270" s="1673"/>
      <c r="H270" s="1673"/>
      <c r="I270" s="1673"/>
      <c r="J270" s="1673"/>
      <c r="K270" s="1674">
        <f>SUM(K263:K269)</f>
        <v>150660</v>
      </c>
      <c r="L270" s="1674">
        <f>SUM(L263:L269)</f>
        <v>152813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f>1362+1296+303+60+130+30</f>
        <v>3181</v>
      </c>
      <c r="E278" s="1673"/>
      <c r="F278" s="1673"/>
      <c r="G278" s="1673"/>
      <c r="H278" s="1673"/>
      <c r="I278" s="1673"/>
      <c r="J278" s="1673"/>
      <c r="K278" s="1696">
        <f>D278</f>
        <v>3181</v>
      </c>
      <c r="L278" s="1695">
        <v>3391</v>
      </c>
    </row>
    <row r="279" spans="1:12" ht="12.75" customHeight="1" thickBot="1" x14ac:dyDescent="0.25">
      <c r="A279" s="1400" t="s">
        <v>806</v>
      </c>
      <c r="B279" s="1387">
        <v>2000</v>
      </c>
      <c r="C279" s="1673"/>
      <c r="D279" s="1681">
        <f>SUM(D238,D243,D257,D261,D270,D277,D278)</f>
        <v>218123</v>
      </c>
      <c r="E279" s="1673"/>
      <c r="F279" s="1673"/>
      <c r="G279" s="1673"/>
      <c r="H279" s="1673"/>
      <c r="I279" s="1673"/>
      <c r="J279" s="1673"/>
      <c r="K279" s="1681">
        <f>SUM(K238,K243,K257,K261,K270,K277,K278)</f>
        <v>218123</v>
      </c>
      <c r="L279" s="1681">
        <f>SUM(L238,L243,L257,L261,L270,L277,L278)</f>
        <v>220864</v>
      </c>
    </row>
    <row r="280" spans="1:12" ht="15.75" customHeight="1" thickTop="1" thickBot="1" x14ac:dyDescent="0.25">
      <c r="A280" s="1362" t="s">
        <v>870</v>
      </c>
      <c r="B280" s="1351">
        <v>3000</v>
      </c>
      <c r="C280" s="1673"/>
      <c r="D280" s="1651">
        <f>4422+2141+2571+1230+601+752</f>
        <v>11717</v>
      </c>
      <c r="E280" s="1673"/>
      <c r="F280" s="1673"/>
      <c r="G280" s="1673"/>
      <c r="H280" s="1673"/>
      <c r="I280" s="1673"/>
      <c r="J280" s="1673"/>
      <c r="K280" s="1687">
        <f>D280</f>
        <v>11717</v>
      </c>
      <c r="L280" s="1651">
        <v>11784</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3" t="s">
        <v>502</v>
      </c>
      <c r="B295" s="2284"/>
      <c r="C295" s="1673"/>
      <c r="D295" s="1674">
        <f>SUM(D229,D279,D280,D285)</f>
        <v>404823</v>
      </c>
      <c r="E295" s="1673"/>
      <c r="F295" s="1673"/>
      <c r="G295" s="1673"/>
      <c r="H295" s="1674">
        <f>H293</f>
        <v>0</v>
      </c>
      <c r="I295" s="1673"/>
      <c r="J295" s="1673"/>
      <c r="K295" s="1674">
        <f>SUM(K229,K279,K280,K285,K293,K294)</f>
        <v>404823</v>
      </c>
      <c r="L295" s="1674">
        <f>SUM(L229,L279,L280,L285,L293,L294)</f>
        <v>407769</v>
      </c>
    </row>
    <row r="296" spans="1:14" ht="13.5" thickTop="1" x14ac:dyDescent="0.2">
      <c r="A296" s="2265" t="s">
        <v>989</v>
      </c>
      <c r="B296" s="2266"/>
      <c r="C296" s="1673"/>
      <c r="D296" s="1675"/>
      <c r="E296" s="1673"/>
      <c r="F296" s="1673"/>
      <c r="G296" s="1673"/>
      <c r="H296" s="1707"/>
      <c r="I296" s="1673"/>
      <c r="J296" s="1673"/>
      <c r="K296" s="1689">
        <f>'Revenues 9-14'!G268-'Expenditures 15-22'!K295</f>
        <v>-5765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5" t="s">
        <v>142</v>
      </c>
      <c r="B298" s="226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4800</v>
      </c>
      <c r="F301" s="1573"/>
      <c r="G301" s="1573">
        <f>697454+999235+513805+8178+706100-1</f>
        <v>2924771</v>
      </c>
      <c r="H301" s="1573"/>
      <c r="I301" s="1574"/>
      <c r="J301" s="1574"/>
      <c r="K301" s="1672">
        <f>SUM(C301:J301)</f>
        <v>2929571</v>
      </c>
      <c r="L301" s="1574">
        <v>2920473</v>
      </c>
    </row>
    <row r="302" spans="1:14" ht="13.5" customHeight="1" x14ac:dyDescent="0.2">
      <c r="A302" s="1287" t="s">
        <v>973</v>
      </c>
      <c r="B302" s="503" t="s">
        <v>570</v>
      </c>
      <c r="C302" s="1573"/>
      <c r="D302" s="1573"/>
      <c r="E302" s="1573"/>
      <c r="F302" s="1573"/>
      <c r="G302" s="1573"/>
      <c r="H302" s="1573">
        <v>56200</v>
      </c>
      <c r="I302" s="1574"/>
      <c r="J302" s="1574"/>
      <c r="K302" s="1672">
        <f>SUM(C302:J302)</f>
        <v>56200</v>
      </c>
      <c r="L302" s="1573">
        <v>0</v>
      </c>
    </row>
    <row r="303" spans="1:14" ht="12.75" customHeight="1" thickBot="1" x14ac:dyDescent="0.25">
      <c r="A303" s="1380" t="s">
        <v>806</v>
      </c>
      <c r="B303" s="1381" t="s">
        <v>565</v>
      </c>
      <c r="C303" s="1681">
        <f>SUM(C301:C302)</f>
        <v>0</v>
      </c>
      <c r="D303" s="1681">
        <f t="shared" ref="D303:L303" si="23">SUM(D301:D302)</f>
        <v>0</v>
      </c>
      <c r="E303" s="1681">
        <f t="shared" si="23"/>
        <v>4800</v>
      </c>
      <c r="F303" s="1681">
        <f t="shared" si="23"/>
        <v>0</v>
      </c>
      <c r="G303" s="1681">
        <f t="shared" si="23"/>
        <v>2924771</v>
      </c>
      <c r="H303" s="1681">
        <f t="shared" si="23"/>
        <v>56200</v>
      </c>
      <c r="I303" s="1681">
        <f t="shared" si="23"/>
        <v>0</v>
      </c>
      <c r="J303" s="1681">
        <f t="shared" si="23"/>
        <v>0</v>
      </c>
      <c r="K303" s="1681">
        <f t="shared" si="23"/>
        <v>2985771</v>
      </c>
      <c r="L303" s="1681">
        <f t="shared" si="23"/>
        <v>2920473</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0" t="s">
        <v>275</v>
      </c>
      <c r="B312" s="2281"/>
      <c r="C312" s="1674">
        <f>SUM(C303)</f>
        <v>0</v>
      </c>
      <c r="D312" s="1674">
        <f>SUM(D303)</f>
        <v>0</v>
      </c>
      <c r="E312" s="1674">
        <f>SUM(E303,E310)</f>
        <v>4800</v>
      </c>
      <c r="F312" s="1674">
        <f>SUM(F303)</f>
        <v>0</v>
      </c>
      <c r="G312" s="1674">
        <f>SUM(G303)</f>
        <v>2924771</v>
      </c>
      <c r="H312" s="1674">
        <f>SUM(H303,H310)</f>
        <v>56200</v>
      </c>
      <c r="I312" s="1674">
        <f>SUM(I303)</f>
        <v>0</v>
      </c>
      <c r="J312" s="1674">
        <f>SUM(J303)</f>
        <v>0</v>
      </c>
      <c r="K312" s="1674">
        <f>SUM(K303,K310,K311)</f>
        <v>2985771</v>
      </c>
      <c r="L312" s="1674">
        <f>SUM(L303,L310,L311)</f>
        <v>2920473</v>
      </c>
      <c r="M312" s="539"/>
      <c r="N312" s="539"/>
    </row>
    <row r="313" spans="1:14" ht="13.5" thickTop="1" x14ac:dyDescent="0.2">
      <c r="A313" s="2276" t="s">
        <v>989</v>
      </c>
      <c r="B313" s="2277"/>
      <c r="C313" s="1677"/>
      <c r="D313" s="1677"/>
      <c r="E313" s="1677"/>
      <c r="F313" s="1677"/>
      <c r="G313" s="1677"/>
      <c r="H313" s="1677"/>
      <c r="I313" s="1677"/>
      <c r="J313" s="1677"/>
      <c r="K313" s="1696">
        <f>'Revenues 9-14'!H268-'Expenditures 15-22'!K312</f>
        <v>-2163519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9" t="s">
        <v>148</v>
      </c>
      <c r="B315" s="229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1" t="s">
        <v>892</v>
      </c>
      <c r="B317" s="229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1779</v>
      </c>
      <c r="B320" s="568" t="s">
        <v>280</v>
      </c>
      <c r="C320" s="1574"/>
      <c r="D320" s="1574"/>
      <c r="E320" s="1574"/>
      <c r="F320" s="1574"/>
      <c r="G320" s="1574"/>
      <c r="H320" s="1574"/>
      <c r="I320" s="1574"/>
      <c r="J320" s="1574"/>
      <c r="K320" s="1672">
        <f t="shared" ref="K320:K327" si="24">SUM(C320:J320)</f>
        <v>0</v>
      </c>
      <c r="L320" s="1574">
        <v>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v>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v>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v>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8" t="s">
        <v>989</v>
      </c>
      <c r="B343" s="2279"/>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8" t="s">
        <v>960</v>
      </c>
      <c r="B345" s="226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v>0</v>
      </c>
    </row>
    <row r="355" spans="1:14" ht="12.75" customHeight="1" x14ac:dyDescent="0.2">
      <c r="A355" s="1283" t="s">
        <v>1822</v>
      </c>
      <c r="B355" s="562" t="s">
        <v>1815</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5" t="s">
        <v>989</v>
      </c>
      <c r="B368" s="2266"/>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4d435f69-8686-490b-bd6d-b153bf22ab50"/>
    <ds:schemaRef ds:uri="http://schemas.microsoft.com/sharepoint/v3"/>
    <ds:schemaRef ds:uri="http://schemas.microsoft.com/office/infopath/2007/PartnerControls"/>
    <ds:schemaRef ds:uri="http://schemas.openxmlformats.org/package/2006/metadata/core-properties"/>
    <ds:schemaRef ds:uri="http://purl.org/dc/elements/1.1/"/>
    <ds:schemaRef ds:uri="http://www.w3.org/XML/1998/namespace"/>
    <ds:schemaRef ds:uri="d21dc803-237d-4c68-8692-8d731fd29118"/>
    <ds:schemaRef ds:uri="6ce3111e-7420-4802-b50a-75d4e9a0b980"/>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2020-10-05T15:21:21Z</cp:lastPrinted>
  <dcterms:created xsi:type="dcterms:W3CDTF">2003-10-29T19:06:34Z</dcterms:created>
  <dcterms:modified xsi:type="dcterms:W3CDTF">2020-11-18T13:55:49Z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