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4677B95-E6FC-4B39-AE9E-E7C891FF77D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D24" i="37"/>
  <c r="B4270" i="106" s="1"/>
  <c r="D4270" i="106" s="1"/>
  <c r="B5752" i="106"/>
  <c r="D5752" i="106" s="1"/>
  <c r="L22" i="37" l="1"/>
  <c r="G14" i="4"/>
  <c r="B2609" i="106" s="1"/>
  <c r="D2609" i="106" s="1"/>
  <c r="F72" i="34"/>
  <c r="F71" i="34"/>
  <c r="D36" i="108"/>
  <c r="H342" i="29"/>
  <c r="B6995" i="106"/>
  <c r="D6995" i="106" s="1"/>
  <c r="B6289" i="106"/>
  <c r="D6289" i="106" s="1"/>
  <c r="B2836" i="106"/>
  <c r="D2836" i="106" s="1"/>
  <c r="J210" i="29"/>
  <c r="B7072" i="106" s="1"/>
  <c r="D7072" i="106" s="1"/>
  <c r="B7135" i="106"/>
  <c r="D7135" i="106" s="1"/>
  <c r="E58" i="184"/>
  <c r="N58" i="184" s="1"/>
  <c r="F34" i="34"/>
  <c r="B7826" i="106" s="1"/>
  <c r="D7826" i="106" s="1"/>
  <c r="H76" i="4"/>
  <c r="B3298" i="106" s="1"/>
  <c r="D3298" i="106" s="1"/>
  <c r="D31" i="108"/>
  <c r="E16" i="184"/>
  <c r="H16" i="184" s="1"/>
  <c r="F37" i="34"/>
  <c r="B7829" i="106" s="1"/>
  <c r="D7829" i="106" s="1"/>
  <c r="H12" i="184"/>
  <c r="B7180" i="106"/>
  <c r="D7180" i="106" s="1"/>
  <c r="E63" i="184"/>
  <c r="N63" i="184" s="1"/>
  <c r="F77" i="4"/>
  <c r="B3255" i="106" s="1"/>
  <c r="D3255" i="106" s="1"/>
  <c r="G33" i="108"/>
  <c r="E17" i="184"/>
  <c r="H17" i="184" s="1"/>
  <c r="B7171" i="106"/>
  <c r="D7171" i="106" s="1"/>
  <c r="E62" i="184"/>
  <c r="N62" i="184" s="1"/>
  <c r="B7198" i="106"/>
  <c r="D7198" i="106" s="1"/>
  <c r="E65" i="184"/>
  <c r="N65" i="184" s="1"/>
  <c r="B7189" i="106"/>
  <c r="D7189" i="106" s="1"/>
  <c r="E64" i="184"/>
  <c r="N64" i="184" s="1"/>
  <c r="B7162" i="106"/>
  <c r="D7162" i="106" s="1"/>
  <c r="E61" i="184"/>
  <c r="N61" i="184" s="1"/>
  <c r="B7126" i="106"/>
  <c r="D7126" i="106" s="1"/>
  <c r="E57" i="184"/>
  <c r="B7153" i="106"/>
  <c r="D7153" i="106" s="1"/>
  <c r="E60" i="184"/>
  <c r="N60" i="184" s="1"/>
  <c r="B7696" i="106"/>
  <c r="D7696" i="106" s="1"/>
  <c r="E66" i="184"/>
  <c r="N66"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B5770" i="106"/>
  <c r="D5770" i="106" s="1"/>
  <c r="B7235" i="106"/>
  <c r="D7235" i="106" s="1"/>
  <c r="H19" i="184"/>
  <c r="L20" i="184" s="1"/>
  <c r="D44" i="36"/>
  <c r="B6216" i="106"/>
  <c r="D6216" i="106" s="1"/>
  <c r="H77" i="4"/>
  <c r="B3299" i="106" s="1"/>
  <c r="D3299" i="106" s="1"/>
  <c r="K342" i="29"/>
  <c r="F13" i="34" s="1"/>
  <c r="B1381" i="106"/>
  <c r="D1381" i="106" s="1"/>
  <c r="F41" i="108"/>
  <c r="G43" i="108" s="1"/>
  <c r="L16" i="11"/>
  <c r="B2061" i="106" s="1"/>
  <c r="D2061" i="106" s="1"/>
  <c r="B7220" i="106"/>
  <c r="D7220" i="106" s="1"/>
  <c r="F75" i="34"/>
  <c r="B7886" i="106" s="1"/>
  <c r="D7886" i="106" s="1"/>
  <c r="H151" i="29"/>
  <c r="B1273" i="106" s="1"/>
  <c r="D1273" i="106" s="1"/>
  <c r="L114" i="29"/>
  <c r="N57" i="184"/>
  <c r="N68" i="184" s="1"/>
  <c r="E68" i="184"/>
  <c r="K365" i="29"/>
  <c r="B7243" i="106" s="1"/>
  <c r="D7243" i="106" s="1"/>
  <c r="E367" i="29"/>
  <c r="B3635" i="106"/>
  <c r="B5527" i="106"/>
  <c r="D5527"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20" i="4"/>
  <c r="J78" i="4" s="1"/>
  <c r="J10" i="4"/>
  <c r="B6225" i="106" s="1"/>
  <c r="D6225" i="106" s="1"/>
  <c r="F77" i="34"/>
  <c r="B7834" i="106" s="1"/>
  <c r="D7834" i="106" s="1"/>
  <c r="K17"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<sst xmlns="http://schemas.openxmlformats.org/spreadsheetml/2006/main" count="5171" uniqueCount="2104">
  <si>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</si>
  <si>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</si>
  <si>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</si>
  <si>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</si>
  <si>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</si>
  <si>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</si>
  <si>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</si>
  <si>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</si>
  <si>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</si>
  <si>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</si>
  <si>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</si>
  <si>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</si>
  <si>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</si>
  <si>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</si>
  <si>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</si>
  <si>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</si>
  <si>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</si>
  <si>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</si>
  <si>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</si>
  <si>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</si>
  <si>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</si>
  <si>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</si>
  <si>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</si>
  <si>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</si>
  <si>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</si>
  <si>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</si>
  <si>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</si>
  <si>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</si>
  <si>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</si>
  <si>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</si>
  <si>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</si>
  <si>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</si>
  <si>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</si>
  <si>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</si>
  <si>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</si>
  <si>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</si>
  <si>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</si>
  <si>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</si>
  <si>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</si>
  <si>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</si>
  <si>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</si>
  <si>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</si>
  <si>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</si>
  <si>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</si>
  <si>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</si>
  <si>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</si>
  <si>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</si>
  <si>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</si>
  <si>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</si>
  <si>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</si>
  <si>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</si>
  <si>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</si>
  <si>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</si>
  <si>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</si>
  <si>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</si>
  <si>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</si>
  <si>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</si>
  <si>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</si>
  <si>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</si>
  <si>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</si>
  <si>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</si>
  <si>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</si>
  <si>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</si>
  <si>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</si>
  <si>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</si>
  <si>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</si>
  <si>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</si>
  <si>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</si>
  <si>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</si>
  <si>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</si>
  <si>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</si>
  <si>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</si>
  <si>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</si>
  <si>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</si>
  <si>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</si>
  <si>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</si>
  <si>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</si>
  <si>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</si>
  <si>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</si>
  <si>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</si>
  <si>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</si>
  <si>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</si>
  <si>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</si>
  <si>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</si>
  <si>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</si>
  <si>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</si>
  <si>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</si>
  <si>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</si>
  <si>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</si>
  <si>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</si>
  <si>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</si>
  <si>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</si>
  <si>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</si>
  <si>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</si>
  <si>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</si>
  <si>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</si>
  <si>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</si>
  <si>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</si>
  <si>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</si>
  <si>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</si>
  <si>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</si>
  <si>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</si>
  <si>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</si>
  <si>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</si>
  <si>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</si>
  <si>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</si>
  <si>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</si>
  <si>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</si>
  <si>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</si>
  <si>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</si>
  <si>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</si>
  <si>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</si>
  <si>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</si>
  <si>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</si>
  <si>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</si>
  <si>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</si>
  <si>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</si>
  <si>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</si>
  <si>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</si>
  <si>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</si>
  <si>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</si>
  <si>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</si>
  <si>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</si>
  <si>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</si>
  <si>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</si>
  <si>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</si>
  <si>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</si>
  <si>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</si>
  <si>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</si>
  <si>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</si>
  <si>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</si>
  <si>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</si>
  <si>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</si>
  <si>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</si>
  <si>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</si>
  <si>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</si>
  <si>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</si>
  <si>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</si>
  <si>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</si>
  <si>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</si>
  <si>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</si>
  <si>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</si>
  <si>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</si>
  <si>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</si>
  <si>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</si>
  <si>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</si>
  <si>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</si>
  <si>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</si>
  <si>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</si>
  <si>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</si>
  <si>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</si>
  <si>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</si>
  <si>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</si>
  <si>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</si>
  <si>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</si>
  <si>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</si>
  <si>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</si>
  <si>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</si>
  <si>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</si>
  <si>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</si>
  <si>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</si>
  <si>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</si>
  <si>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</si>
  <si>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</si>
  <si>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</si>
  <si>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</si>
  <si>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</si>
  <si>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</si>
  <si>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</si>
  <si>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</si>
  <si>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</si>
  <si>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</si>
  <si>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</si>
  <si>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</si>
  <si>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</si>
  <si>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</si>
  <si>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</si>
  <si>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</si>
  <si>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</si>
  <si>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</si>
  <si>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</si>
  <si>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</si>
  <si>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</si>
  <si>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</si>
  <si>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</si>
  <si>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</si>
  <si>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</si>
  <si>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</si>
  <si>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</si>
  <si>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</si>
  <si>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</si>
  <si>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</si>
  <si>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</si>
  <si>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</si>
  <si>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</si>
  <si>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</si>
  <si>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</si>
  <si>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</si>
  <si>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</si>
  <si>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</si>
  <si>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</si>
  <si>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</si>
  <si>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</si>
  <si>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</si>
  <si>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</si>
  <si>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</si>
  <si>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</si>
  <si>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</si>
  <si>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</si>
  <si>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</si>
  <si>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</si>
  <si>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</si>
  <si>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</si>
  <si>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</si>
  <si>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</si>
  <si>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</si>
  <si>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</si>
  <si>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</si>
  <si>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</si>
  <si>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</si>
  <si>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</si>
  <si>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</si>
  <si>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</si>
  <si>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</si>
  <si>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</si>
  <si>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</si>
  <si>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</si>
  <si>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</si>
  <si>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</si>
  <si>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</si>
  <si>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</si>
  <si>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</si>
  <si>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</si>
  <si>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</si>
  <si>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</si>
  <si>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</si>
  <si>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</si>
  <si>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</si>
  <si>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</si>
  <si>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</si>
  <si>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</si>
  <si>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</si>
  <si>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</si>
  <si>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</si>
  <si>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</si>
  <si>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</si>
  <si>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</si>
  <si>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</si>
  <si>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</si>
  <si>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</si>
  <si>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</si>
  <si>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</si>
  <si>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</si>
  <si>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</si>
  <si>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</si>
  <si>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</si>
  <si>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</si>
  <si>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</si>
  <si>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</si>
  <si>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</si>
  <si>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</si>
  <si>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</si>
  <si>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</si>
  <si>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</si>
  <si>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</si>
  <si>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</si>
  <si>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</si>
  <si>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</si>
  <si>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</si>
  <si>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</si>
  <si>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</si>
  <si>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</si>
  <si>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</si>
  <si>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</si>
  <si>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</si>
  <si>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</si>
  <si>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</si>
  <si>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</si>
  <si>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</si>
  <si>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</si>
  <si>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</si>
  <si>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</si>
  <si>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</si>
  <si>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</si>
  <si>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</si>
  <si>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</si>
  <si>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</si>
  <si>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</si>
  <si>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</si>
  <si>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</si>
  <si>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</si>
  <si>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</si>
  <si>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</si>
  <si>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</si>
  <si>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</si>
  <si>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</si>
  <si>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</si>
  <si>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</si>
  <si>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</si>
  <si>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</si>
  <si>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</si>
  <si>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</si>
  <si>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</si>
  <si>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</si>
  <si>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</si>
  <si>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</si>
  <si>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</si>
  <si>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</si>
  <si>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</si>
  <si>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</si>
  <si>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</si>
  <si>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</si>
  <si>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</si>
  <si>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</si>
  <si>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</si>
  <si>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</si>
  <si>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</si>
  <si>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</si>
  <si>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</si>
  <si>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</si>
  <si>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</si>
  <si>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</si>
  <si>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</si>
  <si>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</si>
  <si>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</si>
  <si>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</si>
  <si>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</si>
  <si>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</si>
  <si>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</si>
  <si>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</si>
  <si>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</si>
  <si>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</si>
  <si>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</si>
  <si>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</si>
  <si>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</si>
  <si>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</si>
  <si>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</si>
  <si>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</si>
  <si>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</si>
  <si>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</si>
  <si>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</si>
  <si>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</si>
  <si>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</si>
  <si>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</si>
  <si>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</si>
  <si>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</si>
  <si>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</si>
  <si>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</si>
  <si>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</si>
  <si>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</si>
  <si>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</si>
  <si>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</si>
  <si>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</si>
  <si>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</si>
  <si>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</si>
  <si>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</si>
  <si>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</si>
  <si>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</si>
  <si>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</si>
  <si>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</si>
  <si>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</si>
  <si>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</si>
  <si>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</si>
  <si>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</si>
  <si>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</si>
  <si>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</si>
  <si>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</si>
  <si>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</si>
  <si>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</si>
  <si>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</si>
  <si>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</si>
  <si>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</si>
  <si>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</si>
  <si>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</si>
  <si>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</si>
  <si>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</si>
  <si>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</si>
  <si>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</si>
  <si>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</si>
  <si>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</si>
  <si>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</si>
  <si>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</si>
  <si>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</si>
  <si>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</si>
  <si>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</si>
  <si>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</si>
  <si>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</si>
  <si>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</si>
  <si>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</si>
  <si>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</si>
  <si>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</si>
  <si>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</si>
  <si>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</si>
  <si>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</si>
  <si>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</si>
  <si>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</si>
  <si>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</si>
  <si>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</si>
  <si>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</si>
  <si>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</si>
  <si>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</si>
  <si>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</si>
  <si>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</si>
  <si>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</si>
  <si>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</si>
  <si>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</si>
  <si>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</si>
  <si>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</si>
  <si>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</si>
  <si>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</si>
  <si>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</si>
  <si>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</si>
  <si>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</si>
  <si>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</si>
  <si>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</si>
  <si>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</si>
  <si>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</si>
  <si>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</si>
  <si>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</si>
  <si>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</si>
  <si>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</si>
  <si>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</si>
  <si>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</si>
  <si>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</si>
  <si>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</si>
  <si>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</si>
  <si>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</si>
  <si>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</si>
  <si>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</si>
  <si>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</si>
  <si>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</si>
  <si>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</si>
  <si>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</si>
  <si>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</si>
  <si>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</si>
  <si>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</si>
  <si>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</si>
  <si>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</si>
  <si>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</si>
  <si>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</si>
  <si>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</si>
  <si>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</si>
  <si>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</si>
  <si>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</si>
  <si>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</si>
  <si>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</si>
  <si>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</si>
  <si>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</si>
  <si>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</si>
  <si>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</si>
  <si>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</si>
  <si>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</si>
  <si>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</si>
  <si>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</si>
  <si>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</si>
  <si>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</si>
  <si>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</si>
  <si>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</si>
  <si>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</si>
  <si>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</si>
  <si>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</si>
  <si>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</si>
  <si>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</si>
  <si>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</si>
  <si>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</si>
  <si>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</si>
  <si>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</si>
  <si>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</si>
  <si>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</si>
  <si>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</si>
  <si>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</si>
  <si>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</si>
  <si>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</si>
  <si>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</si>
  <si>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</si>
  <si>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</si>
  <si>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</si>
  <si>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</si>
  <si>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</si>
  <si>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</si>
  <si>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</si>
  <si>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</si>
  <si>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</si>
  <si>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</si>
  <si>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</si>
  <si>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</si>
  <si>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</si>
  <si>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</si>
  <si>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</si>
  <si>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</si>
  <si>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</si>
  <si>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</si>
  <si>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</si>
  <si>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</si>
  <si>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</si>
  <si>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</si>
  <si>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</si>
  <si>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</si>
  <si>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</si>
  <si>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</si>
  <si>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</si>
  <si>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</si>
  <si>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</si>
  <si>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</si>
  <si>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</si>
  <si>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</si>
  <si>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</si>
  <si>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</si>
  <si>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</si>
  <si>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</si>
  <si>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</si>
  <si>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</si>
  <si>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</si>
  <si>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</si>
  <si>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</si>
  <si>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</si>
  <si>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</si>
  <si>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</si>
  <si>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</si>
  <si>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</si>
  <si>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</si>
  <si>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</si>
  <si>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</si>
  <si>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</si>
  <si>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</si>
  <si>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</si>
  <si>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</si>
  <si>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</si>
  <si>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</si>
  <si>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</si>
  <si>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</si>
  <si>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</si>
  <si>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</si>
  <si>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</si>
  <si>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</si>
  <si>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</si>
  <si>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</si>
  <si>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</si>
  <si>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</si>
  <si>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</si>
  <si>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</si>
  <si>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</si>
  <si>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</si>
  <si>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</si>
  <si>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</si>
  <si>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</si>
  <si>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</si>
  <si>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</si>
  <si>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</si>
  <si>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</si>
  <si>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</si>
  <si>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</si>
  <si>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</si>
  <si>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</si>
  <si>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</si>
  <si>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</si>
  <si>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</si>
  <si>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</si>
  <si>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</si>
  <si>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</si>
  <si>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</si>
  <si>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</si>
  <si>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</si>
  <si>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</si>
  <si>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</si>
  <si>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</si>
  <si>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</si>
  <si>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</si>
  <si>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</si>
  <si>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</si>
  <si>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</si>
  <si>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</si>
  <si>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</si>
  <si>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</si>
  <si>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</si>
  <si>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</si>
  <si>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</si>
  <si>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</si>
  <si>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</si>
  <si>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</si>
  <si>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</si>
  <si>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</si>
  <si>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</si>
  <si>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</si>
  <si>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</si>
  <si>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</si>
  <si>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</si>
  <si>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</si>
  <si>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</si>
  <si>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</si>
  <si>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</si>
  <si>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</si>
  <si>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</si>
  <si>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</si>
  <si>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</si>
  <si>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</si>
  <si>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</si>
  <si>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</si>
  <si>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</si>
  <si>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</si>
  <si>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</si>
  <si>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</si>
  <si>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</si>
  <si>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</si>
  <si>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</si>
  <si>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</si>
  <si>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</si>
  <si>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</si>
  <si>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</si>
  <si>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</si>
  <si>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</si>
  <si>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</si>
  <si>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</si>
  <si>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</si>
  <si>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</si>
  <si>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</si>
  <si>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</si>
  <si>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</si>
  <si>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</si>
  <si>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</si>
  <si>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</si>
  <si>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</si>
  <si>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</si>
  <si>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</si>
  <si>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</si>
  <si>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</si>
  <si>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</si>
  <si>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</si>
  <si>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</si>
  <si>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</si>
  <si>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</si>
  <si>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</si>
  <si>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</si>
  <si>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</si>
  <si>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</si>
  <si>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</si>
  <si>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</si>
  <si>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</si>
  <si>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</si>
  <si>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</si>
  <si>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</si>
  <si>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</si>
  <si>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</si>
  <si>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</si>
  <si>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</si>
  <si>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</si>
  <si>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</si>
  <si>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</si>
  <si>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</si>
  <si>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</si>
  <si>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</si>
  <si>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</si>
  <si>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</si>
  <si>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</si>
  <si>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</si>
  <si>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</si>
  <si>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</si>
  <si>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</si>
  <si>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</si>
  <si>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</si>
  <si>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</si>
  <si>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</si>
  <si>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</si>
  <si>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</si>
  <si>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</si>
  <si>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</si>
  <si>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</si>
  <si>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</si>
  <si>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</si>
  <si>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</si>
  <si>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</si>
  <si>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</si>
  <si>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</si>
  <si>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</si>
  <si>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</si>
  <si>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</si>
  <si>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</si>
  <si>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</si>
  <si>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</si>
  <si>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</si>
  <si>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</si>
  <si>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</si>
  <si>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</si>
  <si>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</si>
  <si>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</si>
  <si>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</si>
  <si>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</si>
  <si>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</si>
  <si>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</si>
  <si>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</si>
  <si>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</si>
  <si>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</si>
  <si>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</si>
  <si>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</si>
  <si>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</si>
  <si>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</si>
  <si>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</si>
  <si>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</si>
  <si>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</si>
  <si>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</si>
  <si>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</si>
  <si>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</si>
  <si>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</si>
  <si>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</si>
  <si>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</si>
  <si>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</si>
  <si>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</si>
  <si>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</si>
  <si>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</si>
  <si>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</si>
  <si>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</si>
  <si>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</si>
  <si>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</si>
  <si>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</si>
  <si>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</si>
  <si>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</si>
  <si>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</si>
  <si>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</si>
  <si>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</si>
  <si>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</si>
  <si>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</si>
  <si>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</si>
  <si>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</si>
  <si>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</si>
  <si>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</si>
  <si>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</si>
  <si>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</si>
  <si>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</si>
  <si>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</si>
  <si>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</si>
  <si>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</si>
  <si>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</si>
  <si>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</si>
  <si>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</si>
  <si>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</si>
  <si>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</si>
  <si>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</si>
  <si>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</si>
  <si>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</si>
  <si>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</si>
  <si>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</si>
  <si>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</si>
  <si>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</si>
  <si>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</si>
  <si>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</si>
  <si>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</si>
  <si>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</si>
  <si>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</si>
  <si>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</si>
  <si>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</si>
  <si>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</si>
  <si>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</si>
  <si>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</si>
  <si>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</si>
  <si>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</si>
  <si>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</si>
  <si>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</si>
  <si>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</si>
  <si>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</si>
  <si>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</si>
  <si>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</si>
  <si>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</si>
  <si>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</si>
  <si>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</si>
  <si>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</si>
  <si>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</si>
  <si>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</si>
  <si>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</si>
  <si>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</si>
  <si>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</si>
  <si>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</si>
  <si>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</si>
  <si>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</si>
  <si>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</si>
  <si>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</si>
  <si>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</si>
  <si>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</si>
  <si>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</si>
  <si>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</si>
  <si>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</si>
  <si>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</si>
  <si>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</si>
  <si>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</si>
  <si>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</si>
  <si>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</si>
  <si>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</si>
  <si>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</si>
  <si>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</si>
  <si>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</si>
  <si>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</si>
  <si>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</si>
  <si>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</si>
  <si>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</si>
  <si>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</si>
  <si>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</si>
  <si>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</si>
  <si>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</si>
  <si>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</si>
  <si>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</si>
  <si>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</si>
  <si>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</si>
  <si>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</si>
  <si>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</si>
  <si>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</si>
  <si>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</si>
  <si>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</si>
  <si>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</si>
  <si>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</si>
  <si>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</si>
  <si>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</si>
  <si>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</si>
  <si>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</si>
  <si>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</si>
  <si>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</si>
  <si>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</si>
  <si>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</si>
  <si>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</si>
  <si>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</si>
  <si>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</si>
  <si>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</si>
  <si>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</si>
  <si>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</si>
  <si>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</si>
  <si>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</si>
  <si>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</si>
  <si>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</si>
  <si>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</si>
  <si>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</si>
  <si>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</si>
  <si>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</si>
  <si>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</si>
  <si>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</si>
  <si>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</si>
  <si>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</si>
  <si>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</si>
  <si>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</si>
  <si>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</si>
  <si>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</si>
  <si>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</si>
  <si>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</si>
  <si>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</si>
  <si>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</si>
  <si>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</si>
  <si>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</si>
  <si>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</si>
  <si>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</si>
  <si>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</si>
  <si>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</si>
  <si>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</si>
  <si>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</si>
  <si>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</si>
  <si>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</si>
  <si>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</si>
  <si>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</si>
  <si>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</si>
  <si>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</si>
  <si>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</si>
  <si>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</si>
  <si>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</si>
  <si>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</si>
  <si>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</si>
  <si>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</si>
  <si>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</si>
  <si>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</si>
  <si>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</si>
  <si>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</si>
  <si>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</si>
  <si>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</si>
  <si>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</si>
  <si>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</si>
  <si>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</si>
  <si>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</si>
  <si>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</si>
  <si>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</si>
  <si>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</si>
  <si>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</si>
  <si>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</si>
  <si>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</si>
  <si>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</si>
  <si>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</si>
  <si>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</si>
  <si>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</si>
  <si>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</si>
  <si>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</si>
  <si>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</si>
  <si>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</si>
  <si>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</si>
  <si>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</si>
  <si>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</si>
  <si>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</si>
  <si>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</si>
  <si>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</si>
  <si>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</si>
  <si>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</si>
  <si>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</si>
  <si>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</si>
  <si>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</si>
  <si>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</si>
  <si>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</si>
  <si>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</si>
  <si>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</si>
  <si>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</si>
  <si>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</si>
  <si>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</si>
  <si>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</si>
  <si>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</si>
  <si>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</si>
  <si>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</si>
  <si>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</si>
  <si>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</si>
  <si>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</si>
  <si>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</si>
  <si>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</si>
  <si>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</si>
  <si>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</si>
  <si>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</si>
  <si>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</si>
  <si>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</si>
  <si>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</si>
  <si>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</si>
  <si>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</si>
  <si>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</si>
  <si>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</si>
  <si>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</si>
  <si>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</si>
  <si>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</si>
  <si>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</si>
  <si>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</si>
  <si>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</si>
  <si>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</si>
  <si>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</si>
  <si>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</si>
  <si>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</si>
  <si>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</si>
  <si>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</si>
  <si>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</si>
  <si>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</si>
  <si>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</si>
  <si>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</si>
  <si>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</si>
  <si>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</si>
  <si>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</si>
  <si>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</si>
  <si>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</si>
  <si>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</si>
  <si>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</si>
  <si>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</si>
  <si>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</si>
  <si>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</si>
  <si>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</si>
  <si>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</si>
  <si>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</si>
  <si>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</si>
  <si>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</si>
  <si>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</si>
  <si>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</si>
  <si>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</si>
  <si>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</si>
  <si>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</si>
  <si>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</si>
  <si>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</si>
  <si>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</si>
  <si>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</si>
  <si>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</si>
  <si>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</si>
  <si>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</si>
  <si>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</si>
  <si>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</si>
  <si>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</si>
  <si>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</si>
  <si>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</si>
  <si>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</si>
  <si>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</si>
  <si>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</si>
  <si>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</si>
  <si>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</si>
  <si>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</si>
  <si>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</si>
  <si>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</si>
  <si>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</si>
  <si>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</si>
  <si>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</si>
  <si>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</si>
  <si>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</si>
  <si>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</si>
  <si>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</si>
  <si>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</si>
  <si>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</si>
  <si>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</si>
  <si>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</si>
  <si>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</si>
  <si>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</si>
  <si>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</si>
  <si>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</si>
  <si>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</si>
  <si>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</si>
  <si>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</si>
  <si>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</si>
  <si>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</si>
  <si>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</si>
  <si>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</si>
  <si>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</si>
  <si>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</si>
  <si>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</si>
  <si>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</si>
  <si>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</si>
  <si>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</si>
  <si>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</si>
  <si>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</si>
  <si>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</si>
  <si>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</si>
  <si>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</si>
  <si>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</si>
  <si>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</si>
  <si>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</si>
  <si>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</si>
  <si>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</si>
  <si>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</si>
  <si>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</si>
  <si>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</si>
  <si>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</si>
  <si>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</si>
  <si>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</si>
  <si>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</si>
  <si>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</si>
  <si>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</si>
  <si>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</si>
  <si>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</si>
  <si>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</si>
  <si>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</si>
  <si>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</si>
  <si>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</si>
  <si>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</si>
  <si>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</si>
  <si>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</si>
  <si>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</si>
  <si>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</si>
  <si>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</si>
  <si>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</si>
  <si>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</si>
  <si>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</si>
  <si>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</si>
  <si>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</si>
  <si>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</si>
  <si>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</si>
  <si>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</si>
  <si>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</si>
  <si>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</si>
  <si>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</si>
  <si>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</si>
  <si>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</si>
  <si>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</si>
  <si>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</si>
  <si>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</si>
  <si>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</si>
  <si>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</si>
  <si>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</si>
  <si>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</si>
  <si>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</si>
  <si>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</si>
  <si>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</si>
  <si>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</si>
  <si>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</si>
  <si>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</si>
  <si>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</si>
  <si>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</si>
  <si>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</si>
  <si>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</si>
  <si>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</si>
  <si>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</si>
  <si>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</si>
  <si>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</si>
  <si>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</si>
  <si>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</si>
  <si>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</si>
  <si>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</si>
  <si>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</si>
  <si>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</si>
  <si>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</si>
  <si>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</si>
  <si>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</si>
  <si>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</si>
  <si>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</si>
  <si>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</si>
  <si>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</si>
  <si>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</si>
  <si>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</si>
  <si>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</si>
  <si>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</si>
  <si>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</si>
  <si>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</si>
  <si>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</si>
  <si>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</si>
  <si>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</si>
  <si>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</si>
  <si>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</si>
  <si>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</si>
  <si>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</si>
  <si>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</si>
  <si>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</si>
  <si>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</si>
  <si>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</si>
  <si>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</si>
  <si>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</si>
  <si>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</si>
  <si>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</si>
  <si>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</si>
  <si>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</si>
  <si>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</si>
  <si>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</si>
  <si>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</si>
  <si>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</si>
  <si>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</si>
  <si>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</si>
  <si>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</si>
  <si>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</si>
  <si>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</si>
  <si>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</si>
  <si>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</si>
  <si>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</si>
  <si>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</si>
  <si>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</si>
  <si>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</si>
  <si>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</si>
  <si>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</si>
  <si>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</si>
  <si>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</si>
  <si>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</si>
  <si>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</si>
  <si>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</si>
  <si>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</si>
  <si>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</si>
  <si>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</si>
  <si>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</si>
  <si>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</si>
  <si>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</si>
  <si>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</si>
  <si>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</si>
  <si>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</si>
  <si>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</si>
  <si>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</si>
  <si>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</si>
  <si>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</si>
  <si>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</si>
  <si>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</si>
  <si>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</si>
  <si>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</si>
  <si>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</si>
  <si>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</si>
  <si>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</si>
  <si>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</si>
  <si>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</si>
  <si>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</si>
  <si>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</si>
  <si>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</si>
  <si>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</si>
  <si>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</si>
  <si>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</si>
  <si>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</si>
  <si>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</si>
  <si>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</si>
  <si>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</si>
  <si>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</si>
  <si>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</si>
  <si>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</si>
  <si>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</si>
  <si>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</si>
  <si>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</si>
  <si>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</si>
  <si>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</si>
  <si>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</si>
  <si>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</si>
  <si>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</si>
  <si>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</si>
  <si>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</si>
  <si>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</si>
  <si>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</si>
  <si>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</si>
  <si>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</si>
  <si>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</si>
  <si>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</si>
  <si>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</si>
  <si>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</si>
  <si>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</si>
  <si>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</si>
  <si>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</si>
  <si>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</si>
  <si>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</si>
  <si>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</si>
  <si>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</si>
  <si>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</si>
  <si>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</si>
  <si>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</si>
  <si>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</si>
  <si>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</si>
  <si>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</si>
  <si>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</si>
  <si>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</si>
  <si>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</si>
  <si>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</si>
  <si>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</si>
  <si>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</si>
  <si>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</si>
  <si>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</si>
  <si>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</si>
  <si>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</si>
  <si>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</si>
  <si>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</si>
  <si>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</si>
  <si>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</si>
  <si>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</si>
  <si>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</si>
  <si>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</si>
  <si>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</si>
  <si>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</si>
  <si>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</si>
  <si>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</si>
  <si>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</si>
  <si>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</si>
  <si>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</si>
  <si>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</si>
  <si>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</si>
  <si>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</si>
  <si>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</si>
  <si>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</si>
  <si>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</si>
  <si>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</si>
  <si>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</si>
  <si>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</si>
  <si>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</si>
  <si>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</si>
  <si>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</si>
  <si>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</si>
  <si>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</si>
  <si>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</si>
  <si>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</si>
  <si>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</si>
  <si>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</si>
  <si>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</si>
  <si>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</si>
  <si>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</si>
  <si>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</si>
  <si>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</si>
  <si>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</si>
  <si>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</si>
  <si>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</si>
  <si>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</si>
  <si>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</si>
  <si>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</si>
  <si>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</si>
  <si>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</si>
  <si>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</si>
  <si>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</si>
  <si>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</si>
  <si>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</si>
  <si>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</si>
  <si>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</si>
  <si>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</si>
  <si>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</si>
  <si>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</si>
  <si>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</si>
  <si>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</si>
  <si>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</si>
  <si>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</si>
  <si>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</si>
  <si>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</si>
  <si>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</si>
  <si>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</si>
  <si>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</si>
  <si>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</si>
  <si>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</si>
  <si>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</si>
  <si>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</si>
  <si>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</si>
  <si>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</si>
  <si>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</si>
  <si>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</si>
  <si>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</si>
  <si>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</si>
  <si>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</si>
  <si>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</si>
  <si>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</si>
  <si>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</si>
  <si>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</si>
  <si>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</si>
  <si>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</si>
  <si>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</si>
  <si>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</si>
  <si>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</si>
  <si>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</si>
  <si>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</si>
  <si>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</si>
  <si>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</si>
  <si>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</si>
  <si>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</si>
  <si>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</si>
  <si>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</si>
  <si>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</si>
  <si>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</si>
  <si>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</si>
  <si>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</si>
  <si>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</si>
  <si>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</si>
  <si>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</si>
  <si>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</si>
  <si>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</si>
  <si>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</si>
  <si>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</si>
  <si>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</si>
  <si>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</si>
  <si>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</si>
  <si>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</si>
  <si>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</si>
  <si>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</si>
  <si>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</si>
  <si>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</si>
  <si>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</si>
  <si>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</si>
  <si>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</si>
  <si>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</si>
  <si>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</si>
  <si>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</si>
  <si>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</si>
  <si>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</si>
  <si>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</si>
  <si>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</si>
  <si>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</si>
  <si>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</si>
  <si>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</si>
  <si>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</si>
  <si>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</si>
  <si>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</si>
  <si>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</si>
  <si>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</si>
  <si>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</si>
  <si>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</si>
  <si>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</si>
  <si>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</si>
  <si>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</si>
  <si>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</si>
  <si>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</si>
  <si>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</si>
  <si>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</si>
  <si>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</si>
  <si>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</si>
  <si>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</si>
  <si>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</si>
  <si>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</si>
  <si>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</si>
  <si>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</si>
  <si>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</si>
  <si>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</si>
  <si>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</si>
  <si>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</si>
  <si>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</si>
  <si>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</si>
  <si>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</si>
  <si>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</si>
  <si>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</si>
  <si>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</si>
  <si>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</si>
  <si>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</si>
  <si>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</si>
  <si>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</si>
  <si>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</si>
  <si>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</si>
  <si>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</si>
  <si>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</si>
  <si>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</si>
  <si>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</si>
  <si>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</si>
  <si>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</si>
  <si>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</si>
  <si>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</si>
  <si>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</si>
  <si>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</si>
  <si>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</si>
  <si>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</si>
  <si>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</si>
  <si>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</si>
  <si>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</si>
  <si>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</si>
  <si>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</si>
  <si>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</si>
  <si>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</si>
  <si>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</si>
  <si>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</si>
  <si>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</si>
  <si>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</si>
  <si>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</si>
  <si>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</si>
  <si>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</si>
  <si>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</si>
  <si>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</si>
  <si>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</si>
  <si>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</si>
  <si>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</si>
  <si>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</si>
  <si>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</si>
  <si>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</si>
  <si>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</si>
  <si>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</si>
  <si>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</si>
  <si>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</si>
  <si>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</si>
  <si>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</si>
  <si>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</si>
  <si>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</si>
  <si>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</si>
  <si>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</si>
  <si>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</si>
  <si>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</si>
  <si>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</si>
  <si>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</si>
  <si>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</si>
  <si>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</si>
  <si>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</si>
  <si>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</si>
  <si>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</si>
  <si>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</si>
  <si>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</si>
  <si>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</si>
  <si>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</si>
  <si>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</si>
  <si>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</si>
  <si>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</si>
  <si>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</si>
  <si>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</si>
  <si>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</si>
  <si>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</si>
  <si>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</si>
  <si>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</si>
  <si>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</si>
  <si>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</si>
  <si>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</si>
  <si>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</si>
  <si>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</si>
  <si>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</si>
  <si>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</si>
  <si>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</si>
  <si>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</si>
  <si>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</si>
  <si>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</si>
  <si>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</si>
  <si>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</si>
  <si>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</si>
  <si>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</si>
  <si>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</si>
  <si>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</si>
  <si>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</si>
  <si>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</si>
  <si>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</si>
  <si>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</si>
  <si>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</si>
  <si>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</si>
  <si>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</si>
  <si>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</si>
  <si>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</si>
  <si>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</si>
  <si>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</si>
  <si>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</si>
  <si>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</si>
  <si>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</si>
  <si>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</si>
  <si>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</si>
  <si>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</si>
  <si>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</si>
  <si>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</si>
  <si>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</si>
  <si>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</si>
  <si>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</si>
  <si>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</si>
  <si>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</si>
  <si>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</si>
  <si>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</si>
  <si>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</si>
  <si>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</si>
  <si>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</si>
  <si>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</si>
  <si>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</si>
  <si>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</si>
  <si>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</si>
  <si>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</si>
  <si>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</si>
  <si>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</si>
  <si>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</si>
  <si>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</si>
  <si>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</si>
  <si>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</si>
  <si>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</si>
  <si>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</si>
  <si>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</si>
  <si>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</si>
  <si>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</si>
  <si>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</si>
  <si>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</si>
  <si>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</si>
  <si>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</si>
  <si>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</si>
  <si>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</si>
  <si>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</si>
  <si>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</si>
  <si>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</si>
  <si>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</si>
  <si>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</si>
  <si>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</si>
  <si>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</si>
  <si>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</si>
  <si>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</si>
  <si>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</si>
  <si>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</si>
  <si>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</si>
  <si>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</si>
  <si>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</si>
  <si>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</si>
  <si>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</si>
  <si>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</si>
  <si>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</si>
  <si>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</si>
  <si>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</si>
  <si>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</si>
  <si>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</si>
  <si>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</si>
  <si>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</si>
  <si>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</si>
  <si>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</si>
  <si>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</si>
  <si>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</si>
  <si>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</si>
  <si>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</si>
  <si>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</si>
  <si>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</si>
  <si>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</si>
  <si>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</si>
  <si>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</si>
  <si>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</si>
  <si>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</si>
  <si>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</si>
  <si>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</si>
  <si>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</si>
  <si>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</si>
  <si>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</si>
  <si>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</si>
  <si>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</si>
  <si>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</si>
  <si>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</si>
  <si>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</si>
  <si>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</si>
  <si>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</si>
  <si>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</si>
  <si>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</si>
  <si>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</si>
  <si>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</si>
  <si>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</si>
  <si>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</si>
  <si>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</si>
  <si>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</si>
  <si>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</si>
  <si>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</si>
  <si>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</si>
  <si>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</si>
  <si>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</si>
  <si>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</si>
  <si>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</si>
  <si>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</si>
  <si>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</si>
  <si>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</si>
  <si>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</si>
  <si>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</si>
  <si>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</si>
  <si>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</si>
  <si>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</si>
  <si>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</si>
  <si>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</si>
  <si>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</si>
  <si>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</si>
  <si>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</si>
  <si>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</si>
  <si>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</si>
  <si>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</si>
  <si>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</si>
  <si>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</si>
  <si>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</si>
  <si>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</si>
  <si>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</si>
  <si>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</si>
  <si>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</si>
  <si>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</si>
  <si>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</si>
  <si>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</si>
  <si>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</si>
  <si>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</si>
  <si>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</si>
  <si>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</si>
  <si>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</si>
  <si>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</si>
  <si>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</si>
  <si>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</si>
  <si>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</si>
  <si>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</si>
  <si>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</si>
  <si>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</si>
  <si>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</si>
  <si>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</si>
  <si>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</si>
  <si>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</si>
  <si>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</si>
  <si>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</si>
  <si>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</si>
  <si>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</si>
  <si>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</si>
  <si>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</si>
  <si>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</si>
  <si>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</si>
  <si>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</si>
  <si>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</si>
  <si>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</si>
  <si>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</si>
  <si>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</si>
  <si>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</si>
  <si>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</si>
  <si>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</si>
  <si>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</si>
  <si>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</si>
  <si>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</si>
  <si>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</si>
  <si>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</si>
  <si>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</si>
  <si>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</si>
  <si>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</si>
  <si>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</si>
  <si>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</si>
  <si>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</si>
  <si>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</si>
  <si>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</si>
  <si>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</si>
  <si>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</si>
  <si>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</si>
  <si>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</si>
  <si>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</si>
  <si>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</si>
  <si>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</si>
  <si>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</si>
  <si>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</si>
  <si>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</si>
  <si>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</si>
  <si>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</si>
  <si>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</si>
  <si>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</si>
  <si>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</si>
  <si>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</si>
  <si>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</si>
  <si>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</si>
  <si>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</si>
  <si>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</si>
  <si>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</si>
  <si>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</si>
  <si>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</si>
  <si>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</si>
  <si>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</si>
  <si>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</si>
  <si>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</si>
  <si>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</si>
  <si>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</si>
  <si>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</si>
  <si>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</si>
  <si>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</si>
  <si>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</si>
  <si>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</si>
  <si>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</si>
  <si>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</si>
  <si>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</si>
  <si>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</si>
  <si>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</si>
  <si>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</si>
  <si>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</si>
  <si>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</si>
  <si>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</si>
  <si>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</si>
  <si>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</si>
  <si>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</si>
  <si>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</si>
  <si>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</si>
  <si>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</si>
  <si>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</si>
  <si>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</si>
  <si>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</si>
  <si>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</si>
  <si>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</si>
  <si>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</si>
  <si>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</si>
  <si>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</si>
  <si>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</si>
  <si>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</si>
  <si>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</si>
  <si>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</si>
  <si>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</si>
  <si>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</si>
  <si>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</si>
  <si>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</si>
  <si>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</si>
  <si>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</si>
  <si>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</si>
  <si>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</si>
  <si>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</si>
  <si>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</si>
  <si>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</si>
  <si>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</si>
  <si>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</si>
  <si>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</si>
  <si>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</si>
  <si>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</si>
  <si>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</si>
  <si>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</si>
  <si>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</si>
  <si>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</si>
  <si>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</si>
  <si>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</si>
  <si>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</si>
  <si>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</si>
  <si>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</si>
  <si>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</si>
  <si>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</si>
  <si>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</si>
  <si>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</si>
  <si>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</si>
  <si>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</si>
  <si>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</si>
  <si>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</si>
  <si>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</si>
  <si>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</si>
  <si>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</si>
  <si>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</si>
  <si>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</si>
  <si>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</si>
  <si>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</si>
  <si>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</si>
  <si>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</si>
  <si>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</si>
  <si>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</si>
  <si>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</si>
  <si>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</si>
  <si>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</si>
  <si>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</si>
  <si>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</si>
  <si>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</si>
  <si>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</si>
  <si>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</si>
  <si>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</si>
  <si>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</si>
  <si>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</si>
  <si>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</si>
  <si>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</si>
  <si>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</si>
  <si>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</si>
  <si>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</si>
  <si>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</si>
  <si>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</si>
  <si>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</si>
  <si>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</si>
  <si>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</si>
  <si>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</si>
  <si>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</si>
  <si>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</si>
  <si>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</si>
  <si>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</si>
  <si>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</si>
  <si>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</si>
  <si>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</si>
  <si>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</si>
  <si>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</si>
  <si>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</si>
  <si>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</si>
  <si>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</si>
  <si>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</si>
  <si>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</si>
  <si>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</si>
  <si>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</si>
  <si>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</si>
  <si>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</si>
  <si>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</si>
  <si>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</si>
  <si>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</si>
  <si>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</si>
  <si>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</si>
  <si>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</si>
  <si>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</si>
  <si>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</si>
  <si>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</si>
  <si>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</si>
  <si>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</si>
  <si>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</si>
  <si>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</si>
  <si>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</si>
  <si>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</si>
  <si>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</si>
  <si>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</si>
  <si>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</si>
  <si>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</si>
  <si>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</si>
  <si>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</si>
  <si>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</si>
  <si>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</si>
  <si>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</si>
  <si>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</si>
  <si>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</si>
  <si>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</si>
  <si>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</si>
  <si>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</si>
  <si>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</si>
  <si>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</si>
  <si>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</si>
  <si>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</si>
  <si>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</si>
  <si>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</si>
  <si>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</si>
  <si>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</si>
  <si>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</si>
  <si>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</si>
  <si>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</si>
  <si>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</si>
  <si>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</si>
  <si>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</si>
  <si>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</si>
  <si>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</si>
  <si>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</si>
  <si>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</si>
  <si>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</si>
  <si>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</si>
  <si>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</si>
  <si>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</si>
  <si>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</si>
  <si>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</si>
  <si>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</si>
  <si>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</si>
  <si>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</si>
  <si>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</si>
  <si>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</si>
  <si>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</si>
  <si>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</si>
  <si>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</si>
  <si>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</si>
  <si>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</si>
  <si>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</si>
  <si>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</si>
  <si>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</si>
  <si>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</si>
  <si>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</si>
  <si>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</si>
  <si>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</si>
  <si>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</si>
  <si>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</si>
  <si>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</si>
  <si>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</si>
  <si>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</si>
  <si>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</si>
  <si>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</si>
  <si>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</si>
  <si>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</si>
  <si>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</si>
  <si>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</si>
  <si>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</si>
  <si>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</si>
  <si>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</si>
  <si>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</si>
  <si>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</si>
  <si>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</si>
  <si>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</si>
  <si>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</si>
  <si>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</si>
  <si>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</si>
  <si>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</si>
  <si>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</si>
  <si>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</si>
  <si>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</si>
  <si>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</si>
  <si>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</si>
  <si>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</si>
  <si>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</si>
  <si>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</si>
  <si>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</si>
  <si>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</si>
  <si>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</si>
  <si>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</si>
  <si>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</si>
  <si>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</si>
  <si>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</si>
  <si>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</si>
  <si>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</si>
  <si>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</si>
  <si>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</si>
  <si>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</si>
  <si>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</si>
  <si>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</si>
  <si>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</si>
  <si>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</si>
  <si>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</si>
  <si>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</si>
  <si>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</si>
  <si>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</si>
  <si>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</si>
  <si>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</si>
  <si>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</si>
  <si>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</si>
  <si>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</si>
  <si>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</si>
  <si>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</si>
  <si>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</si>
  <si>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</si>
  <si>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</si>
  <si>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</si>
  <si>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</si>
  <si>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</si>
  <si>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</si>
  <si>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</si>
  <si>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</si>
  <si>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</si>
  <si>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</si>
  <si>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</si>
  <si>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</si>
  <si>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</si>
  <si>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</si>
  <si>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</si>
  <si>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</si>
  <si>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</si>
  <si>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</si>
  <si>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</si>
  <si>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</si>
  <si>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</si>
  <si>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</si>
  <si>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</si>
  <si>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</si>
  <si>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</si>
  <si>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</si>
  <si>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</si>
  <si>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</si>
  <si>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</si>
  <si>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</si>
  <si>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</si>
  <si>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</si>
  <si>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</si>
  <si>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</si>
  <si>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</si>
  <si>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</si>
  <si>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</si>
  <si>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</si>
  <si>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</si>
  <si>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</si>
  <si>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</si>
  <si>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</si>
  <si>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</si>
  <si>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</si>
  <si>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</si>
  <si>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</si>
  <si>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</si>
  <si>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</si>
  <si>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</si>
  <si>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</si>
  <si>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</si>
  <si>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</si>
  <si>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</si>
  <si>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</si>
  <si>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</si>
  <si>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</si>
  <si>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</si>
  <si>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</si>
  <si>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</si>
  <si>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</si>
  <si>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</si>
  <si>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</si>
  <si>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</si>
  <si>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</si>
  <si>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</si>
  <si>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</si>
  <si>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</si>
  <si>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</si>
  <si>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</si>
  <si>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</si>
  <si>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</si>
  <si>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</si>
  <si>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</si>
  <si>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</si>
  <si>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</si>
  <si>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</si>
  <si>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</si>
  <si>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</si>
  <si>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</si>
  <si>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</si>
  <si>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</si>
  <si>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</si>
  <si>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</si>
  <si>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</si>
  <si>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</si>
  <si>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</si>
  <si>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</si>
  <si>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</si>
  <si>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</si>
  <si>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</si>
  <si>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</si>
  <si>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</si>
  <si>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</si>
  <si>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</si>
  <si>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</si>
  <si>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</si>
  <si>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</si>
  <si>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</si>
  <si>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</si>
  <si>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</si>
  <si>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</si>
  <si>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</si>
  <si>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</si>
  <si>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</si>
  <si>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</si>
  <si>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</si>
  <si>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</si>
  <si>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</si>
  <si>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</si>
  <si>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</si>
  <si>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</si>
  <si>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</si>
  <si>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</si>
  <si>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</si>
  <si>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</si>
  <si>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</si>
  <si>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</si>
  <si>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</si>
  <si>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</si>
  <si>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</si>
  <si>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</si>
  <si>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</si>
  <si>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</si>
  <si>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</si>
  <si>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</si>
  <si>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</si>
  <si>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</si>
  <si>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</si>
  <si>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</si>
  <si>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</si>
  <si>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</si>
  <si>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</si>
  <si>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</si>
  <si>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</si>
  <si>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</si>
  <si>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</si>
  <si>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</si>
  <si>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</si>
  <si>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</si>
  <si>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</si>
  <si>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</si>
  <si>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</si>
  <si>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</si>
  <si>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Pehlman and Dold, P.C.</t>
  </si>
  <si>
    <t>100 North Amos Avenue</t>
  </si>
  <si>
    <t>Springfield</t>
  </si>
  <si>
    <t>IL</t>
  </si>
  <si>
    <t>(217) 787-0563</t>
  </si>
  <si>
    <t>(217) 787-9266</t>
  </si>
  <si>
    <t>x</t>
  </si>
  <si>
    <t>Sangamon</t>
  </si>
  <si>
    <t>Dorinda L Fitzgerald</t>
  </si>
  <si>
    <t>066-005315</t>
  </si>
  <si>
    <t>Pleasant Plains CUSD #8</t>
  </si>
  <si>
    <t>315 West Church Street</t>
  </si>
  <si>
    <t>Matt Runge, Superintendent</t>
  </si>
  <si>
    <t>mrunge@ppcusd8.org</t>
  </si>
  <si>
    <t>(217) 626-1041</t>
  </si>
  <si>
    <t>(217) 626-1082</t>
  </si>
  <si>
    <t>Part C, 23 - Other than cash basis, the Auditor's Report is qualified due to the District not maintaining a formal record system to track fixed assets accounted for in the General Fixed Asset Account Group.</t>
  </si>
  <si>
    <t>Series 2012</t>
  </si>
  <si>
    <t>2011 Debt Certificates</t>
  </si>
  <si>
    <t>Series 2019A</t>
  </si>
  <si>
    <t>Series 2019B</t>
  </si>
  <si>
    <t>Series 2019C</t>
  </si>
  <si>
    <t>Sangamon Area Special Education District</t>
  </si>
  <si>
    <t>Capital Area Career Center</t>
  </si>
  <si>
    <t>dfitzgerald@p-dcpas.com</t>
  </si>
  <si>
    <t>Under the regulatory basis of accounting prescribed by the IL State Board of Education, financial records of a school district should comply with established guidelines detailing allowable funds and types of activities allowed to be recorded in such funds.</t>
  </si>
  <si>
    <t>Without proper internal controls over financial reporting, there is a potential for financial statements with material misstatements being issued or relied upon for compliance requirements.</t>
  </si>
  <si>
    <t>Established internal controls over financial reporting are either not adequate to detect material financial misstatments or are not being performed in a timely manner by those responsible for financial statement review.</t>
  </si>
  <si>
    <t xml:space="preserve">Review internal controls over financial reporting to make sure they provide adequate guidance over the financial review process.  If deemed necessary, review financial reporting guidelines established by the IL State Board of Education to ensure those responsible for financial reporting and review are familiar with such guidelines. </t>
  </si>
  <si>
    <t>Management is in agreement with the finding and all proposed material adjustments made during audit procedures.</t>
  </si>
  <si>
    <t>Education Fund - Acct 1690 - Vending/Catering Receipts</t>
  </si>
  <si>
    <t>Education Fund - Acct 190 - Due from Employees - Computer Purchase</t>
  </si>
  <si>
    <t>Education Fund - Acct 1892 - Student Parking Fees</t>
  </si>
  <si>
    <t>Education Fund - Acct 1999 - Miscellaneous refunds/rebates</t>
  </si>
  <si>
    <t>Transportation Fund - Acct 1999 - Fan Bus</t>
  </si>
  <si>
    <t>Education Fund - Acct 3999 - DHS Reibursement - Child Care Services</t>
  </si>
  <si>
    <t>Education Fund - Acct 4399 - Title I-School Improvement and Accountability Grant - ISBE Source of Funds 4331-19</t>
  </si>
  <si>
    <t>Education Fund - Acct 4499 - Title IVA-Student Support &amp; Acad Enrich - ISBE Source of Funds 4400-00</t>
  </si>
  <si>
    <t>Americall Communications</t>
  </si>
  <si>
    <t>Building/Maintence - Oper &amp; Maint Plant Svd-Pruch Svc</t>
  </si>
  <si>
    <t>ED - Food Service - Supplies and Materials</t>
  </si>
  <si>
    <t>Gordon Food Service</t>
  </si>
  <si>
    <t>Prairie Farms Dairy, Inc</t>
  </si>
  <si>
    <t>Springfield Pepsi Bottling</t>
  </si>
  <si>
    <t>Tort - Workers Compensation - Purchase Service</t>
  </si>
  <si>
    <t>Tort - Luability Payments - Purchase Service</t>
  </si>
  <si>
    <t>Illinois Public Risk</t>
  </si>
  <si>
    <t>Liberty Mutual Insurance</t>
  </si>
  <si>
    <t>Debt Service Fund - Function 5400/Object 600 - Bank fees on Bond payments</t>
  </si>
  <si>
    <t>Financial statements for the period under audit contained material misstatements due to unallowable activity being posted to some funds that were not initially indentified by the District's internal controls over financial reporting.</t>
  </si>
  <si>
    <t>Internal controls over financial reporting either do not adequately detail procedures to detect material financial statement misstatements in a timely manner or are not routinely being adhered to.  This resulted in materially misstated financial statements being made available during the audit.</t>
  </si>
  <si>
    <t>PDF in Opinion Page with Signature</t>
  </si>
  <si>
    <t xml:space="preserve">  Pleasant Plains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</si>
</sst>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1247775</xdr:colOff>
          <xdr:row>3</xdr:row>
          <xdr:rowOff>9525</xdr:rowOff>
        </xdr:from>
        <xdr:to>
          <xdr:col>1</xdr:col>
          <xdr:colOff>2162175</xdr:colOff>
          <xdr:row>7</xdr:row>
          <xdr:rowOff>133350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2057</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2057</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51084008026</v>
      </c>
      <c r="B13" s="2087"/>
      <c r="C13" s="2087"/>
      <c r="D13" s="2087"/>
      <c r="E13" s="2087"/>
      <c r="F13" s="2087"/>
      <c r="G13" s="2087"/>
      <c r="H13" s="2088"/>
      <c r="I13" s="31"/>
      <c r="J13" s="30"/>
      <c r="K13" s="28"/>
      <c r="L13" s="30"/>
      <c r="M13" s="30"/>
      <c r="N13" s="30"/>
      <c r="O13" s="30"/>
      <c r="P13" s="30"/>
      <c r="Q13" s="30"/>
      <c r="R13" s="30"/>
      <c r="S13" s="30"/>
      <c r="T13" s="2091" t="s">
        <v>2051</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2058</v>
      </c>
      <c r="B15" s="2089"/>
      <c r="C15" s="2089"/>
      <c r="D15" s="2089"/>
      <c r="E15" s="2089"/>
      <c r="F15" s="2089"/>
      <c r="G15" s="2089"/>
      <c r="H15" s="2090"/>
      <c r="T15" s="2052" t="s">
        <v>2059</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2103</v>
      </c>
      <c r="B17" s="2114"/>
      <c r="C17" s="2114"/>
      <c r="D17" s="2114"/>
      <c r="E17" s="2114"/>
      <c r="F17" s="2114"/>
      <c r="G17" s="2114"/>
      <c r="H17" s="2115"/>
      <c r="T17" s="2101" t="s">
        <v>2052</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2062</v>
      </c>
      <c r="B19" s="2085"/>
      <c r="C19" s="2085"/>
      <c r="D19" s="2085"/>
      <c r="E19" s="2085"/>
      <c r="F19" s="2085"/>
      <c r="G19" s="2085"/>
      <c r="H19" s="2083"/>
      <c r="I19" s="30"/>
      <c r="J19" s="96"/>
      <c r="K19" s="40"/>
      <c r="L19" s="38"/>
      <c r="M19" s="109" t="s">
        <v>312</v>
      </c>
      <c r="P19" s="27"/>
      <c r="Q19" s="27"/>
      <c r="R19" s="27"/>
      <c r="S19" s="31"/>
      <c r="T19" s="2084" t="s">
        <v>2053</v>
      </c>
      <c r="U19" s="2082"/>
      <c r="V19" s="2082"/>
      <c r="W19" s="2083"/>
      <c r="X19" s="2099" t="s">
        <v>2054</v>
      </c>
      <c r="Y19" s="2100"/>
      <c r="Z19" s="2097">
        <v>62702</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2061</v>
      </c>
      <c r="B21" s="2082"/>
      <c r="C21" s="2082"/>
      <c r="D21" s="2082"/>
      <c r="E21" s="2082"/>
      <c r="F21" s="2082"/>
      <c r="G21" s="2082"/>
      <c r="H21" s="2083"/>
      <c r="I21" s="2107" t="s">
        <v>673</v>
      </c>
      <c r="J21" s="2070"/>
      <c r="K21" s="2070"/>
      <c r="L21" s="2070"/>
      <c r="M21" s="2070"/>
      <c r="N21" s="2070"/>
      <c r="O21" s="2070"/>
      <c r="P21" s="2070"/>
      <c r="Q21" s="2070"/>
      <c r="R21" s="2070"/>
      <c r="S21" s="2071"/>
      <c r="T21" s="2049" t="s">
        <v>2055</v>
      </c>
      <c r="U21" s="2050"/>
      <c r="V21" s="2050"/>
      <c r="W21" s="2050"/>
      <c r="X21" s="2063" t="s">
        <v>2056</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2060</v>
      </c>
      <c r="U23" s="2045"/>
      <c r="V23" s="2045"/>
      <c r="W23" s="2045"/>
      <c r="X23" s="2060">
        <v>44197</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62677</v>
      </c>
      <c r="B25" s="2082"/>
      <c r="C25" s="2082"/>
      <c r="D25" s="2082"/>
      <c r="E25" s="2082"/>
      <c r="F25" s="2082"/>
      <c r="G25" s="2082"/>
      <c r="H25" s="2083"/>
      <c r="I25" s="110"/>
      <c r="J25" s="2148"/>
      <c r="K25" s="2148"/>
      <c r="L25" s="2148"/>
      <c r="M25" s="2148"/>
      <c r="N25" s="2148"/>
      <c r="O25" s="2148"/>
      <c r="P25" s="2148"/>
      <c r="Q25" s="2148"/>
      <c r="R25" s="2148"/>
      <c r="S25" s="2149"/>
      <c r="T25" s="2041" t="s">
        <v>2075</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2057</v>
      </c>
      <c r="C29" s="121" t="s">
        <v>815</v>
      </c>
      <c r="D29" s="111"/>
      <c r="E29" s="133"/>
      <c r="F29" s="137" t="s">
        <v>1305</v>
      </c>
      <c r="G29" s="111"/>
      <c r="I29" s="51"/>
      <c r="J29" s="99"/>
      <c r="K29" s="28" t="s">
        <v>572</v>
      </c>
      <c r="L29" s="144" t="s">
        <v>2057</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2063</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2064</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2065</v>
      </c>
      <c r="B42" s="2131"/>
      <c r="C42" s="2132"/>
      <c r="D42" s="2145" t="s">
        <v>2066</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T26" sqref="T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8439337</v>
      </c>
      <c r="C4" s="1722">
        <v>3641655</v>
      </c>
      <c r="D4" s="1723">
        <f>B4-C4</f>
        <v>4797682</v>
      </c>
      <c r="E4" s="1722">
        <v>8006630</v>
      </c>
      <c r="F4" s="1723">
        <f>E4-C4</f>
        <v>4364975</v>
      </c>
    </row>
    <row r="5" spans="1:8" ht="13.7" customHeight="1" x14ac:dyDescent="0.2">
      <c r="A5" s="579" t="s">
        <v>865</v>
      </c>
      <c r="B5" s="1724">
        <f>'Revenues 9-14'!D5</f>
        <v>1481646</v>
      </c>
      <c r="C5" s="1664">
        <v>574579</v>
      </c>
      <c r="D5" s="1725">
        <f t="shared" ref="D5:D18" si="0">B5-C5</f>
        <v>907067</v>
      </c>
      <c r="E5" s="1664">
        <v>1263282</v>
      </c>
      <c r="F5" s="1725">
        <f>E5-C5</f>
        <v>688703</v>
      </c>
    </row>
    <row r="6" spans="1:8" ht="13.7" customHeight="1" x14ac:dyDescent="0.2">
      <c r="A6" s="579" t="s">
        <v>408</v>
      </c>
      <c r="B6" s="1724">
        <f>'Revenues 9-14'!E5</f>
        <v>915117</v>
      </c>
      <c r="C6" s="1664">
        <v>386584</v>
      </c>
      <c r="D6" s="1725">
        <f t="shared" si="0"/>
        <v>528533</v>
      </c>
      <c r="E6" s="1664">
        <v>849954</v>
      </c>
      <c r="F6" s="1725">
        <f t="shared" ref="F6:F18" si="1">E6-C6</f>
        <v>463370</v>
      </c>
    </row>
    <row r="7" spans="1:8" ht="13.7" customHeight="1" x14ac:dyDescent="0.2">
      <c r="A7" s="579" t="s">
        <v>154</v>
      </c>
      <c r="B7" s="1724">
        <f>'Revenues 9-14'!F5</f>
        <v>527161</v>
      </c>
      <c r="C7" s="1664">
        <v>205304</v>
      </c>
      <c r="D7" s="1725">
        <f t="shared" si="0"/>
        <v>321857</v>
      </c>
      <c r="E7" s="1664">
        <v>451386</v>
      </c>
      <c r="F7" s="1725">
        <f t="shared" si="1"/>
        <v>246082</v>
      </c>
    </row>
    <row r="8" spans="1:8" ht="13.7" customHeight="1" x14ac:dyDescent="0.2">
      <c r="A8" s="579" t="s">
        <v>1169</v>
      </c>
      <c r="B8" s="1724">
        <f>'Revenues 9-14'!G5</f>
        <v>52805</v>
      </c>
      <c r="C8" s="1664">
        <v>20562</v>
      </c>
      <c r="D8" s="1725">
        <f t="shared" si="0"/>
        <v>32243</v>
      </c>
      <c r="E8" s="1664">
        <v>45208</v>
      </c>
      <c r="F8" s="1725">
        <f t="shared" si="1"/>
        <v>24646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59815</v>
      </c>
      <c r="C10" s="1664">
        <v>24653</v>
      </c>
      <c r="D10" s="1725">
        <f t="shared" si="0"/>
        <v>35162</v>
      </c>
      <c r="E10" s="1664">
        <v>54203</v>
      </c>
      <c r="F10" s="1725">
        <f t="shared" si="1"/>
        <v>29550</v>
      </c>
    </row>
    <row r="11" spans="1:8" x14ac:dyDescent="0.2">
      <c r="A11" s="579" t="s">
        <v>406</v>
      </c>
      <c r="B11" s="1724">
        <f>'Revenues 9-14'!J5</f>
        <v>886154</v>
      </c>
      <c r="C11" s="1664">
        <v>365288</v>
      </c>
      <c r="D11" s="1725">
        <f t="shared" si="0"/>
        <v>520866</v>
      </c>
      <c r="E11" s="1664">
        <v>803131</v>
      </c>
      <c r="F11" s="1725">
        <f t="shared" si="1"/>
        <v>437843</v>
      </c>
    </row>
    <row r="12" spans="1:8" ht="13.7" customHeight="1" x14ac:dyDescent="0.2">
      <c r="A12" s="579" t="s">
        <v>156</v>
      </c>
      <c r="B12" s="1724">
        <f>'Revenues 9-14'!K5</f>
        <v>152330</v>
      </c>
      <c r="C12" s="1664">
        <v>61581</v>
      </c>
      <c r="D12" s="1725">
        <f t="shared" si="0"/>
        <v>90749</v>
      </c>
      <c r="E12" s="1664">
        <v>135393</v>
      </c>
      <c r="F12" s="1725">
        <f t="shared" si="1"/>
        <v>73812</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105466</v>
      </c>
      <c r="C14" s="1664">
        <v>41124</v>
      </c>
      <c r="D14" s="1725">
        <f t="shared" si="0"/>
        <v>64342</v>
      </c>
      <c r="E14" s="1664">
        <v>90416</v>
      </c>
      <c r="F14" s="1725">
        <f t="shared" si="1"/>
        <v>49292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279646</v>
      </c>
      <c r="C16" s="1664">
        <v>112880</v>
      </c>
      <c r="D16" s="1725">
        <f t="shared" si="0"/>
        <v>166766</v>
      </c>
      <c r="E16" s="1664">
        <v>248182</v>
      </c>
      <c r="F16" s="1725">
        <f t="shared" si="1"/>
        <v>135302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12899477</v>
      </c>
      <c r="C19" s="1726">
        <f>SUM(C4:C18)</f>
        <v>5434210</v>
      </c>
      <c r="D19" s="1726">
        <f>SUM(D4:D18)</f>
        <v>7465267</v>
      </c>
      <c r="E19" s="1726">
        <f>SUM(E4:E18)</f>
        <v>11947785</v>
      </c>
      <c r="F19" s="1726">
        <f>SUM(F4:F18)</f>
        <v>6513575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T26" sqref="T2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40983</v>
      </c>
      <c r="C31" s="1734">
        <v>3465000</v>
      </c>
      <c r="D31" s="1735">
        <v>3</v>
      </c>
      <c r="E31" s="1734">
        <v>1155000</v>
      </c>
      <c r="F31" s="1734"/>
      <c r="G31" s="1734"/>
      <c r="H31" s="1734">
        <v>225000</v>
      </c>
      <c r="I31" s="1736">
        <f>((E31+F31)-H31)+G31</f>
        <v>930000</v>
      </c>
      <c r="J31" s="1734"/>
      <c r="K31" s="596"/>
    </row>
    <row r="32" spans="1:11" ht="12" customHeight="1" x14ac:dyDescent="0.2">
      <c r="A32" s="594" t="s">
        <v>2069</v>
      </c>
      <c r="B32" s="595">
        <v>40598</v>
      </c>
      <c r="C32" s="1734">
        <v>2000000</v>
      </c>
      <c r="D32" s="1735">
        <v>6</v>
      </c>
      <c r="E32" s="1734">
        <v>640000</v>
      </c>
      <c r="F32" s="1734"/>
      <c r="G32" s="1734"/>
      <c r="H32" s="1734">
        <v>205000</v>
      </c>
      <c r="I32" s="1736">
        <f>((E32+F32)-H32)+G32</f>
        <v>435000</v>
      </c>
      <c r="J32" s="1734">
        <v>435000</v>
      </c>
      <c r="K32" s="596"/>
    </row>
    <row r="33" spans="1:11" ht="12" customHeight="1" x14ac:dyDescent="0.2">
      <c r="A33" s="594" t="s">
        <v>2070</v>
      </c>
      <c r="B33" s="595">
        <v>43522</v>
      </c>
      <c r="C33" s="1734">
        <v>3000000</v>
      </c>
      <c r="D33" s="1735">
        <v>1</v>
      </c>
      <c r="E33" s="1734">
        <v>3000000</v>
      </c>
      <c r="F33" s="1734"/>
      <c r="G33" s="1734"/>
      <c r="H33" s="1734">
        <v>370000</v>
      </c>
      <c r="I33" s="1736">
        <f t="shared" ref="I33:I48" si="1">((E33+F33)-H33)+G33</f>
        <v>2630000</v>
      </c>
      <c r="J33" s="1734">
        <v>2630000</v>
      </c>
      <c r="K33" s="596"/>
    </row>
    <row r="34" spans="1:11" ht="12" customHeight="1" x14ac:dyDescent="0.2">
      <c r="A34" s="594" t="s">
        <v>2071</v>
      </c>
      <c r="B34" s="595">
        <v>43522</v>
      </c>
      <c r="C34" s="1734">
        <v>1170000</v>
      </c>
      <c r="D34" s="1735">
        <v>3</v>
      </c>
      <c r="E34" s="1734">
        <v>1170000</v>
      </c>
      <c r="F34" s="1734"/>
      <c r="G34" s="1734"/>
      <c r="H34" s="1734"/>
      <c r="I34" s="1736">
        <f t="shared" si="1"/>
        <v>1170000</v>
      </c>
      <c r="J34" s="1734">
        <v>1170000</v>
      </c>
      <c r="K34" s="597"/>
    </row>
    <row r="35" spans="1:11" ht="12" customHeight="1" x14ac:dyDescent="0.2">
      <c r="A35" s="594" t="s">
        <v>2072</v>
      </c>
      <c r="B35" s="595">
        <v>43766</v>
      </c>
      <c r="C35" s="1737">
        <v>10800000</v>
      </c>
      <c r="D35" s="1735">
        <v>6</v>
      </c>
      <c r="E35" s="1737"/>
      <c r="F35" s="1737">
        <v>10800000</v>
      </c>
      <c r="G35" s="1737"/>
      <c r="H35" s="1737"/>
      <c r="I35" s="1736">
        <f t="shared" si="1"/>
        <v>10800000</v>
      </c>
      <c r="J35" s="1737">
        <v>10800000</v>
      </c>
      <c r="K35" s="597"/>
    </row>
    <row r="36" spans="1:11" ht="12" customHeight="1" x14ac:dyDescent="0.2">
      <c r="A36" s="594"/>
      <c r="B36" s="595"/>
      <c r="C36" s="1734"/>
      <c r="D36" s="1735"/>
      <c r="E36" s="1734"/>
      <c r="F36" s="1734"/>
      <c r="G36" s="1734"/>
      <c r="H36" s="1734"/>
      <c r="I36" s="1736">
        <f t="shared" si="1"/>
        <v>0</v>
      </c>
      <c r="J36" s="1734">
        <v>491710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20435000</v>
      </c>
      <c r="D49" s="1742"/>
      <c r="E49" s="1736">
        <f t="shared" ref="E49:J49" si="2">SUM(E31:E48)</f>
        <v>5965000</v>
      </c>
      <c r="F49" s="1736">
        <f t="shared" si="2"/>
        <v>10800000</v>
      </c>
      <c r="G49" s="1736">
        <f t="shared" si="2"/>
        <v>0</v>
      </c>
      <c r="H49" s="1736">
        <f t="shared" si="2"/>
        <v>800000</v>
      </c>
      <c r="I49" s="1736">
        <f t="shared" si="2"/>
        <v>15965000</v>
      </c>
      <c r="J49" s="1736">
        <f t="shared" si="2"/>
        <v>15526710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T26" sqref="T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v>-624</v>
      </c>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105446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105446</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105446</v>
      </c>
      <c r="I24" s="1767">
        <f>SUM(I3,I12)-I23</f>
        <v>0</v>
      </c>
      <c r="J24" s="1767">
        <f>SUM(J3,J12)-J23</f>
        <v>0</v>
      </c>
      <c r="K24" s="1767">
        <f>SUM(K3,K12)-K23</f>
        <v>-624</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105446</v>
      </c>
      <c r="I26" s="1755">
        <f>I24-I25</f>
        <v>0</v>
      </c>
      <c r="J26" s="1755">
        <f>J24-J25</f>
        <v>0</v>
      </c>
      <c r="K26" s="1755">
        <f>K24-K25</f>
        <v>-624</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26" sqref="T2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767974</v>
      </c>
      <c r="D5" s="1770"/>
      <c r="E5" s="1770"/>
      <c r="F5" s="1765">
        <f>(C5+D5)-E5</f>
        <v>767974</v>
      </c>
      <c r="G5" s="676"/>
      <c r="H5" s="680"/>
      <c r="I5" s="680"/>
      <c r="J5" s="680"/>
      <c r="K5" s="637"/>
      <c r="L5" s="1442">
        <f>F5-K5</f>
        <v>767974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38114120</v>
      </c>
      <c r="D8" s="1771">
        <v>528190</v>
      </c>
      <c r="E8" s="1771"/>
      <c r="F8" s="1765">
        <f>(C8+D8)-E8</f>
        <v>38642310</v>
      </c>
      <c r="G8" s="681">
        <v>50</v>
      </c>
      <c r="H8" s="619">
        <v>11838604</v>
      </c>
      <c r="I8" s="619">
        <v>770149</v>
      </c>
      <c r="J8" s="619"/>
      <c r="K8" s="1442">
        <f>(H8+I8)-J8</f>
        <v>12608753</v>
      </c>
      <c r="L8" s="1442">
        <f>F8-K8</f>
        <v>26033557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835659</v>
      </c>
      <c r="D10" s="1772"/>
      <c r="E10" s="1772"/>
      <c r="F10" s="1773">
        <f>(C10+D10)-E10</f>
        <v>835659</v>
      </c>
      <c r="G10" s="681">
        <v>20</v>
      </c>
      <c r="H10" s="683">
        <v>565892</v>
      </c>
      <c r="I10" s="683">
        <v>37594</v>
      </c>
      <c r="J10" s="683"/>
      <c r="K10" s="1442">
        <f>(H10+I10)-J10</f>
        <v>603486</v>
      </c>
      <c r="L10" s="1442">
        <f>F10-K10</f>
        <v>232173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1365353</v>
      </c>
      <c r="D12" s="1771">
        <v>90888</v>
      </c>
      <c r="E12" s="1771">
        <v>89513</v>
      </c>
      <c r="F12" s="1765">
        <f>(C12+D12)-E12</f>
        <v>1366728</v>
      </c>
      <c r="G12" s="681">
        <v>10</v>
      </c>
      <c r="H12" s="619">
        <v>845043</v>
      </c>
      <c r="I12" s="619">
        <v>103616</v>
      </c>
      <c r="J12" s="619">
        <v>89513</v>
      </c>
      <c r="K12" s="1442">
        <f>(H12+I12)-J12</f>
        <v>859146</v>
      </c>
      <c r="L12" s="1442">
        <f>F12-K12</f>
        <v>507582</v>
      </c>
    </row>
    <row r="13" spans="1:14" ht="14.25" thickTop="1" thickBot="1" x14ac:dyDescent="0.25">
      <c r="A13" s="684" t="s">
        <v>1112</v>
      </c>
      <c r="B13" s="679">
        <v>252</v>
      </c>
      <c r="C13" s="1771">
        <v>1760903</v>
      </c>
      <c r="D13" s="1771">
        <v>402530</v>
      </c>
      <c r="E13" s="1771">
        <v>473933</v>
      </c>
      <c r="F13" s="1765">
        <f>(C13+D13)-E13</f>
        <v>1689500</v>
      </c>
      <c r="G13" s="681">
        <v>5</v>
      </c>
      <c r="H13" s="619">
        <v>1208670</v>
      </c>
      <c r="I13" s="619">
        <v>250888</v>
      </c>
      <c r="J13" s="619">
        <v>437133</v>
      </c>
      <c r="K13" s="1442">
        <f>(H13+I13)-J13</f>
        <v>1022425</v>
      </c>
      <c r="L13" s="1442">
        <f>F13-K13</f>
        <v>667075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27664</v>
      </c>
      <c r="D15" s="1771">
        <v>2361319</v>
      </c>
      <c r="E15" s="1771">
        <v>27664</v>
      </c>
      <c r="F15" s="1765">
        <f>(C15+D15)-E15</f>
        <v>2361319</v>
      </c>
      <c r="G15" s="685" t="s">
        <v>857</v>
      </c>
      <c r="H15" s="632"/>
      <c r="I15" s="632"/>
      <c r="J15" s="632"/>
      <c r="K15" s="632"/>
      <c r="L15" s="1442">
        <f>F15-K15</f>
        <v>2361319</v>
      </c>
    </row>
    <row r="16" spans="1:14" ht="15" customHeight="1" thickTop="1" thickBot="1" x14ac:dyDescent="0.25">
      <c r="A16" s="1438" t="s">
        <v>638</v>
      </c>
      <c r="B16" s="1439">
        <v>200</v>
      </c>
      <c r="C16" s="1765">
        <f>SUM(C3,C5:C6,C8:C10,C12:C15)</f>
        <v>42871673</v>
      </c>
      <c r="D16" s="1765">
        <f>SUM(D3,D5:D6,D8:D10,D12:D15)</f>
        <v>3382927</v>
      </c>
      <c r="E16" s="1765">
        <f>SUM(E3,E5:E6,E8:E10,E12:E15)</f>
        <v>591110</v>
      </c>
      <c r="F16" s="1765">
        <f>SUM(F3,F5:F6,F8:F10,F12:F15)</f>
        <v>45663490</v>
      </c>
      <c r="G16" s="681"/>
      <c r="H16" s="1435">
        <f>SUM(H3,H6,H8:H10,H12:H14,)</f>
        <v>14458209</v>
      </c>
      <c r="I16" s="1435">
        <f>SUM(I3,I6,I8:I10,I12:I14,)</f>
        <v>1162247</v>
      </c>
      <c r="J16" s="1435">
        <f>SUM(J3,J6,J8:J10,J12:J14,)</f>
        <v>526646</v>
      </c>
      <c r="K16" s="1435">
        <f>(H16+I16)-J16</f>
        <v>15093810</v>
      </c>
      <c r="L16" s="1435">
        <f>F16-K16</f>
        <v>30569680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1162247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T26" sqref="T2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10972437</v>
      </c>
      <c r="G8" s="701"/>
    </row>
    <row r="9" spans="1:9" x14ac:dyDescent="0.2">
      <c r="A9" s="705" t="s">
        <v>457</v>
      </c>
      <c r="B9" s="706" t="s">
        <v>1848</v>
      </c>
      <c r="C9" s="707"/>
      <c r="D9" s="705" t="s">
        <v>498</v>
      </c>
      <c r="E9" s="704"/>
      <c r="F9" s="1775">
        <f>'Expenditures 15-22'!K151</f>
        <v>3363989</v>
      </c>
      <c r="G9" s="708"/>
    </row>
    <row r="10" spans="1:9" x14ac:dyDescent="0.2">
      <c r="A10" s="705" t="s">
        <v>496</v>
      </c>
      <c r="B10" s="706" t="s">
        <v>1849</v>
      </c>
      <c r="C10" s="707"/>
      <c r="D10" s="705" t="s">
        <v>498</v>
      </c>
      <c r="E10" s="704"/>
      <c r="F10" s="1775">
        <f>'Expenditures 15-22'!K174</f>
        <v>1047388</v>
      </c>
      <c r="G10" s="708"/>
    </row>
    <row r="11" spans="1:9" x14ac:dyDescent="0.2">
      <c r="A11" s="705" t="s">
        <v>458</v>
      </c>
      <c r="B11" s="706" t="s">
        <v>1850</v>
      </c>
      <c r="C11" s="707"/>
      <c r="D11" s="705" t="s">
        <v>498</v>
      </c>
      <c r="E11" s="704"/>
      <c r="F11" s="1775">
        <f>'Expenditures 15-22'!K210</f>
        <v>996096</v>
      </c>
      <c r="G11" s="708"/>
    </row>
    <row r="12" spans="1:9" x14ac:dyDescent="0.2">
      <c r="A12" s="705" t="s">
        <v>459</v>
      </c>
      <c r="B12" s="706" t="s">
        <v>1851</v>
      </c>
      <c r="C12" s="707"/>
      <c r="D12" s="705" t="s">
        <v>498</v>
      </c>
      <c r="E12" s="704"/>
      <c r="F12" s="1775">
        <f>'Expenditures 15-22'!K295</f>
        <v>442453</v>
      </c>
      <c r="G12" s="708"/>
    </row>
    <row r="13" spans="1:9" x14ac:dyDescent="0.2">
      <c r="A13" s="705" t="s">
        <v>106</v>
      </c>
      <c r="B13" s="706" t="s">
        <v>1852</v>
      </c>
      <c r="C13" s="707"/>
      <c r="D13" s="705" t="s">
        <v>498</v>
      </c>
      <c r="E13" s="704"/>
      <c r="F13" s="1775">
        <f>'Expenditures 15-22'!K342</f>
        <v>618751</v>
      </c>
      <c r="G13" s="709"/>
    </row>
    <row r="14" spans="1:9" ht="12" customHeight="1" thickBot="1" x14ac:dyDescent="0.25">
      <c r="A14" s="1443"/>
      <c r="B14" s="1444"/>
      <c r="C14" s="1445"/>
      <c r="D14" s="1446" t="s">
        <v>498</v>
      </c>
      <c r="E14" s="1447" t="s">
        <v>952</v>
      </c>
      <c r="F14" s="1776">
        <f>SUM(F8:F13)</f>
        <v>17441114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91065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237331</v>
      </c>
      <c r="G52" s="701"/>
    </row>
    <row r="53" spans="1:7" x14ac:dyDescent="0.2">
      <c r="A53" s="705" t="s">
        <v>456</v>
      </c>
      <c r="B53" s="705" t="s">
        <v>1458</v>
      </c>
      <c r="C53" s="724">
        <f>'Expenditures 15-22'!B102</f>
        <v>4000</v>
      </c>
      <c r="D53" s="723" t="str">
        <f>'Expenditures 15-22'!A102</f>
        <v>Total Payments to Other Govt Units</v>
      </c>
      <c r="E53" s="704"/>
      <c r="F53" s="1782">
        <f>'Expenditures 15-22'!K102</f>
        <v>502603</v>
      </c>
      <c r="G53" s="701"/>
    </row>
    <row r="54" spans="1:7" x14ac:dyDescent="0.2">
      <c r="A54" s="705" t="s">
        <v>456</v>
      </c>
      <c r="B54" s="705" t="s">
        <v>1459</v>
      </c>
      <c r="C54" s="724" t="s">
        <v>975</v>
      </c>
      <c r="D54" s="720" t="s">
        <v>1086</v>
      </c>
      <c r="E54" s="704"/>
      <c r="F54" s="1782">
        <f>'Expenditures 15-22'!G114</f>
        <v>30278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10581</v>
      </c>
      <c r="G57" s="701"/>
    </row>
    <row r="58" spans="1:7" x14ac:dyDescent="0.2">
      <c r="A58" s="705" t="s">
        <v>457</v>
      </c>
      <c r="B58" s="705" t="s">
        <v>1854</v>
      </c>
      <c r="C58" s="721" t="s">
        <v>975</v>
      </c>
      <c r="D58" s="720" t="s">
        <v>1086</v>
      </c>
      <c r="E58" s="704"/>
      <c r="F58" s="1784">
        <f>'Expenditures 15-22'!G151</f>
        <v>2249719</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800000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402530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6255</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18117</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4348479</v>
      </c>
      <c r="G77" s="701"/>
    </row>
    <row r="78" spans="1:9" s="728" customFormat="1" ht="12" customHeight="1" thickTop="1" thickBot="1" x14ac:dyDescent="0.25">
      <c r="A78" s="1450"/>
      <c r="B78" s="1448"/>
      <c r="C78" s="1445"/>
      <c r="D78" s="1449" t="s">
        <v>2012</v>
      </c>
      <c r="E78" s="1447"/>
      <c r="F78" s="1788">
        <f>(F14-F77)</f>
        <v>13092635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1198.3</v>
      </c>
      <c r="G79" s="733"/>
      <c r="H79" s="705"/>
      <c r="I79" s="705"/>
    </row>
    <row r="80" spans="1:9" s="728" customFormat="1" ht="12" customHeight="1" thickBot="1" x14ac:dyDescent="0.25">
      <c r="A80" s="1452"/>
      <c r="B80" s="1448"/>
      <c r="C80" s="1445"/>
      <c r="D80" s="1449" t="s">
        <v>2013</v>
      </c>
      <c r="E80" s="1447" t="s">
        <v>952</v>
      </c>
      <c r="F80" s="1790">
        <f>IF(F79&gt;0,F78/F79," Complete Line 79")</f>
        <v>10926.007677543186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300354</v>
      </c>
      <c r="G95" s="745"/>
    </row>
    <row r="96" spans="1:7" x14ac:dyDescent="0.2">
      <c r="A96" s="741" t="s">
        <v>139</v>
      </c>
      <c r="B96" s="741" t="s">
        <v>174</v>
      </c>
      <c r="C96" s="743">
        <v>1700</v>
      </c>
      <c r="D96" s="751" t="str">
        <f>'Revenues 9-14'!A82</f>
        <v>Total District/School Activity Income</v>
      </c>
      <c r="E96" s="739"/>
      <c r="F96" s="1793">
        <f>SUM('Revenues 9-14'!C82,'Revenues 9-14'!D82)</f>
        <v>41658</v>
      </c>
      <c r="G96" s="745"/>
    </row>
    <row r="97" spans="1:7" x14ac:dyDescent="0.2">
      <c r="A97" s="741" t="s">
        <v>456</v>
      </c>
      <c r="B97" s="741" t="s">
        <v>175</v>
      </c>
      <c r="C97" s="743">
        <f>'Revenues 9-14'!B84</f>
        <v>1811</v>
      </c>
      <c r="D97" s="744" t="str">
        <f>'Revenues 9-14'!A84</f>
        <v>Rentals - Regular Textbooks</v>
      </c>
      <c r="E97" s="739"/>
      <c r="F97" s="1793">
        <f>'Revenues 9-14'!C84</f>
        <v>96400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4740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9193</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45227</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1265</v>
      </c>
      <c r="G104" s="745"/>
    </row>
    <row r="105" spans="1:7" x14ac:dyDescent="0.2">
      <c r="A105" s="741" t="s">
        <v>456</v>
      </c>
      <c r="B105" s="741" t="s">
        <v>803</v>
      </c>
      <c r="C105" s="743">
        <f>'Revenues 9-14'!B106</f>
        <v>1993</v>
      </c>
      <c r="D105" s="744" t="str">
        <f>'Revenues 9-14'!A106</f>
        <v>Other Local Fees (Describe &amp; Itemize)</v>
      </c>
      <c r="E105" s="739"/>
      <c r="F105" s="1793">
        <f>('Revenues 9-14'!C106)</f>
        <v>189363</v>
      </c>
      <c r="G105" s="745"/>
    </row>
    <row r="106" spans="1:7" x14ac:dyDescent="0.2">
      <c r="A106" s="741" t="s">
        <v>500</v>
      </c>
      <c r="B106" s="741" t="s">
        <v>1910</v>
      </c>
      <c r="C106" s="746">
        <v>3100</v>
      </c>
      <c r="D106" s="752" t="str">
        <f>'Revenues 9-14'!A132</f>
        <v>Total Special Education</v>
      </c>
      <c r="E106" s="739"/>
      <c r="F106" s="1793">
        <f>SUM('Revenues 9-14'!C132:D132,'Revenues 9-14'!F132)</f>
        <v>13687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26769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842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16641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422675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5625</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111458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165508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17997</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119542</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34330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1555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46504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224320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1895653</v>
      </c>
    </row>
    <row r="176" spans="1:7" ht="12" customHeight="1" x14ac:dyDescent="0.2">
      <c r="A176" s="1443"/>
      <c r="B176" s="1453"/>
      <c r="C176" s="1454"/>
      <c r="D176" s="1455" t="s">
        <v>2014</v>
      </c>
      <c r="E176" s="1456"/>
      <c r="F176" s="1793">
        <f>'PCTC-OEPP 27-28'!F78-F175</f>
        <v>11196982</v>
      </c>
    </row>
    <row r="177" spans="1:9" ht="12" customHeight="1" x14ac:dyDescent="0.2">
      <c r="A177" s="1443"/>
      <c r="B177" s="1453"/>
      <c r="C177" s="1454"/>
      <c r="D177" s="1455" t="s">
        <v>1794</v>
      </c>
      <c r="E177" s="1456"/>
      <c r="F177" s="1793">
        <f>'Cap Outlay Deprec 26'!I18</f>
        <v>1162247</v>
      </c>
    </row>
    <row r="178" spans="1:9" ht="12" customHeight="1" x14ac:dyDescent="0.2">
      <c r="A178" s="1443"/>
      <c r="B178" s="1453"/>
      <c r="C178" s="1454"/>
      <c r="D178" s="1455" t="s">
        <v>2015</v>
      </c>
      <c r="E178" s="1456"/>
      <c r="F178" s="1793">
        <f>F176+F177</f>
        <v>12359229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1198.3</v>
      </c>
      <c r="G179" s="763"/>
      <c r="I179" s="701"/>
    </row>
    <row r="180" spans="1:9" ht="12" customHeight="1" thickBot="1" x14ac:dyDescent="0.25">
      <c r="A180" s="1443"/>
      <c r="B180" s="1457"/>
      <c r="C180" s="1454"/>
      <c r="D180" s="1455" t="s">
        <v>2017</v>
      </c>
      <c r="E180" s="1456" t="s">
        <v>1528</v>
      </c>
      <c r="F180" s="1798">
        <f>F178/F179</f>
        <v>10313.96895602103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T26" sqref="T26"/>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2090</v>
      </c>
      <c r="B18" s="1908">
        <v>202540300</v>
      </c>
      <c r="C18" s="2036" t="s">
        <v>2089</v>
      </c>
      <c r="D18" s="1886">
        <v>33748</v>
      </c>
      <c r="E18" s="1906" t="str">
        <f t="shared" ref="E18:E81" si="0">IF(D18&lt;25000,D18,"25,000")</f>
        <v>25,000</v>
      </c>
      <c r="F18" s="1906">
        <f t="shared" ref="F18:F81" si="1">IF(D18&gt;=25000,(D18-E18),"0")</f>
        <v>8748</v>
      </c>
      <c r="G18" s="1887"/>
    </row>
    <row r="19" spans="1:7" x14ac:dyDescent="0.25">
      <c r="A19" s="2035" t="s">
        <v>2091</v>
      </c>
      <c r="B19" s="1908">
        <v>102560400</v>
      </c>
      <c r="C19" s="2036" t="s">
        <v>2092</v>
      </c>
      <c r="D19" s="1886">
        <v>191000</v>
      </c>
      <c r="E19" s="1906" t="str">
        <f t="shared" si="0"/>
        <v>25,000</v>
      </c>
      <c r="F19" s="1906">
        <f t="shared" si="1"/>
        <v>166000</v>
      </c>
    </row>
    <row r="20" spans="1:7" x14ac:dyDescent="0.25">
      <c r="A20" s="2035" t="s">
        <v>2091</v>
      </c>
      <c r="B20" s="1908">
        <v>102560400</v>
      </c>
      <c r="C20" s="2036" t="s">
        <v>2093</v>
      </c>
      <c r="D20" s="1886">
        <v>30722</v>
      </c>
      <c r="E20" s="1906" t="str">
        <f t="shared" si="0"/>
        <v>25,000</v>
      </c>
      <c r="F20" s="1906">
        <f t="shared" si="1"/>
        <v>5722</v>
      </c>
    </row>
    <row r="21" spans="1:7" x14ac:dyDescent="0.25">
      <c r="A21" s="2035" t="s">
        <v>2091</v>
      </c>
      <c r="B21" s="1908">
        <v>102560400</v>
      </c>
      <c r="C21" s="2036" t="s">
        <v>2094</v>
      </c>
      <c r="D21" s="1886">
        <v>26702</v>
      </c>
      <c r="E21" s="1906" t="str">
        <f t="shared" si="0"/>
        <v>25,000</v>
      </c>
      <c r="F21" s="1906">
        <f t="shared" si="1"/>
        <v>1702</v>
      </c>
    </row>
    <row r="22" spans="1:7" x14ac:dyDescent="0.25">
      <c r="A22" s="2035" t="s">
        <v>2095</v>
      </c>
      <c r="B22" s="1908">
        <v>802300300</v>
      </c>
      <c r="C22" s="2036" t="s">
        <v>2097</v>
      </c>
      <c r="D22" s="1886">
        <v>55598</v>
      </c>
      <c r="E22" s="1906" t="str">
        <f t="shared" si="0"/>
        <v>25,000</v>
      </c>
      <c r="F22" s="1906">
        <f t="shared" si="1"/>
        <v>30598</v>
      </c>
    </row>
    <row r="23" spans="1:7" x14ac:dyDescent="0.25">
      <c r="A23" s="2035" t="s">
        <v>2096</v>
      </c>
      <c r="B23" s="1908">
        <v>802300300</v>
      </c>
      <c r="C23" s="2036" t="s">
        <v>2098</v>
      </c>
      <c r="D23" s="1886">
        <v>119007</v>
      </c>
      <c r="E23" s="1906" t="str">
        <f t="shared" si="0"/>
        <v>25,000</v>
      </c>
      <c r="F23" s="1906">
        <f t="shared" si="1"/>
        <v>94007</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456777</v>
      </c>
      <c r="E142" s="1893">
        <f>SUM(E18:E141)</f>
        <v>0</v>
      </c>
      <c r="F142" s="1894">
        <f>SUM(F18:F141)</f>
        <v>306777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T26" sqref="T2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86650</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25136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7851197</v>
      </c>
      <c r="F19" s="1802"/>
      <c r="G19" s="1804">
        <f>'Expenditures 15-22'!K33-SUM('Expenditures 15-22'!G33,'Expenditures 15-22'!I33)+'Expenditures 15-22'!D229</f>
        <v>7851197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346364</v>
      </c>
      <c r="F21" s="1805"/>
      <c r="G21" s="1808">
        <f>'Expenditures 15-22'!K42-SUM('Expenditures 15-22'!G42,'Expenditures 15-22'!I42)+'Expenditures 15-22'!K120-SUM('Expenditures 15-22'!G120,'Expenditures 15-22'!I120)+'Expenditures 15-22'!K180-SUM('Expenditures 15-22'!G180,'Expenditures 15-22'!I180)+'Expenditures 15-22'!D238</f>
        <v>346364</v>
      </c>
      <c r="H21" s="817"/>
      <c r="I21" s="157"/>
    </row>
    <row r="22" spans="1:9" s="542" customFormat="1" ht="12" customHeight="1" x14ac:dyDescent="0.2">
      <c r="A22" s="824" t="s">
        <v>560</v>
      </c>
      <c r="B22" s="825"/>
      <c r="C22" s="823">
        <v>2200</v>
      </c>
      <c r="D22" s="1805"/>
      <c r="E22" s="1807">
        <f>'Expenditures 15-22'!K47-SUM('Expenditures 15-22'!G47,'Expenditures 15-22'!I47)+'Expenditures 15-22'!D243</f>
        <v>199434</v>
      </c>
      <c r="F22" s="1805"/>
      <c r="G22" s="1808">
        <f>'Expenditures 15-22'!K47-SUM('Expenditures 15-22'!G47,'Expenditures 15-22'!I47)+'Expenditures 15-22'!D243</f>
        <v>199434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899440</v>
      </c>
      <c r="F23" s="1805"/>
      <c r="G23" s="1807">
        <f>'Expenditures 15-22'!K53-SUM('Expenditures 15-22'!G53,'Expenditures 15-22'!I53)+'Expenditures 15-22'!D257+'Expenditures 15-22'!K330-SUM('Expenditures 15-22'!G330,'Expenditures 15-22'!I330)</f>
        <v>899440</v>
      </c>
      <c r="H23" s="817"/>
      <c r="I23" s="157"/>
    </row>
    <row r="24" spans="1:9" s="542" customFormat="1" ht="12" customHeight="1" x14ac:dyDescent="0.2">
      <c r="A24" s="824" t="s">
        <v>562</v>
      </c>
      <c r="B24" s="825"/>
      <c r="C24" s="823">
        <v>2400</v>
      </c>
      <c r="D24" s="1805"/>
      <c r="E24" s="1807">
        <f>'Expenditures 15-22'!K57-SUM('Expenditures 15-22'!G57,'Expenditures 15-22'!I57)+'Expenditures 15-22'!D261</f>
        <v>717590</v>
      </c>
      <c r="F24" s="1805"/>
      <c r="G24" s="1808">
        <f>'Expenditures 15-22'!K57-SUM('Expenditures 15-22'!G57,'Expenditures 15-22'!I57)+'Expenditures 15-22'!D261</f>
        <v>717590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32740</v>
      </c>
      <c r="E26" s="1807">
        <f>'Expenditures 15-22'!K122-SUM('Expenditures 15-22'!G122,'Expenditures 15-22'!I122)+E7</f>
        <v>0</v>
      </c>
      <c r="F26" s="1807">
        <f>'Expenditures 15-22'!K59-SUM('Expenditures 15-22'!G59,'Expenditures 15-22'!I59)+'Expenditures 15-22'!D263-E7</f>
        <v>32740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193132</v>
      </c>
      <c r="E27" s="1807">
        <f>E8</f>
        <v>0</v>
      </c>
      <c r="F27" s="1807">
        <f>'Expenditures 15-22'!K60-SUM('Expenditures 15-22'!G60,'Expenditures 15-22'!I60)+'Expenditures 15-22'!D264-E8</f>
        <v>193132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1172074</v>
      </c>
      <c r="F28" s="1809">
        <f>'Expenditures 15-22'!K61-SUM('Expenditures 15-22'!G61,'Expenditures 15-22'!I61)+'Expenditures 15-22'!K124-SUM('Expenditures 15-22'!G124,'Expenditures 15-22'!I124)+'Expenditures 15-22'!D266-E9</f>
        <v>1172074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664829</v>
      </c>
      <c r="F29" s="1805"/>
      <c r="G29" s="1808">
        <f>'Expenditures 15-22'!K62-SUM('Expenditures 15-22'!G62,'Expenditures 15-22'!I62)+'Expenditures 15-22'!K125-SUM('Expenditures 15-22'!G125,'Expenditures 15-22'!I125)+'Expenditures 15-22'!K182-SUM('Expenditures 15-22'!G182,'Expenditures 15-22'!I182)+'Expenditures 15-22'!D267</f>
        <v>664829</v>
      </c>
      <c r="H29" s="815"/>
    </row>
    <row r="30" spans="1:9" ht="12" customHeight="1" x14ac:dyDescent="0.2">
      <c r="A30" s="824" t="s">
        <v>100</v>
      </c>
      <c r="B30" s="827"/>
      <c r="C30" s="823">
        <v>2560</v>
      </c>
      <c r="D30" s="1805"/>
      <c r="E30" s="1807">
        <f>'Expenditures 15-22'!K63-SUM('Expenditures 15-22'!G63,'Expenditures 15-22'!I63)+'Expenditures 15-22'!D268-E10</f>
        <v>464591</v>
      </c>
      <c r="F30" s="1805"/>
      <c r="G30" s="1807">
        <f>'Expenditures 15-22'!K63-SUM('Expenditures 15-22'!G63,'Expenditures 15-22'!I63)+'Expenditures 15-22'!D268-E10</f>
        <v>464591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314526</v>
      </c>
      <c r="E37" s="1807">
        <f>E14</f>
        <v>0</v>
      </c>
      <c r="F37" s="1807">
        <f>'Expenditures 15-22'!K71-SUM('Expenditures 15-22'!G71,'Expenditures 15-22'!I71)+'Expenditures 15-22'!D276-E14</f>
        <v>314526</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255448</v>
      </c>
      <c r="F39" s="1805"/>
      <c r="G39" s="1807">
        <f>'Expenditures 15-22'!K75-SUM('Expenditures 15-22'!G75,'Expenditures 15-22'!I75)+'Expenditures 15-22'!K130-SUM('Expenditures 15-22'!G130,'Expenditures 15-22'!I130)+'Expenditures 15-22'!K185-SUM('Expenditures 15-22'!G185,'Expenditures 15-22'!I185)+'Expenditures 15-22'!D280</f>
        <v>255448</v>
      </c>
    </row>
    <row r="40" spans="1:7" ht="12" customHeight="1" x14ac:dyDescent="0.2">
      <c r="A40" s="820" t="s">
        <v>1798</v>
      </c>
      <c r="B40" s="821"/>
      <c r="C40" s="823"/>
      <c r="D40" s="1805"/>
      <c r="E40" s="1809">
        <f>-'Contracts Paid in CY 29'!F142</f>
        <v>-306777</v>
      </c>
      <c r="F40" s="1805"/>
      <c r="G40" s="1809">
        <f>-'Contracts Paid in CY 29'!F142</f>
        <v>-306777</v>
      </c>
    </row>
    <row r="41" spans="1:7" ht="12" customHeight="1" x14ac:dyDescent="0.2">
      <c r="A41" s="828" t="s">
        <v>155</v>
      </c>
      <c r="B41" s="829"/>
      <c r="C41" s="830"/>
      <c r="D41" s="1809">
        <f>SUM(D19:D39)</f>
        <v>540398</v>
      </c>
      <c r="E41" s="1809">
        <f>SUM(E19:E40)</f>
        <v>12264190</v>
      </c>
      <c r="F41" s="1809">
        <f>SUM(F19:F39)</f>
        <v>1712472</v>
      </c>
      <c r="G41" s="1809">
        <f>SUM(G19:G40)</f>
        <v>11092116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540398</v>
      </c>
      <c r="F43" s="1458" t="s">
        <v>470</v>
      </c>
      <c r="G43" s="1810">
        <f>F41</f>
        <v>1712472</v>
      </c>
    </row>
    <row r="44" spans="1:7" ht="12" customHeight="1" x14ac:dyDescent="0.2">
      <c r="A44" s="817"/>
      <c r="B44" s="157"/>
      <c r="C44" s="831"/>
      <c r="D44" s="1458" t="s">
        <v>471</v>
      </c>
      <c r="E44" s="1810">
        <f>E41</f>
        <v>12264190</v>
      </c>
      <c r="F44" s="1458" t="s">
        <v>471</v>
      </c>
      <c r="G44" s="1810">
        <f>G41</f>
        <v>11092116</v>
      </c>
    </row>
    <row r="45" spans="1:7" ht="12" customHeight="1" x14ac:dyDescent="0.2">
      <c r="A45" s="817"/>
      <c r="B45" s="157"/>
      <c r="C45" s="157"/>
      <c r="D45" s="1459" t="s">
        <v>999</v>
      </c>
      <c r="E45" s="1811">
        <f>(E43/E44)</f>
        <v>4.406308121449521E-2</v>
      </c>
      <c r="F45" s="1459" t="s">
        <v>999</v>
      </c>
      <c r="G45" s="1811">
        <f>(G43/G44)</f>
        <v>0.1543864128359278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T26" sqref="T2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Pleasant Plains CUSD 8</v>
      </c>
      <c r="D6" s="2404"/>
      <c r="E6" s="2404"/>
      <c r="F6" s="1482"/>
      <c r="G6" s="1507"/>
      <c r="L6" s="1507"/>
      <c r="M6" s="1855"/>
      <c r="N6" s="1855"/>
      <c r="O6" s="1855"/>
    </row>
    <row r="7" spans="1:15" ht="11.25" customHeight="1" thickBot="1" x14ac:dyDescent="0.3">
      <c r="A7" s="1480"/>
      <c r="B7" s="1481"/>
      <c r="C7" s="2405">
        <f>COVER!A13</f>
        <v>51084008026</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2057</v>
      </c>
      <c r="D26" s="1495" t="s">
        <v>2057</v>
      </c>
      <c r="E26" s="1498"/>
      <c r="F26" s="1497" t="s">
        <v>2073</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2057</v>
      </c>
      <c r="D31" s="1495" t="s">
        <v>2057</v>
      </c>
      <c r="E31" s="1498"/>
      <c r="F31" s="1497" t="s">
        <v>2074</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T26" sqref="T2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Pleasant Plains CUSD 8</v>
      </c>
      <c r="K6" s="2420"/>
      <c r="L6" s="2421"/>
      <c r="M6" s="838"/>
      <c r="N6" s="1998"/>
    </row>
    <row r="7" spans="1:14" x14ac:dyDescent="0.2">
      <c r="A7" s="2422" t="s">
        <v>864</v>
      </c>
      <c r="B7" s="2423"/>
      <c r="C7" s="2423"/>
      <c r="D7" s="2423"/>
      <c r="E7" s="2424"/>
      <c r="F7" s="839"/>
      <c r="G7" s="838"/>
      <c r="H7" s="838"/>
      <c r="I7" s="1924" t="s">
        <v>369</v>
      </c>
      <c r="J7" s="2425">
        <f>COVER!A13</f>
        <v>51084008026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238892</v>
      </c>
      <c r="F12" s="1942"/>
      <c r="G12" s="1968">
        <f>G68</f>
        <v>0</v>
      </c>
      <c r="H12" s="1944">
        <f t="shared" ref="H12:H18" si="0">SUM(E12:G12)</f>
        <v>238892</v>
      </c>
      <c r="I12" s="1943">
        <v>246601</v>
      </c>
      <c r="J12" s="1942"/>
      <c r="K12" s="1943"/>
      <c r="L12" s="1944">
        <f t="shared" ref="L12:L18" si="1">SUM(I12:K12)</f>
        <v>246601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32292</v>
      </c>
      <c r="F15" s="1944">
        <f>'Expenditures 15-22'!K122</f>
        <v>0</v>
      </c>
      <c r="G15" s="1968">
        <f>J68</f>
        <v>0</v>
      </c>
      <c r="H15" s="1944">
        <f t="shared" si="0"/>
        <v>32292</v>
      </c>
      <c r="I15" s="1943">
        <v>37000</v>
      </c>
      <c r="J15" s="1943"/>
      <c r="K15" s="1943"/>
      <c r="L15" s="1944">
        <f t="shared" si="1"/>
        <v>37000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271184</v>
      </c>
      <c r="F19" s="1950">
        <f t="shared" si="2"/>
        <v>0</v>
      </c>
      <c r="G19" s="1950">
        <f t="shared" ref="G19" si="3">SUM(G12:G17)-G18</f>
        <v>0</v>
      </c>
      <c r="H19" s="1950">
        <f t="shared" si="2"/>
        <v>271184</v>
      </c>
      <c r="I19" s="1950">
        <f t="shared" si="2"/>
        <v>283601</v>
      </c>
      <c r="J19" s="1950">
        <f t="shared" si="2"/>
        <v>0</v>
      </c>
      <c r="K19" s="1950">
        <f t="shared" si="2"/>
        <v>0</v>
      </c>
      <c r="L19" s="1950">
        <f t="shared" si="2"/>
        <v>283601</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4.5788099592896335E-2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Pleasant Plains CUSD 8</v>
      </c>
      <c r="M52" s="2420"/>
      <c r="N52" s="2450"/>
    </row>
    <row r="53" spans="1:14" x14ac:dyDescent="0.2">
      <c r="A53" s="1982"/>
      <c r="B53" s="1983"/>
      <c r="C53" s="1983"/>
      <c r="D53" s="1983"/>
      <c r="E53" s="1983"/>
      <c r="F53" s="1983"/>
      <c r="G53" s="1983"/>
      <c r="H53" s="1983"/>
      <c r="I53" s="1983"/>
      <c r="J53" s="1983"/>
      <c r="K53" s="1924" t="s">
        <v>369</v>
      </c>
      <c r="L53" s="2425">
        <f>J7</f>
        <v>51084008026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51184</v>
      </c>
      <c r="F58" s="1972"/>
      <c r="G58" s="2031"/>
      <c r="H58" s="2032"/>
      <c r="I58" s="2032"/>
      <c r="J58" s="2032"/>
      <c r="K58" s="2032"/>
      <c r="L58" s="2032"/>
      <c r="M58" s="2032"/>
      <c r="N58" s="1975" t="str">
        <f>IF((SUM(G58:M58))=E58,SUM(G58:M58),"Column N does not agree with Column E")</f>
        <v>Column N does not agree with Column E</v>
      </c>
    </row>
    <row r="59" spans="1:14" ht="24.75" customHeight="1" x14ac:dyDescent="0.2">
      <c r="A59" s="2461" t="s">
        <v>297</v>
      </c>
      <c r="B59" s="2462"/>
      <c r="C59" s="2462"/>
      <c r="D59" s="1967">
        <v>2363</v>
      </c>
      <c r="E59" s="1977">
        <f>'Expenditures 15-22'!K321</f>
        <v>410</v>
      </c>
      <c r="F59" s="1972"/>
      <c r="G59" s="2031"/>
      <c r="H59" s="2032"/>
      <c r="I59" s="2032"/>
      <c r="J59" s="2032"/>
      <c r="K59" s="2032"/>
      <c r="L59" s="2032"/>
      <c r="M59" s="2032"/>
      <c r="N59" s="1975" t="str">
        <f>IF((SUM(G59:M59))=E59,SUM(G59:M59),"Column N does not agree with Column E")</f>
        <v>Column N does not agree with Column E</v>
      </c>
    </row>
    <row r="60" spans="1:14" ht="24" customHeight="1" x14ac:dyDescent="0.2">
      <c r="A60" s="2461" t="s">
        <v>236</v>
      </c>
      <c r="B60" s="2462"/>
      <c r="C60" s="2462"/>
      <c r="D60" s="1967">
        <v>2364</v>
      </c>
      <c r="E60" s="1977">
        <f>'Expenditures 15-22'!K322</f>
        <v>138760</v>
      </c>
      <c r="F60" s="1972"/>
      <c r="G60" s="2031"/>
      <c r="H60" s="2032"/>
      <c r="I60" s="2032"/>
      <c r="J60" s="2032"/>
      <c r="K60" s="2032"/>
      <c r="L60" s="2032"/>
      <c r="M60" s="2032"/>
      <c r="N60" s="1975" t="str">
        <f t="shared" ref="N60:N67" si="4">IF((SUM(G60:M60))=E60,SUM(G60:M60),"Column N does not agree with Column E")</f>
        <v>Column N does not agree with Column E</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416439</v>
      </c>
      <c r="F63" s="1972"/>
      <c r="G63" s="2031"/>
      <c r="H63" s="2032"/>
      <c r="I63" s="2032"/>
      <c r="J63" s="2032"/>
      <c r="K63" s="2032"/>
      <c r="L63" s="2032"/>
      <c r="M63" s="2032"/>
      <c r="N63" s="1975" t="str">
        <f t="shared" si="4"/>
        <v>Column N does not agree with Column E</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11958</v>
      </c>
      <c r="F65" s="1972"/>
      <c r="G65" s="2031"/>
      <c r="H65" s="2032"/>
      <c r="I65" s="2032"/>
      <c r="J65" s="2032"/>
      <c r="K65" s="2032"/>
      <c r="L65" s="2032"/>
      <c r="M65" s="2032"/>
      <c r="N65" s="1975" t="str">
        <f t="shared" si="4"/>
        <v>Column N does not agree with Column E</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618751</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26" sqref="T2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2082</v>
      </c>
    </row>
    <row r="6" spans="1:2" x14ac:dyDescent="0.2">
      <c r="A6" s="847">
        <v>2</v>
      </c>
      <c r="B6" s="307" t="s">
        <v>2081</v>
      </c>
    </row>
    <row r="7" spans="1:2" x14ac:dyDescent="0.2">
      <c r="A7" s="847">
        <v>3</v>
      </c>
      <c r="B7" s="307" t="s">
        <v>2083</v>
      </c>
    </row>
    <row r="8" spans="1:2" x14ac:dyDescent="0.2">
      <c r="A8" s="847">
        <v>4</v>
      </c>
      <c r="B8" s="307" t="s">
        <v>2084</v>
      </c>
    </row>
    <row r="9" spans="1:2" x14ac:dyDescent="0.2">
      <c r="A9" s="847">
        <v>5</v>
      </c>
      <c r="B9" s="307" t="s">
        <v>2085</v>
      </c>
    </row>
    <row r="10" spans="1:2" x14ac:dyDescent="0.2">
      <c r="A10" s="847">
        <v>6</v>
      </c>
      <c r="B10" s="307" t="s">
        <v>2086</v>
      </c>
    </row>
    <row r="11" spans="1:2" x14ac:dyDescent="0.2">
      <c r="A11" s="847">
        <v>7</v>
      </c>
      <c r="B11" s="307" t="s">
        <v>2087</v>
      </c>
    </row>
    <row r="12" spans="1:2" x14ac:dyDescent="0.2">
      <c r="A12" s="847">
        <v>8</v>
      </c>
      <c r="B12" s="307" t="s">
        <v>2088</v>
      </c>
    </row>
    <row r="13" spans="1:2" x14ac:dyDescent="0.2">
      <c r="A13" s="847">
        <v>9</v>
      </c>
      <c r="B13" s="307" t="s">
        <v>2099</v>
      </c>
    </row>
    <row r="14" spans="1:2" x14ac:dyDescent="0.2">
      <c r="A14" s="847">
        <v>10</v>
      </c>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Pleasant Plains CUSD 8</v>
      </c>
    </row>
    <row r="65" spans="2:2" x14ac:dyDescent="0.2">
      <c r="B65" s="849">
        <f>COVER!A13</f>
        <v>51084008026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26" sqref="T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26" sqref="T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1247775</xdr:colOff>
                <xdr:row>3</xdr:row>
                <xdr:rowOff>9525</xdr:rowOff>
              </from>
              <to>
                <xdr:col>1</xdr:col>
                <xdr:colOff>2162175</xdr:colOff>
                <xdr:row>7</xdr:row>
                <xdr:rowOff>133350</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26" sqref="T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11970549</v>
      </c>
      <c r="C8" s="1813">
        <f>'Acct Summary 7-8'!D8</f>
        <v>1515944</v>
      </c>
      <c r="D8" s="1813">
        <f>'Acct Summary 7-8'!F8</f>
        <v>982160</v>
      </c>
      <c r="E8" s="1813">
        <f>'Acct Summary 7-8'!I8</f>
        <v>61602</v>
      </c>
      <c r="F8" s="1813">
        <f>SUM(B8:E8)</f>
        <v>14530255</v>
      </c>
    </row>
    <row r="9" spans="1:8" s="858" customFormat="1" ht="14.25" customHeight="1" thickBot="1" x14ac:dyDescent="0.25">
      <c r="A9" s="857" t="s">
        <v>1353</v>
      </c>
      <c r="B9" s="1814">
        <f>'Acct Summary 7-8'!C17</f>
        <v>10972437</v>
      </c>
      <c r="C9" s="1814">
        <f>'Acct Summary 7-8'!D17</f>
        <v>3363989</v>
      </c>
      <c r="D9" s="1814">
        <f>'Acct Summary 7-8'!F17</f>
        <v>996096</v>
      </c>
      <c r="E9" s="1813"/>
      <c r="F9" s="1813">
        <f>SUM(B9:E9)</f>
        <v>15332522</v>
      </c>
    </row>
    <row r="10" spans="1:8" s="858" customFormat="1" ht="14.25" thickTop="1" thickBot="1" x14ac:dyDescent="0.25">
      <c r="A10" s="859" t="s">
        <v>1354</v>
      </c>
      <c r="B10" s="1815">
        <f>(B8-B9)</f>
        <v>998112</v>
      </c>
      <c r="C10" s="1815">
        <f>(C8-C9)</f>
        <v>-1848045</v>
      </c>
      <c r="D10" s="1815">
        <f>(D8-D9)</f>
        <v>-13936</v>
      </c>
      <c r="E10" s="1814">
        <f>(E8-E9)</f>
        <v>61602</v>
      </c>
      <c r="F10" s="1816">
        <f>SUM(F8-F9)</f>
        <v>-802267</v>
      </c>
    </row>
    <row r="11" spans="1:8" s="858" customFormat="1" ht="14.25" thickTop="1" thickBot="1" x14ac:dyDescent="0.25">
      <c r="A11" s="860" t="s">
        <v>1903</v>
      </c>
      <c r="B11" s="1817">
        <f>'Acct Summary 7-8'!C81</f>
        <v>5652276</v>
      </c>
      <c r="C11" s="1817">
        <f>'Acct Summary 7-8'!D81</f>
        <v>3786892</v>
      </c>
      <c r="D11" s="1817">
        <f>'Acct Summary 7-8'!F81</f>
        <v>2246694</v>
      </c>
      <c r="E11" s="1817">
        <f>'Acct Summary 7-8'!I81</f>
        <v>561347</v>
      </c>
      <c r="F11" s="1818">
        <f>SUM(B11:E11)</f>
        <v>12247209</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A3" sqref="A3:D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51084008026</v>
      </c>
      <c r="E2" s="1542">
        <v>2020</v>
      </c>
      <c r="F2" s="1542">
        <v>1</v>
      </c>
      <c r="G2" s="1899">
        <v>101000300</v>
      </c>
    </row>
    <row r="3" spans="1:7" ht="15" x14ac:dyDescent="0.25">
      <c r="A3" t="s">
        <v>950</v>
      </c>
      <c r="B3" s="135" t="str">
        <f>COVER!A15</f>
        <v>Sangamon</v>
      </c>
      <c r="E3" s="1830" t="s">
        <v>1971</v>
      </c>
      <c r="F3" s="1830" t="s">
        <v>1970</v>
      </c>
      <c r="G3" s="1899">
        <v>101000400</v>
      </c>
    </row>
    <row r="4" spans="1:7" ht="15" x14ac:dyDescent="0.25">
      <c r="A4" t="s">
        <v>1000</v>
      </c>
      <c r="B4" s="135" t="str">
        <f>COVER!A17</f>
        <v xml:space="preserve">  Pleasant Plains CUSD 8</v>
      </c>
      <c r="E4" s="1828">
        <v>44119</v>
      </c>
      <c r="F4" s="1829">
        <v>44151</v>
      </c>
      <c r="G4" s="1899">
        <v>101000600</v>
      </c>
    </row>
    <row r="5" spans="1:7" ht="15" x14ac:dyDescent="0.25">
      <c r="A5" t="s">
        <v>699</v>
      </c>
      <c r="B5" s="135" t="str">
        <f>COVER!A38</f>
        <v>Matt Runge, Superintendent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f>IF(COVER!J31="x","Yes",IF(COVER!L31="x","No",0))</f>
        <v>0</v>
      </c>
      <c r="G14" s="1899">
        <v>402100300</v>
      </c>
    </row>
    <row r="15" spans="1:7" ht="15" x14ac:dyDescent="0.25">
      <c r="A15" t="s">
        <v>573</v>
      </c>
      <c r="B15" s="135" t="str">
        <f>COVER!T23</f>
        <v>066-005315</v>
      </c>
      <c r="G15" s="1899">
        <v>402100400</v>
      </c>
    </row>
    <row r="16" spans="1:7" ht="15" x14ac:dyDescent="0.25">
      <c r="A16" t="s">
        <v>419</v>
      </c>
      <c r="B16" s="135" t="str">
        <f>COVER!T13</f>
        <v>Pehlman and Dold, P.C.</v>
      </c>
      <c r="G16" s="1899">
        <v>402100600</v>
      </c>
    </row>
    <row r="17" spans="1:7" ht="15" x14ac:dyDescent="0.25">
      <c r="A17" t="s">
        <v>878</v>
      </c>
      <c r="B17" s="135" t="str">
        <f>COVER!T15</f>
        <v>Dorinda L Fitzgerald</v>
      </c>
      <c r="G17" s="1899">
        <v>402100800</v>
      </c>
    </row>
    <row r="18" spans="1:7" ht="15" x14ac:dyDescent="0.25">
      <c r="A18" t="s">
        <v>1140</v>
      </c>
      <c r="B18" s="135" t="str">
        <f>COVER!T17</f>
        <v>100 North Amos Avenue</v>
      </c>
      <c r="G18" s="1899">
        <v>102200300</v>
      </c>
    </row>
    <row r="19" spans="1:7" ht="15" x14ac:dyDescent="0.25">
      <c r="A19" t="s">
        <v>880</v>
      </c>
      <c r="B19" s="135" t="str">
        <f>COVER!T25</f>
        <v>dfitzgerald@p-dcpas.com</v>
      </c>
      <c r="G19" s="1899">
        <v>102200400</v>
      </c>
    </row>
    <row r="20" spans="1:7" ht="15" x14ac:dyDescent="0.25">
      <c r="A20" t="s">
        <v>881</v>
      </c>
      <c r="B20" s="135" t="str">
        <f>COVER!T19</f>
        <v>Springfield</v>
      </c>
      <c r="G20" s="1899">
        <v>102200600</v>
      </c>
    </row>
    <row r="21" spans="1:7" ht="15" x14ac:dyDescent="0.25">
      <c r="A21" t="s">
        <v>476</v>
      </c>
      <c r="B21" s="135" t="str">
        <f>COVER!X19</f>
        <v>IL</v>
      </c>
      <c r="G21" s="1899">
        <v>102200800</v>
      </c>
    </row>
    <row r="22" spans="1:7" ht="15" x14ac:dyDescent="0.25">
      <c r="A22" t="s">
        <v>882</v>
      </c>
      <c r="B22" s="135">
        <f>COVER!Z19</f>
        <v>62702</v>
      </c>
      <c r="G22" s="1899">
        <v>102300300</v>
      </c>
    </row>
    <row r="23" spans="1:7" ht="15" x14ac:dyDescent="0.25">
      <c r="A23" t="s">
        <v>1142</v>
      </c>
      <c r="B23" s="135" t="str">
        <f>COVER!T21</f>
        <v>(217) 787-0563</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Yes</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35431</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2109744</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164</v>
      </c>
      <c r="D76" s="2" t="str">
        <f t="shared" si="0"/>
        <v>Error?</v>
      </c>
      <c r="G76" s="1899">
        <v>102570600</v>
      </c>
    </row>
    <row r="77" spans="1:7" ht="15" x14ac:dyDescent="0.25">
      <c r="A77" s="5">
        <v>16</v>
      </c>
      <c r="B77" s="1832">
        <f>'Assets-Liab 5-6'!C13</f>
        <v>5686877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34601</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34601</v>
      </c>
      <c r="C91" s="2" t="s">
        <v>569</v>
      </c>
      <c r="D91" s="2" t="str">
        <f t="shared" si="0"/>
        <v>Error?</v>
      </c>
      <c r="G91" s="1899">
        <v>102640400</v>
      </c>
    </row>
    <row r="92" spans="1:7" ht="15" x14ac:dyDescent="0.25">
      <c r="A92" s="5">
        <v>31</v>
      </c>
      <c r="B92" s="1832">
        <f>'Assets-Liab 5-6'!C39</f>
        <v>5647509</v>
      </c>
      <c r="D92" s="2" t="str">
        <f t="shared" si="0"/>
        <v>Error?</v>
      </c>
      <c r="G92" s="1899">
        <v>102640600</v>
      </c>
    </row>
    <row r="93" spans="1:7" ht="15" x14ac:dyDescent="0.25">
      <c r="A93" s="5">
        <v>32</v>
      </c>
      <c r="B93" s="1832">
        <f>'Assets-Liab 5-6'!C41</f>
        <v>5686877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43214</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3789476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2584</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2584</v>
      </c>
      <c r="C122" s="2" t="s">
        <v>569</v>
      </c>
      <c r="D122" s="2" t="str">
        <f t="shared" si="0"/>
        <v>Error?</v>
      </c>
      <c r="G122" s="1899">
        <v>203000300</v>
      </c>
    </row>
    <row r="123" spans="1:7" ht="15" x14ac:dyDescent="0.25">
      <c r="A123" s="5">
        <v>62</v>
      </c>
      <c r="B123" s="1832">
        <f>'Assets-Liab 5-6'!D39</f>
        <v>3786892</v>
      </c>
      <c r="D123" s="2" t="str">
        <f t="shared" si="0"/>
        <v>Error?</v>
      </c>
      <c r="G123" s="1899">
        <v>203000400</v>
      </c>
    </row>
    <row r="124" spans="1:7" ht="15" x14ac:dyDescent="0.25">
      <c r="A124" s="5">
        <v>63</v>
      </c>
      <c r="B124" s="1832">
        <f>'Assets-Liab 5-6'!D41</f>
        <v>3789476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6111</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438290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438290</v>
      </c>
      <c r="D140" s="2" t="str">
        <f t="shared" si="1"/>
        <v>Error?</v>
      </c>
    </row>
    <row r="141" spans="1:7" x14ac:dyDescent="0.2">
      <c r="A141" s="5">
        <v>80</v>
      </c>
      <c r="B141" s="1832">
        <f>'Assets-Liab 5-6'!E41</f>
        <v>438290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142747</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2246694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2246694</v>
      </c>
      <c r="D170" s="2" t="str">
        <f t="shared" si="1"/>
        <v>Error?</v>
      </c>
    </row>
    <row r="171" spans="1:4" x14ac:dyDescent="0.2">
      <c r="A171" s="5">
        <v>110</v>
      </c>
      <c r="B171" s="1832">
        <f>'Assets-Liab 5-6'!F41</f>
        <v>2246694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209685</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332348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332348</v>
      </c>
      <c r="D189" s="2" t="str">
        <f t="shared" si="1"/>
        <v>Error?</v>
      </c>
    </row>
    <row r="190" spans="1:4" x14ac:dyDescent="0.2">
      <c r="A190" s="5">
        <v>129</v>
      </c>
      <c r="B190" s="1832">
        <f>'Assets-Liab 5-6'!G41</f>
        <v>332348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10412003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10412003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767974</v>
      </c>
      <c r="D273" s="2" t="str">
        <f t="shared" si="3"/>
        <v>Error?</v>
      </c>
    </row>
    <row r="274" spans="1:4" x14ac:dyDescent="0.2">
      <c r="A274" s="5">
        <v>213</v>
      </c>
      <c r="B274" s="1832">
        <f>'Assets-Liab 5-6'!M17</f>
        <v>38642310</v>
      </c>
      <c r="D274" s="2" t="str">
        <f t="shared" si="3"/>
        <v>Error?</v>
      </c>
    </row>
    <row r="275" spans="1:4" x14ac:dyDescent="0.2">
      <c r="A275" s="5">
        <v>214</v>
      </c>
      <c r="B275" s="1832">
        <f>'Assets-Liab 5-6'!M18</f>
        <v>835659</v>
      </c>
      <c r="D275" s="2" t="str">
        <f t="shared" si="3"/>
        <v>Error?</v>
      </c>
    </row>
    <row r="276" spans="1:4" x14ac:dyDescent="0.2">
      <c r="A276" s="5">
        <v>215</v>
      </c>
      <c r="B276" s="1832">
        <f>'Assets-Liab 5-6'!M19</f>
        <v>3056228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45663490</v>
      </c>
      <c r="C279" s="2" t="s">
        <v>569</v>
      </c>
      <c r="D279" s="2" t="str">
        <f t="shared" si="3"/>
        <v>Error?</v>
      </c>
    </row>
    <row r="280" spans="1:4" x14ac:dyDescent="0.2">
      <c r="A280" s="5">
        <v>219</v>
      </c>
      <c r="B280" s="1832">
        <f>'Assets-Liab 5-6'!M40</f>
        <v>45663490</v>
      </c>
      <c r="D280" s="2" t="str">
        <f t="shared" si="3"/>
        <v>Error?</v>
      </c>
    </row>
    <row r="281" spans="1:4" x14ac:dyDescent="0.2">
      <c r="A281" s="5">
        <v>220</v>
      </c>
      <c r="B281" s="1832">
        <f>'Assets-Liab 5-6'!M41</f>
        <v>45663490</v>
      </c>
      <c r="C281" s="2" t="s">
        <v>569</v>
      </c>
      <c r="D281" s="2" t="str">
        <f t="shared" si="3"/>
        <v>Error?</v>
      </c>
    </row>
    <row r="282" spans="1:4" x14ac:dyDescent="0.2">
      <c r="A282" s="5">
        <v>221</v>
      </c>
      <c r="B282" s="1832">
        <f>'Assets-Liab 5-6'!N21</f>
        <v>438290</v>
      </c>
      <c r="D282" s="2" t="str">
        <f t="shared" si="3"/>
        <v>Error?</v>
      </c>
    </row>
    <row r="283" spans="1:4" x14ac:dyDescent="0.2">
      <c r="A283" s="5">
        <v>222</v>
      </c>
      <c r="B283" s="1832">
        <f>'Assets-Liab 5-6'!N22</f>
        <v>15526710</v>
      </c>
      <c r="D283" s="2" t="str">
        <f t="shared" si="3"/>
        <v>Error?</v>
      </c>
    </row>
    <row r="284" spans="1:4" x14ac:dyDescent="0.2">
      <c r="A284" s="5">
        <v>223</v>
      </c>
      <c r="B284" s="1832">
        <f>'Assets-Liab 5-6'!N23</f>
        <v>15965000</v>
      </c>
      <c r="C284" s="2" t="s">
        <v>569</v>
      </c>
      <c r="D284" s="2" t="str">
        <f t="shared" si="3"/>
        <v>Error?</v>
      </c>
    </row>
    <row r="285" spans="1:4" x14ac:dyDescent="0.2">
      <c r="A285" s="5">
        <v>224</v>
      </c>
      <c r="B285" s="1832">
        <f>'Assets-Liab 5-6'!N36</f>
        <v>15965000</v>
      </c>
      <c r="D285" s="2" t="str">
        <f t="shared" si="3"/>
        <v>Error?</v>
      </c>
    </row>
    <row r="286" spans="1:4" x14ac:dyDescent="0.2">
      <c r="A286" s="10">
        <v>225</v>
      </c>
      <c r="B286" s="1832"/>
      <c r="D286" s="2" t="str">
        <f t="shared" si="3"/>
        <v>OK</v>
      </c>
    </row>
    <row r="287" spans="1:4" x14ac:dyDescent="0.2">
      <c r="A287" s="5">
        <v>226</v>
      </c>
      <c r="B287" s="1832">
        <f>'Assets-Liab 5-6'!N37</f>
        <v>15965000</v>
      </c>
      <c r="C287" s="2" t="s">
        <v>569</v>
      </c>
      <c r="D287" s="2" t="str">
        <f t="shared" si="3"/>
        <v>Error?</v>
      </c>
    </row>
    <row r="288" spans="1:4" x14ac:dyDescent="0.2">
      <c r="A288" s="5">
        <v>227</v>
      </c>
      <c r="B288" s="1832">
        <f>'Assets-Liab 5-6'!N41</f>
        <v>15965000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10800000</v>
      </c>
      <c r="D618" s="2" t="str">
        <f t="shared" si="8"/>
        <v>Error?</v>
      </c>
    </row>
    <row r="619" spans="1:4" x14ac:dyDescent="0.2">
      <c r="A619" s="5">
        <v>558</v>
      </c>
      <c r="B619" s="1832">
        <f>'Acct Summary 7-8'!H34</f>
        <v>440314</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4788899</v>
      </c>
      <c r="D705" s="2" t="str">
        <f t="shared" si="10"/>
        <v>Error?</v>
      </c>
    </row>
    <row r="706" spans="1:4" x14ac:dyDescent="0.2">
      <c r="A706" s="5">
        <v>645</v>
      </c>
      <c r="B706" s="1832">
        <f>'Expenditures 15-22'!C16</f>
        <v>76856</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294158</v>
      </c>
      <c r="D717" s="2" t="str">
        <f t="shared" si="10"/>
        <v>Error?</v>
      </c>
    </row>
    <row r="718" spans="1:4" x14ac:dyDescent="0.2">
      <c r="A718" s="5">
        <v>657</v>
      </c>
      <c r="B718" s="1832">
        <f>'Expenditures 15-22'!C14</f>
        <v>290731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6184875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195496</v>
      </c>
      <c r="D722" s="2" t="str">
        <f t="shared" si="10"/>
        <v>Error?</v>
      </c>
    </row>
    <row r="723" spans="1:4" x14ac:dyDescent="0.2">
      <c r="A723" s="5">
        <v>662</v>
      </c>
      <c r="B723" s="1832">
        <f>'Expenditures 15-22'!C38</f>
        <v>73791</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269287</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155809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155809</v>
      </c>
      <c r="C731" s="2" t="s">
        <v>569</v>
      </c>
      <c r="D731" s="2" t="str">
        <f t="shared" si="10"/>
        <v>Error?</v>
      </c>
    </row>
    <row r="732" spans="1:4" x14ac:dyDescent="0.2">
      <c r="A732" s="5">
        <v>671</v>
      </c>
      <c r="B732" s="1832">
        <f>'Expenditures 15-22'!C49</f>
        <v>2400</v>
      </c>
      <c r="D732" s="2" t="str">
        <f t="shared" si="10"/>
        <v>Error?</v>
      </c>
    </row>
    <row r="733" spans="1:4" x14ac:dyDescent="0.2">
      <c r="A733" s="5">
        <v>672</v>
      </c>
      <c r="B733" s="1832">
        <f>'Expenditures 15-22'!C50</f>
        <v>179382</v>
      </c>
      <c r="D733" s="2" t="str">
        <f t="shared" si="10"/>
        <v>Error?</v>
      </c>
    </row>
    <row r="734" spans="1:4" x14ac:dyDescent="0.2">
      <c r="A734" s="5">
        <v>673</v>
      </c>
      <c r="B734" s="1832">
        <f>'Expenditures 15-22'!C53</f>
        <v>181782</v>
      </c>
      <c r="C734" s="2" t="s">
        <v>569</v>
      </c>
      <c r="D734" s="2" t="str">
        <f t="shared" si="10"/>
        <v>Error?</v>
      </c>
    </row>
    <row r="735" spans="1:4" x14ac:dyDescent="0.2">
      <c r="A735" s="5">
        <v>674</v>
      </c>
      <c r="B735" s="1832">
        <f>'Expenditures 15-22'!C55</f>
        <v>563217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563217</v>
      </c>
      <c r="C737" s="2" t="s">
        <v>569</v>
      </c>
      <c r="D737" s="2" t="str">
        <f t="shared" si="10"/>
        <v>Error?</v>
      </c>
    </row>
    <row r="738" spans="1:4" x14ac:dyDescent="0.2">
      <c r="A738" s="5">
        <v>677</v>
      </c>
      <c r="B738" s="1832">
        <f>'Expenditures 15-22'!C59</f>
        <v>30900</v>
      </c>
      <c r="D738" s="2" t="str">
        <f t="shared" si="10"/>
        <v>Error?</v>
      </c>
    </row>
    <row r="739" spans="1:4" x14ac:dyDescent="0.2">
      <c r="A739" s="5">
        <v>678</v>
      </c>
      <c r="B739" s="1832">
        <f>'Expenditures 15-22'!C60</f>
        <v>92320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222852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346072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156110</v>
      </c>
      <c r="D751" s="2" t="str">
        <f t="shared" si="10"/>
        <v>Error?</v>
      </c>
    </row>
    <row r="752" spans="1:4" x14ac:dyDescent="0.2">
      <c r="A752" s="10">
        <v>691</v>
      </c>
      <c r="B752" s="1832"/>
      <c r="D752" s="2" t="str">
        <f t="shared" si="10"/>
        <v>OK</v>
      </c>
    </row>
    <row r="753" spans="1:4" x14ac:dyDescent="0.2">
      <c r="A753" s="5">
        <v>692</v>
      </c>
      <c r="B753" s="1832">
        <f>'Expenditures 15-22'!C72</f>
        <v>156110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1672277</v>
      </c>
      <c r="C755" s="2" t="s">
        <v>569</v>
      </c>
      <c r="D755" s="2" t="str">
        <f t="shared" si="10"/>
        <v>Error?</v>
      </c>
    </row>
    <row r="756" spans="1:4" x14ac:dyDescent="0.2">
      <c r="A756" s="5">
        <v>695</v>
      </c>
      <c r="B756" s="1832">
        <f>'Expenditures 15-22'!C75</f>
        <v>177682</v>
      </c>
      <c r="D756" s="2" t="str">
        <f t="shared" si="10"/>
        <v>Error?</v>
      </c>
    </row>
    <row r="757" spans="1:4" x14ac:dyDescent="0.2">
      <c r="A757" s="5">
        <v>696</v>
      </c>
      <c r="B757" s="1832">
        <f>'Expenditures 15-22'!C114</f>
        <v>8034834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1101760</v>
      </c>
      <c r="D763" s="2" t="str">
        <f t="shared" si="10"/>
        <v>Error?</v>
      </c>
    </row>
    <row r="764" spans="1:4" x14ac:dyDescent="0.2">
      <c r="A764" s="5">
        <v>703</v>
      </c>
      <c r="B764" s="1832">
        <f>'Expenditures 15-22'!D16</f>
        <v>13933</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62209</v>
      </c>
      <c r="D775" s="2" t="str">
        <f t="shared" si="11"/>
        <v>Error?</v>
      </c>
    </row>
    <row r="776" spans="1:4" x14ac:dyDescent="0.2">
      <c r="A776" s="5">
        <v>715</v>
      </c>
      <c r="B776" s="1832">
        <f>'Expenditures 15-22'!D14</f>
        <v>33154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1360087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49660</v>
      </c>
      <c r="D780" s="2" t="str">
        <f t="shared" si="11"/>
        <v>Error?</v>
      </c>
    </row>
    <row r="781" spans="1:4" x14ac:dyDescent="0.2">
      <c r="A781" s="5">
        <v>720</v>
      </c>
      <c r="B781" s="1832">
        <f>'Expenditures 15-22'!D38</f>
        <v>13883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63543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32500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32500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50018</v>
      </c>
      <c r="D791" s="2" t="str">
        <f t="shared" si="11"/>
        <v>Error?</v>
      </c>
    </row>
    <row r="792" spans="1:4" x14ac:dyDescent="0.2">
      <c r="A792" s="5">
        <v>731</v>
      </c>
      <c r="B792" s="1832">
        <f>'Expenditures 15-22'!D53</f>
        <v>50018</v>
      </c>
      <c r="C792" s="2" t="s">
        <v>569</v>
      </c>
      <c r="D792" s="2" t="str">
        <f t="shared" si="11"/>
        <v>Error?</v>
      </c>
    </row>
    <row r="793" spans="1:4" x14ac:dyDescent="0.2">
      <c r="A793" s="5">
        <v>732</v>
      </c>
      <c r="B793" s="1832">
        <f>'Expenditures 15-22'!D55</f>
        <v>106452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106452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13389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40151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53540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20843</v>
      </c>
      <c r="D809" s="2" t="str">
        <f t="shared" si="11"/>
        <v>Error?</v>
      </c>
    </row>
    <row r="810" spans="1:4" x14ac:dyDescent="0.2">
      <c r="A810" s="10">
        <v>749</v>
      </c>
      <c r="B810" s="1832"/>
      <c r="D810" s="2" t="str">
        <f t="shared" si="11"/>
        <v>OK</v>
      </c>
    </row>
    <row r="811" spans="1:4" x14ac:dyDescent="0.2">
      <c r="A811" s="5">
        <v>750</v>
      </c>
      <c r="B811" s="1832">
        <f>'Expenditures 15-22'!D72</f>
        <v>20843</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326896</v>
      </c>
      <c r="C813" s="2" t="s">
        <v>569</v>
      </c>
      <c r="D813" s="2" t="str">
        <f t="shared" si="11"/>
        <v>Error?</v>
      </c>
    </row>
    <row r="814" spans="1:4" x14ac:dyDescent="0.2">
      <c r="A814" s="5">
        <v>753</v>
      </c>
      <c r="B814" s="1832">
        <f>'Expenditures 15-22'!D75</f>
        <v>13434</v>
      </c>
      <c r="D814" s="2" t="str">
        <f t="shared" si="11"/>
        <v>Error?</v>
      </c>
    </row>
    <row r="815" spans="1:4" x14ac:dyDescent="0.2">
      <c r="A815" s="5">
        <v>754</v>
      </c>
      <c r="B815" s="1832">
        <f>'Expenditures 15-22'!D114</f>
        <v>1700417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2776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650</v>
      </c>
      <c r="D833" s="2" t="str">
        <f t="shared" si="12"/>
        <v>Error?</v>
      </c>
    </row>
    <row r="834" spans="1:4" x14ac:dyDescent="0.2">
      <c r="A834" s="5">
        <v>773</v>
      </c>
      <c r="B834" s="1832">
        <f>'Expenditures 15-22'!E14</f>
        <v>30202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39883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463</v>
      </c>
      <c r="D838" s="2" t="str">
        <f t="shared" si="12"/>
        <v>Error?</v>
      </c>
    </row>
    <row r="839" spans="1:4" x14ac:dyDescent="0.2">
      <c r="A839" s="5">
        <v>778</v>
      </c>
      <c r="B839" s="1832">
        <f>'Expenditures 15-22'!E38</f>
        <v>1009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1472</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22341</v>
      </c>
      <c r="D848" s="2" t="str">
        <f t="shared" si="12"/>
        <v>Error?</v>
      </c>
    </row>
    <row r="849" spans="1:4" x14ac:dyDescent="0.2">
      <c r="A849" s="5">
        <v>788</v>
      </c>
      <c r="B849" s="1832">
        <f>'Expenditures 15-22'!E50</f>
        <v>7092</v>
      </c>
      <c r="D849" s="2" t="str">
        <f t="shared" si="12"/>
        <v>Error?</v>
      </c>
    </row>
    <row r="850" spans="1:4" x14ac:dyDescent="0.2">
      <c r="A850" s="5">
        <v>789</v>
      </c>
      <c r="B850" s="1832">
        <f>'Expenditures 15-22'!E53</f>
        <v>29433</v>
      </c>
      <c r="C850" s="2" t="s">
        <v>569</v>
      </c>
      <c r="D850" s="2" t="str">
        <f t="shared" si="12"/>
        <v>Error?</v>
      </c>
    </row>
    <row r="851" spans="1:4" x14ac:dyDescent="0.2">
      <c r="A851" s="5">
        <v>790</v>
      </c>
      <c r="B851" s="1832">
        <f>'Expenditures 15-22'!E55</f>
        <v>3389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3389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55998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55998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114999</v>
      </c>
      <c r="D867" s="2" t="str">
        <f t="shared" si="12"/>
        <v>Error?</v>
      </c>
    </row>
    <row r="868" spans="1:4" x14ac:dyDescent="0.2">
      <c r="A868" s="10">
        <v>807</v>
      </c>
      <c r="B868" s="1832"/>
      <c r="D868" s="2" t="str">
        <f t="shared" si="12"/>
        <v>OK</v>
      </c>
    </row>
    <row r="869" spans="1:4" x14ac:dyDescent="0.2">
      <c r="A869" s="5">
        <v>808</v>
      </c>
      <c r="B869" s="1832">
        <f>'Expenditures 15-22'!E72</f>
        <v>114999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205291</v>
      </c>
      <c r="C871" s="2" t="s">
        <v>569</v>
      </c>
      <c r="D871" s="2" t="str">
        <f t="shared" si="12"/>
        <v>Error?</v>
      </c>
    </row>
    <row r="872" spans="1:4" x14ac:dyDescent="0.2">
      <c r="A872" s="5">
        <v>811</v>
      </c>
      <c r="B872" s="1832">
        <f>'Expenditures 15-22'!E75</f>
        <v>20344</v>
      </c>
      <c r="D872" s="2" t="str">
        <f t="shared" si="12"/>
        <v>Error?</v>
      </c>
    </row>
    <row r="873" spans="1:4" x14ac:dyDescent="0.2">
      <c r="A873" s="5">
        <v>812</v>
      </c>
      <c r="B873" s="1832">
        <f>'Expenditures 15-22'!E114</f>
        <v>265518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64661</v>
      </c>
      <c r="D879" s="2" t="str">
        <f t="shared" si="12"/>
        <v>Error?</v>
      </c>
    </row>
    <row r="880" spans="1:4" x14ac:dyDescent="0.2">
      <c r="A880" s="5">
        <v>819</v>
      </c>
      <c r="B880" s="1832">
        <f>'Expenditures 15-22'!F16</f>
        <v>267</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8608</v>
      </c>
      <c r="D891" s="2" t="str">
        <f t="shared" si="12"/>
        <v>Error?</v>
      </c>
    </row>
    <row r="892" spans="1:4" x14ac:dyDescent="0.2">
      <c r="A892" s="5">
        <v>831</v>
      </c>
      <c r="B892" s="1832">
        <f>'Expenditures 15-22'!F14</f>
        <v>5702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84400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1031</v>
      </c>
      <c r="D896" s="2" t="str">
        <f t="shared" si="13"/>
        <v>Error?</v>
      </c>
    </row>
    <row r="897" spans="1:4" x14ac:dyDescent="0.2">
      <c r="A897" s="5">
        <v>836</v>
      </c>
      <c r="B897" s="1832">
        <f>'Expenditures 15-22'!F38</f>
        <v>1853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2884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5306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5306</v>
      </c>
      <c r="C905" s="2" t="s">
        <v>569</v>
      </c>
      <c r="D905" s="2" t="str">
        <f t="shared" si="13"/>
        <v>Error?</v>
      </c>
    </row>
    <row r="906" spans="1:4" x14ac:dyDescent="0.2">
      <c r="A906" s="5">
        <v>845</v>
      </c>
      <c r="B906" s="1832">
        <f>'Expenditures 15-22'!F49</f>
        <v>82</v>
      </c>
      <c r="D906" s="2" t="str">
        <f t="shared" si="13"/>
        <v>Error?</v>
      </c>
    </row>
    <row r="907" spans="1:4" x14ac:dyDescent="0.2">
      <c r="A907" s="5">
        <v>846</v>
      </c>
      <c r="B907" s="1832">
        <f>'Expenditures 15-22'!F50</f>
        <v>51</v>
      </c>
      <c r="D907" s="2" t="str">
        <f t="shared" si="13"/>
        <v>Error?</v>
      </c>
    </row>
    <row r="908" spans="1:4" x14ac:dyDescent="0.2">
      <c r="A908" s="5">
        <v>847</v>
      </c>
      <c r="B908" s="1832">
        <f>'Expenditures 15-22'!F53</f>
        <v>133</v>
      </c>
      <c r="C908" s="2" t="s">
        <v>569</v>
      </c>
      <c r="D908" s="2" t="str">
        <f t="shared" si="13"/>
        <v>Error?</v>
      </c>
    </row>
    <row r="909" spans="1:4" x14ac:dyDescent="0.2">
      <c r="A909" s="5">
        <v>848</v>
      </c>
      <c r="B909" s="1832">
        <f>'Expenditures 15-22'!F55</f>
        <v>13620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13620</v>
      </c>
      <c r="C911" s="2" t="s">
        <v>569</v>
      </c>
      <c r="D911" s="2" t="str">
        <f t="shared" si="13"/>
        <v>Error?</v>
      </c>
    </row>
    <row r="912" spans="1:4" x14ac:dyDescent="0.2">
      <c r="A912" s="5">
        <v>851</v>
      </c>
      <c r="B912" s="1832">
        <f>'Expenditures 15-22'!F59</f>
        <v>191</v>
      </c>
      <c r="D912" s="2" t="str">
        <f t="shared" si="13"/>
        <v>Error?</v>
      </c>
    </row>
    <row r="913" spans="1:4" x14ac:dyDescent="0.2">
      <c r="A913" s="5">
        <v>852</v>
      </c>
      <c r="B913" s="1832">
        <f>'Expenditures 15-22'!F60</f>
        <v>12892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246214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259297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7471</v>
      </c>
      <c r="D925" s="2" t="str">
        <f t="shared" si="13"/>
        <v>Error?</v>
      </c>
    </row>
    <row r="926" spans="1:4" x14ac:dyDescent="0.2">
      <c r="A926" s="10">
        <v>865</v>
      </c>
      <c r="B926" s="1832"/>
      <c r="D926" s="2" t="str">
        <f t="shared" si="13"/>
        <v>OK</v>
      </c>
    </row>
    <row r="927" spans="1:4" x14ac:dyDescent="0.2">
      <c r="A927" s="5">
        <v>866</v>
      </c>
      <c r="B927" s="1832">
        <f>'Expenditures 15-22'!F72</f>
        <v>7471</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288711</v>
      </c>
      <c r="C929" s="2" t="s">
        <v>569</v>
      </c>
      <c r="D929" s="2" t="str">
        <f t="shared" si="13"/>
        <v>Error?</v>
      </c>
    </row>
    <row r="930" spans="1:4" x14ac:dyDescent="0.2">
      <c r="A930" s="5">
        <v>869</v>
      </c>
      <c r="B930" s="1832">
        <f>'Expenditures 15-22'!F75</f>
        <v>25396</v>
      </c>
      <c r="D930" s="2" t="str">
        <f t="shared" si="13"/>
        <v>Error?</v>
      </c>
    </row>
    <row r="931" spans="1:4" x14ac:dyDescent="0.2">
      <c r="A931" s="5">
        <v>870</v>
      </c>
      <c r="B931" s="1832">
        <f>'Expenditures 15-22'!F114</f>
        <v>398507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510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510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3029</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3029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1961</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1961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24778</v>
      </c>
      <c r="D983" s="2" t="str">
        <f t="shared" si="14"/>
        <v>Error?</v>
      </c>
    </row>
    <row r="984" spans="1:4" x14ac:dyDescent="0.2">
      <c r="A984" s="10">
        <v>923</v>
      </c>
      <c r="B984" s="1832"/>
      <c r="D984" s="2" t="str">
        <f t="shared" si="14"/>
        <v>OK</v>
      </c>
    </row>
    <row r="985" spans="1:4" x14ac:dyDescent="0.2">
      <c r="A985" s="5">
        <v>924</v>
      </c>
      <c r="B985" s="1832">
        <f>'Expenditures 15-22'!G72</f>
        <v>24778</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29768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30278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10186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10389</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20575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908</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908</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350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350</v>
      </c>
      <c r="C1021" s="2" t="s">
        <v>569</v>
      </c>
      <c r="D1021" s="2" t="str">
        <f t="shared" si="14"/>
        <v>Error?</v>
      </c>
    </row>
    <row r="1022" spans="1:4" x14ac:dyDescent="0.2">
      <c r="A1022" s="5">
        <v>961</v>
      </c>
      <c r="B1022" s="1832">
        <f>'Expenditures 15-22'!H49</f>
        <v>4144</v>
      </c>
      <c r="D1022" s="2" t="str">
        <f t="shared" si="14"/>
        <v>Error?</v>
      </c>
    </row>
    <row r="1023" spans="1:4" x14ac:dyDescent="0.2">
      <c r="A1023" s="5">
        <v>962</v>
      </c>
      <c r="B1023" s="1832">
        <f>'Expenditures 15-22'!H50</f>
        <v>2349</v>
      </c>
      <c r="D1023" s="2" t="str">
        <f t="shared" ref="D1023:D1086" si="15">IF(ISBLANK(B1023),"OK",IF(A1023-B1023=0,"OK","Error?"))</f>
        <v>Error?</v>
      </c>
    </row>
    <row r="1024" spans="1:4" x14ac:dyDescent="0.2">
      <c r="A1024" s="5">
        <v>963</v>
      </c>
      <c r="B1024" s="1832">
        <f>'Expenditures 15-22'!H53</f>
        <v>6493</v>
      </c>
      <c r="C1024" s="2" t="s">
        <v>569</v>
      </c>
      <c r="D1024" s="2" t="str">
        <f t="shared" si="15"/>
        <v>Error?</v>
      </c>
    </row>
    <row r="1025" spans="1:4" x14ac:dyDescent="0.2">
      <c r="A1025" s="5">
        <v>964</v>
      </c>
      <c r="B1025" s="1832">
        <f>'Expenditures 15-22'!H55</f>
        <v>2949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2949</v>
      </c>
      <c r="C1027" s="2" t="s">
        <v>569</v>
      </c>
      <c r="D1027" s="2" t="str">
        <f t="shared" si="15"/>
        <v>Error?</v>
      </c>
    </row>
    <row r="1028" spans="1:4" x14ac:dyDescent="0.2">
      <c r="A1028" s="5">
        <v>967</v>
      </c>
      <c r="B1028" s="1832">
        <f>'Expenditures 15-22'!H59</f>
        <v>1201</v>
      </c>
      <c r="D1028" s="2" t="str">
        <f t="shared" si="15"/>
        <v>Error?</v>
      </c>
    </row>
    <row r="1029" spans="1:4" x14ac:dyDescent="0.2">
      <c r="A1029" s="5">
        <v>968</v>
      </c>
      <c r="B1029" s="1832">
        <f>'Expenditures 15-22'!H60</f>
        <v>2752</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4210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8163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235</v>
      </c>
      <c r="D1041" s="2" t="str">
        <f t="shared" si="15"/>
        <v>Error?</v>
      </c>
    </row>
    <row r="1042" spans="1:5" x14ac:dyDescent="0.2">
      <c r="A1042" s="10">
        <v>981</v>
      </c>
      <c r="B1042" s="1832"/>
      <c r="D1042" s="2" t="str">
        <f t="shared" si="15"/>
        <v>OK</v>
      </c>
    </row>
    <row r="1043" spans="1:5" x14ac:dyDescent="0.2">
      <c r="A1043" s="5">
        <v>982</v>
      </c>
      <c r="B1043" s="1832">
        <f>'Expenditures 15-22'!H72</f>
        <v>235</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19098</v>
      </c>
      <c r="C1045" s="2" t="s">
        <v>569</v>
      </c>
      <c r="D1045" s="2" t="str">
        <f t="shared" si="15"/>
        <v>Error?</v>
      </c>
    </row>
    <row r="1046" spans="1:5" x14ac:dyDescent="0.2">
      <c r="A1046" s="5">
        <v>985</v>
      </c>
      <c r="B1046" s="1832">
        <f>'Expenditures 15-22'!H75</f>
        <v>475</v>
      </c>
      <c r="D1046" s="2" t="str">
        <f t="shared" si="15"/>
        <v>Error?</v>
      </c>
    </row>
    <row r="1047" spans="1:5" x14ac:dyDescent="0.2">
      <c r="A1047" s="5">
        <v>986</v>
      </c>
      <c r="B1047" s="1832">
        <f>'Expenditures 15-22'!H102</f>
        <v>502603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542751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5968414</v>
      </c>
      <c r="C1093" s="2" t="s">
        <v>569</v>
      </c>
      <c r="D1093" s="2" t="str">
        <f t="shared" si="16"/>
        <v>Error?</v>
      </c>
    </row>
    <row r="1094" spans="1:4" x14ac:dyDescent="0.2">
      <c r="A1094" s="5">
        <v>1033</v>
      </c>
      <c r="B1094" s="1832">
        <f>'Expenditures 15-22'!K16</f>
        <v>91056</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365625</v>
      </c>
      <c r="C1105" s="2" t="s">
        <v>569</v>
      </c>
      <c r="D1105" s="2" t="str">
        <f t="shared" si="16"/>
        <v>Error?</v>
      </c>
    </row>
    <row r="1106" spans="1:4" x14ac:dyDescent="0.2">
      <c r="A1106" s="5">
        <v>1045</v>
      </c>
      <c r="B1106" s="1832">
        <f>'Expenditures 15-22'!K14</f>
        <v>370688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7690462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247558</v>
      </c>
      <c r="C1110" s="2" t="s">
        <v>569</v>
      </c>
      <c r="D1110" s="2" t="str">
        <f t="shared" si="16"/>
        <v>Error?</v>
      </c>
    </row>
    <row r="1111" spans="1:4" x14ac:dyDescent="0.2">
      <c r="A1111" s="5">
        <v>1050</v>
      </c>
      <c r="B1111" s="1832">
        <f>'Expenditures 15-22'!K38</f>
        <v>93565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341123</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193965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193965</v>
      </c>
      <c r="C1119" s="2" t="s">
        <v>569</v>
      </c>
      <c r="D1119" s="2" t="str">
        <f t="shared" si="16"/>
        <v>Error?</v>
      </c>
    </row>
    <row r="1120" spans="1:4" x14ac:dyDescent="0.2">
      <c r="A1120" s="5">
        <v>1059</v>
      </c>
      <c r="B1120" s="1832">
        <f>'Expenditures 15-22'!K49</f>
        <v>28967</v>
      </c>
      <c r="C1120" s="2" t="s">
        <v>569</v>
      </c>
      <c r="D1120" s="2" t="str">
        <f t="shared" si="16"/>
        <v>Error?</v>
      </c>
    </row>
    <row r="1121" spans="1:4" x14ac:dyDescent="0.2">
      <c r="A1121" s="5">
        <v>1060</v>
      </c>
      <c r="B1121" s="1832">
        <f>'Expenditures 15-22'!K50</f>
        <v>238892</v>
      </c>
      <c r="C1121" s="2" t="s">
        <v>569</v>
      </c>
      <c r="D1121" s="2" t="str">
        <f t="shared" si="16"/>
        <v>Error?</v>
      </c>
    </row>
    <row r="1122" spans="1:4" x14ac:dyDescent="0.2">
      <c r="A1122" s="5">
        <v>1061</v>
      </c>
      <c r="B1122" s="1832">
        <f>'Expenditures 15-22'!K53</f>
        <v>267859</v>
      </c>
      <c r="C1122" s="2" t="s">
        <v>569</v>
      </c>
      <c r="D1122" s="2" t="str">
        <f t="shared" si="16"/>
        <v>Error?</v>
      </c>
    </row>
    <row r="1123" spans="1:4" x14ac:dyDescent="0.2">
      <c r="A1123" s="5">
        <v>1062</v>
      </c>
      <c r="B1123" s="1832">
        <f>'Expenditures 15-22'!K55</f>
        <v>689627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689627</v>
      </c>
      <c r="C1125" s="2" t="s">
        <v>569</v>
      </c>
      <c r="D1125" s="2" t="str">
        <f t="shared" si="16"/>
        <v>Error?</v>
      </c>
    </row>
    <row r="1126" spans="1:4" x14ac:dyDescent="0.2">
      <c r="A1126" s="5">
        <v>1065</v>
      </c>
      <c r="B1126" s="1832">
        <f>'Expenditures 15-22'!K59</f>
        <v>32292</v>
      </c>
      <c r="C1126" s="2" t="s">
        <v>569</v>
      </c>
      <c r="D1126" s="2" t="str">
        <f t="shared" si="16"/>
        <v>Error?</v>
      </c>
    </row>
    <row r="1127" spans="1:4" x14ac:dyDescent="0.2">
      <c r="A1127" s="5">
        <v>1066</v>
      </c>
      <c r="B1127" s="1832">
        <f>'Expenditures 15-22'!K60</f>
        <v>177351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515388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725031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324436</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324436</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2542041</v>
      </c>
      <c r="C1143" s="2" t="s">
        <v>569</v>
      </c>
      <c r="D1143" s="2" t="str">
        <f t="shared" si="16"/>
        <v>Error?</v>
      </c>
    </row>
    <row r="1144" spans="1:4" x14ac:dyDescent="0.2">
      <c r="A1144" s="5">
        <v>1083</v>
      </c>
      <c r="B1144" s="1832">
        <f>'Expenditures 15-22'!K75</f>
        <v>237331</v>
      </c>
      <c r="C1144" s="2" t="s">
        <v>569</v>
      </c>
      <c r="D1144" s="2" t="str">
        <f t="shared" si="16"/>
        <v>Error?</v>
      </c>
    </row>
    <row r="1145" spans="1:4" x14ac:dyDescent="0.2">
      <c r="A1145" s="5">
        <v>1084</v>
      </c>
      <c r="B1145" s="1832">
        <f>'Expenditures 15-22'!K102</f>
        <v>502603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10972437</v>
      </c>
      <c r="C1152" s="2" t="s">
        <v>569</v>
      </c>
      <c r="D1152" s="2" t="str">
        <f t="shared" si="17"/>
        <v>Error?</v>
      </c>
    </row>
    <row r="1153" spans="1:4" x14ac:dyDescent="0.2">
      <c r="A1153" s="5">
        <v>1092</v>
      </c>
      <c r="B1153" s="1832">
        <f>'Expenditures 15-22'!K115</f>
        <v>998112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427398</v>
      </c>
      <c r="D1221" s="2" t="str">
        <f t="shared" si="18"/>
        <v>Error?</v>
      </c>
    </row>
    <row r="1222" spans="1:4" x14ac:dyDescent="0.2">
      <c r="A1222" s="10">
        <v>1161</v>
      </c>
      <c r="B1222" s="1832"/>
      <c r="D1222" s="2" t="str">
        <f t="shared" si="18"/>
        <v>OK</v>
      </c>
    </row>
    <row r="1223" spans="1:4" x14ac:dyDescent="0.2">
      <c r="A1223" s="5">
        <v>1162</v>
      </c>
      <c r="B1223" s="1832">
        <f>'Expenditures 15-22'!C127</f>
        <v>427398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427398</v>
      </c>
      <c r="C1225" s="2" t="s">
        <v>569</v>
      </c>
      <c r="D1225" s="2" t="str">
        <f t="shared" si="18"/>
        <v>Error?</v>
      </c>
    </row>
    <row r="1226" spans="1:4" x14ac:dyDescent="0.2">
      <c r="A1226" s="5">
        <v>1165</v>
      </c>
      <c r="B1226" s="1832">
        <f>'Expenditures 15-22'!C151</f>
        <v>427398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61447</v>
      </c>
      <c r="D1229" s="2" t="str">
        <f t="shared" si="18"/>
        <v>Error?</v>
      </c>
    </row>
    <row r="1230" spans="1:4" x14ac:dyDescent="0.2">
      <c r="A1230" s="10">
        <v>1169</v>
      </c>
      <c r="B1230" s="1832"/>
      <c r="D1230" s="2" t="str">
        <f t="shared" si="18"/>
        <v>OK</v>
      </c>
    </row>
    <row r="1231" spans="1:4" x14ac:dyDescent="0.2">
      <c r="A1231" s="5">
        <v>1170</v>
      </c>
      <c r="B1231" s="1832">
        <f>'Expenditures 15-22'!D127</f>
        <v>61447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61447</v>
      </c>
      <c r="C1233" s="2" t="s">
        <v>569</v>
      </c>
      <c r="D1233" s="2" t="str">
        <f t="shared" si="18"/>
        <v>Error?</v>
      </c>
    </row>
    <row r="1234" spans="1:4" x14ac:dyDescent="0.2">
      <c r="A1234" s="5">
        <v>1173</v>
      </c>
      <c r="B1234" s="1832">
        <f>'Expenditures 15-22'!D151</f>
        <v>61447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240882</v>
      </c>
      <c r="D1237" s="2" t="str">
        <f t="shared" si="18"/>
        <v>Error?</v>
      </c>
    </row>
    <row r="1238" spans="1:4" x14ac:dyDescent="0.2">
      <c r="A1238" s="10">
        <v>1177</v>
      </c>
      <c r="B1238" s="1832"/>
      <c r="D1238" s="2" t="str">
        <f t="shared" si="18"/>
        <v>OK</v>
      </c>
    </row>
    <row r="1239" spans="1:4" x14ac:dyDescent="0.2">
      <c r="A1239" s="5">
        <v>1178</v>
      </c>
      <c r="B1239" s="1832">
        <f>'Expenditures 15-22'!E127</f>
        <v>240882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240882</v>
      </c>
      <c r="C1241" s="2" t="s">
        <v>569</v>
      </c>
      <c r="D1241" s="2" t="str">
        <f t="shared" si="18"/>
        <v>Error?</v>
      </c>
    </row>
    <row r="1242" spans="1:4" x14ac:dyDescent="0.2">
      <c r="A1242" s="5">
        <v>1181</v>
      </c>
      <c r="B1242" s="1832">
        <f>'Expenditures 15-22'!E151</f>
        <v>240882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368986</v>
      </c>
      <c r="D1245" s="2" t="str">
        <f t="shared" si="18"/>
        <v>Error?</v>
      </c>
    </row>
    <row r="1246" spans="1:4" x14ac:dyDescent="0.2">
      <c r="A1246" s="10">
        <v>1185</v>
      </c>
      <c r="B1246" s="1832"/>
      <c r="D1246" s="2" t="str">
        <f t="shared" si="18"/>
        <v>OK</v>
      </c>
    </row>
    <row r="1247" spans="1:4" x14ac:dyDescent="0.2">
      <c r="A1247" s="5">
        <v>1186</v>
      </c>
      <c r="B1247" s="1832">
        <f>'Expenditures 15-22'!F127</f>
        <v>368986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368986</v>
      </c>
      <c r="C1249" s="2" t="s">
        <v>569</v>
      </c>
      <c r="D1249" s="2" t="str">
        <f t="shared" si="18"/>
        <v>Error?</v>
      </c>
    </row>
    <row r="1250" spans="1:4" x14ac:dyDescent="0.2">
      <c r="A1250" s="5">
        <v>1189</v>
      </c>
      <c r="B1250" s="1832">
        <f>'Expenditures 15-22'!F151</f>
        <v>368986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2249719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2249719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2249719</v>
      </c>
      <c r="C1258" s="2" t="s">
        <v>569</v>
      </c>
      <c r="D1258" s="2" t="str">
        <f t="shared" si="18"/>
        <v>Error?</v>
      </c>
    </row>
    <row r="1259" spans="1:4" x14ac:dyDescent="0.2">
      <c r="A1259" s="5">
        <v>1198</v>
      </c>
      <c r="B1259" s="1832">
        <f>'Expenditures 15-22'!G151</f>
        <v>2249719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199</v>
      </c>
      <c r="D1262" s="2" t="str">
        <f t="shared" si="18"/>
        <v>Error?</v>
      </c>
    </row>
    <row r="1263" spans="1:4" x14ac:dyDescent="0.2">
      <c r="A1263" s="10">
        <v>1202</v>
      </c>
      <c r="B1263" s="1832"/>
      <c r="D1263" s="2" t="str">
        <f t="shared" si="18"/>
        <v>OK</v>
      </c>
    </row>
    <row r="1264" spans="1:4" x14ac:dyDescent="0.2">
      <c r="A1264" s="5">
        <v>1203</v>
      </c>
      <c r="B1264" s="1832">
        <f>'Expenditures 15-22'!H127</f>
        <v>199</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199</v>
      </c>
      <c r="C1266" s="2" t="s">
        <v>569</v>
      </c>
      <c r="D1266" s="2" t="str">
        <f t="shared" si="18"/>
        <v>Error?</v>
      </c>
    </row>
    <row r="1267" spans="1:4" x14ac:dyDescent="0.2">
      <c r="A1267" s="5">
        <v>1206</v>
      </c>
      <c r="B1267" s="1832">
        <f>'Expenditures 15-22'!H139</f>
        <v>10581</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10780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3353408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3353408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3353408</v>
      </c>
      <c r="C1281" s="2" t="s">
        <v>569</v>
      </c>
      <c r="D1281" s="2" t="str">
        <f t="shared" si="19"/>
        <v>Error?</v>
      </c>
    </row>
    <row r="1282" spans="1:4" x14ac:dyDescent="0.2">
      <c r="A1282" s="5">
        <v>1221</v>
      </c>
      <c r="B1282" s="1832">
        <f>'Expenditures 15-22'!K139</f>
        <v>10581</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3363989</v>
      </c>
      <c r="C1288" s="2" t="s">
        <v>569</v>
      </c>
      <c r="D1288" s="2" t="str">
        <f t="shared" si="19"/>
        <v>Error?</v>
      </c>
    </row>
    <row r="1289" spans="1:4" x14ac:dyDescent="0.2">
      <c r="A1289" s="5">
        <v>1228</v>
      </c>
      <c r="B1289" s="1832">
        <f>'Expenditures 15-22'!K152</f>
        <v>-1848045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246627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800000</v>
      </c>
      <c r="D1315" s="2" t="str">
        <f t="shared" si="19"/>
        <v>Error?</v>
      </c>
    </row>
    <row r="1316" spans="1:4" x14ac:dyDescent="0.2">
      <c r="A1316" s="5">
        <v>1255</v>
      </c>
      <c r="B1316" s="1832">
        <f>'Expenditures 15-22'!H171</f>
        <v>761</v>
      </c>
      <c r="D1316" s="2" t="str">
        <f t="shared" si="19"/>
        <v>Error?</v>
      </c>
    </row>
    <row r="1317" spans="1:4" x14ac:dyDescent="0.2">
      <c r="A1317" s="5">
        <v>1256</v>
      </c>
      <c r="B1317" s="1832">
        <f>'Expenditures 15-22'!H172</f>
        <v>1047388</v>
      </c>
      <c r="C1317" s="2" t="s">
        <v>569</v>
      </c>
      <c r="D1317" s="2" t="str">
        <f t="shared" si="19"/>
        <v>Error?</v>
      </c>
    </row>
    <row r="1318" spans="1:4" x14ac:dyDescent="0.2">
      <c r="A1318" s="5">
        <v>1257</v>
      </c>
      <c r="B1318" s="1832">
        <f>'Expenditures 15-22'!H174</f>
        <v>1047388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246627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800000</v>
      </c>
      <c r="C1329" s="2" t="s">
        <v>569</v>
      </c>
      <c r="D1329" s="2" t="str">
        <f t="shared" si="19"/>
        <v>Error?</v>
      </c>
    </row>
    <row r="1330" spans="1:4" x14ac:dyDescent="0.2">
      <c r="A1330" s="5">
        <v>1269</v>
      </c>
      <c r="B1330" s="1832">
        <f>'Expenditures 15-22'!K171</f>
        <v>761</v>
      </c>
      <c r="C1330" s="2" t="s">
        <v>569</v>
      </c>
      <c r="D1330" s="2" t="str">
        <f t="shared" si="19"/>
        <v>Error?</v>
      </c>
    </row>
    <row r="1331" spans="1:4" x14ac:dyDescent="0.2">
      <c r="A1331" s="5">
        <v>1270</v>
      </c>
      <c r="B1331" s="1832">
        <f>'Expenditures 15-22'!K172</f>
        <v>1047388</v>
      </c>
      <c r="C1331" s="2" t="s">
        <v>569</v>
      </c>
      <c r="D1331" s="2" t="str">
        <f t="shared" si="19"/>
        <v>Error?</v>
      </c>
    </row>
    <row r="1332" spans="1:4" x14ac:dyDescent="0.2">
      <c r="A1332" s="5">
        <v>1271</v>
      </c>
      <c r="B1332" s="1832">
        <f>'Expenditures 15-22'!K174</f>
        <v>1047388</v>
      </c>
      <c r="C1332" s="2" t="s">
        <v>569</v>
      </c>
      <c r="D1332" s="2" t="str">
        <f t="shared" si="19"/>
        <v>Error?</v>
      </c>
    </row>
    <row r="1333" spans="1:4" x14ac:dyDescent="0.2">
      <c r="A1333" s="5">
        <v>1272</v>
      </c>
      <c r="B1333" s="1832">
        <f>'Expenditures 15-22'!K175</f>
        <v>546042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407435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407435</v>
      </c>
      <c r="C1339" s="2" t="s">
        <v>569</v>
      </c>
      <c r="D1339" s="2" t="str">
        <f t="shared" si="19"/>
        <v>Error?</v>
      </c>
    </row>
    <row r="1340" spans="1:4" x14ac:dyDescent="0.2">
      <c r="A1340" s="5">
        <v>1279</v>
      </c>
      <c r="B1340" s="1832">
        <f>'Expenditures 15-22'!C210</f>
        <v>407435</v>
      </c>
      <c r="C1340" s="2" t="s">
        <v>569</v>
      </c>
      <c r="D1340" s="2" t="str">
        <f t="shared" si="19"/>
        <v>Error?</v>
      </c>
    </row>
    <row r="1341" spans="1:4" x14ac:dyDescent="0.2">
      <c r="A1341" s="5">
        <v>1280</v>
      </c>
      <c r="B1341" s="1832">
        <f>'Expenditures 15-22'!D182</f>
        <v>47963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47963</v>
      </c>
      <c r="C1345" s="2" t="s">
        <v>569</v>
      </c>
      <c r="D1345" s="2" t="str">
        <f t="shared" si="20"/>
        <v>Error?</v>
      </c>
    </row>
    <row r="1346" spans="1:4" x14ac:dyDescent="0.2">
      <c r="A1346" s="5">
        <v>1285</v>
      </c>
      <c r="B1346" s="1832">
        <f>'Expenditures 15-22'!D210</f>
        <v>47963</v>
      </c>
      <c r="C1346" s="2" t="s">
        <v>569</v>
      </c>
      <c r="D1346" s="2" t="str">
        <f t="shared" si="20"/>
        <v>Error?</v>
      </c>
    </row>
    <row r="1347" spans="1:4" x14ac:dyDescent="0.2">
      <c r="A1347" s="5">
        <v>1286</v>
      </c>
      <c r="B1347" s="1832">
        <f>'Expenditures 15-22'!E182</f>
        <v>26214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26214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26214</v>
      </c>
      <c r="C1353" s="2" t="s">
        <v>569</v>
      </c>
      <c r="D1353" s="2" t="str">
        <f t="shared" si="20"/>
        <v>Error?</v>
      </c>
    </row>
    <row r="1354" spans="1:4" x14ac:dyDescent="0.2">
      <c r="A1354" s="5">
        <v>1293</v>
      </c>
      <c r="B1354" s="1832">
        <f>'Expenditures 15-22'!F182</f>
        <v>108295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108295</v>
      </c>
      <c r="C1358" s="2" t="s">
        <v>569</v>
      </c>
      <c r="D1358" s="2" t="str">
        <f t="shared" si="20"/>
        <v>Error?</v>
      </c>
    </row>
    <row r="1359" spans="1:4" x14ac:dyDescent="0.2">
      <c r="A1359" s="5">
        <v>1298</v>
      </c>
      <c r="B1359" s="1832">
        <f>'Expenditures 15-22'!F210</f>
        <v>108295</v>
      </c>
      <c r="C1359" s="2" t="s">
        <v>569</v>
      </c>
      <c r="D1359" s="2" t="str">
        <f t="shared" si="20"/>
        <v>Error?</v>
      </c>
    </row>
    <row r="1360" spans="1:4" x14ac:dyDescent="0.2">
      <c r="A1360" s="5">
        <v>1299</v>
      </c>
      <c r="B1360" s="1832">
        <f>'Expenditures 15-22'!G182</f>
        <v>402530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402530</v>
      </c>
      <c r="C1364" s="2" t="s">
        <v>569</v>
      </c>
      <c r="D1364" s="2" t="str">
        <f t="shared" si="20"/>
        <v>Error?</v>
      </c>
    </row>
    <row r="1365" spans="1:4" x14ac:dyDescent="0.2">
      <c r="A1365" s="5">
        <v>1304</v>
      </c>
      <c r="B1365" s="1832">
        <f>'Expenditures 15-22'!G210</f>
        <v>402530</v>
      </c>
      <c r="C1365" s="2" t="s">
        <v>569</v>
      </c>
      <c r="D1365" s="2" t="str">
        <f t="shared" si="20"/>
        <v>Error?</v>
      </c>
    </row>
    <row r="1366" spans="1:4" x14ac:dyDescent="0.2">
      <c r="A1366" s="5">
        <v>1305</v>
      </c>
      <c r="B1366" s="1832">
        <f>'Expenditures 15-22'!H182</f>
        <v>457</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457</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457</v>
      </c>
      <c r="C1376" s="2" t="s">
        <v>569</v>
      </c>
      <c r="D1376" s="2" t="str">
        <f t="shared" si="20"/>
        <v>Error?</v>
      </c>
    </row>
    <row r="1377" spans="1:4" x14ac:dyDescent="0.2">
      <c r="A1377" s="5">
        <v>1316</v>
      </c>
      <c r="B1377" s="1832">
        <f>'Expenditures 15-22'!K182</f>
        <v>996096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996096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996096</v>
      </c>
      <c r="C1388" s="2" t="s">
        <v>569</v>
      </c>
      <c r="D1388" s="2" t="str">
        <f t="shared" si="20"/>
        <v>Error?</v>
      </c>
    </row>
    <row r="1389" spans="1:4" x14ac:dyDescent="0.2">
      <c r="A1389" s="5">
        <v>1328</v>
      </c>
      <c r="B1389" s="1832">
        <f>'Expenditures 15-22'!K211</f>
        <v>-13936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1114</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4183</v>
      </c>
      <c r="D1407" s="2" t="str">
        <f t="shared" ref="D1407:D1470" si="21">IF(ISBLANK(B1407),"OK",IF(A1407-B1407=0,"OK","Error?"))</f>
        <v>Error?</v>
      </c>
    </row>
    <row r="1408" spans="1:4" x14ac:dyDescent="0.2">
      <c r="A1408" s="5">
        <v>1347</v>
      </c>
      <c r="B1408" s="1832">
        <f>'Expenditures 15-22'!D223</f>
        <v>11162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161245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2749</v>
      </c>
      <c r="D1412" s="2" t="str">
        <f t="shared" si="21"/>
        <v>Error?</v>
      </c>
    </row>
    <row r="1413" spans="1:4" x14ac:dyDescent="0.2">
      <c r="A1413" s="5">
        <v>1352</v>
      </c>
      <c r="B1413" s="1832">
        <f>'Expenditures 15-22'!D234</f>
        <v>5521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8270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5469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5469</v>
      </c>
      <c r="C1421" s="2" t="s">
        <v>569</v>
      </c>
      <c r="D1421" s="2" t="str">
        <f t="shared" si="21"/>
        <v>Error?</v>
      </c>
    </row>
    <row r="1422" spans="1:4" x14ac:dyDescent="0.2">
      <c r="A1422" s="5">
        <v>1361</v>
      </c>
      <c r="B1422" s="1832">
        <f>'Expenditures 15-22'!D245</f>
        <v>184</v>
      </c>
      <c r="D1422" s="2" t="str">
        <f t="shared" si="21"/>
        <v>Error?</v>
      </c>
    </row>
    <row r="1423" spans="1:4" x14ac:dyDescent="0.2">
      <c r="A1423" s="5">
        <v>1362</v>
      </c>
      <c r="B1423" s="1832">
        <f>'Expenditures 15-22'!D246</f>
        <v>8138</v>
      </c>
      <c r="D1423" s="2" t="str">
        <f t="shared" si="21"/>
        <v>Error?</v>
      </c>
    </row>
    <row r="1424" spans="1:4" x14ac:dyDescent="0.2">
      <c r="A1424" s="5">
        <v>1363</v>
      </c>
      <c r="B1424" s="1832">
        <f>'Expenditures 15-22'!D257</f>
        <v>12830</v>
      </c>
      <c r="C1424" s="2" t="s">
        <v>569</v>
      </c>
      <c r="D1424" s="2" t="str">
        <f t="shared" si="21"/>
        <v>Error?</v>
      </c>
    </row>
    <row r="1425" spans="1:4" x14ac:dyDescent="0.2">
      <c r="A1425" s="5">
        <v>1364</v>
      </c>
      <c r="B1425" s="1832">
        <f>'Expenditures 15-22'!D259</f>
        <v>27963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27963</v>
      </c>
      <c r="C1427" s="2" t="s">
        <v>569</v>
      </c>
      <c r="D1427" s="2" t="str">
        <f t="shared" si="21"/>
        <v>Error?</v>
      </c>
    </row>
    <row r="1428" spans="1:4" x14ac:dyDescent="0.2">
      <c r="A1428" s="5">
        <v>1367</v>
      </c>
      <c r="B1428" s="1832">
        <f>'Expenditures 15-22'!D263</f>
        <v>448</v>
      </c>
      <c r="D1428" s="2" t="str">
        <f t="shared" si="21"/>
        <v>Error?</v>
      </c>
    </row>
    <row r="1429" spans="1:4" x14ac:dyDescent="0.2">
      <c r="A1429" s="5">
        <v>1368</v>
      </c>
      <c r="B1429" s="1832">
        <f>'Expenditures 15-22'!D264</f>
        <v>15781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68385</v>
      </c>
      <c r="D1431" s="2" t="str">
        <f t="shared" si="21"/>
        <v>Error?</v>
      </c>
    </row>
    <row r="1432" spans="1:4" x14ac:dyDescent="0.2">
      <c r="A1432" s="5">
        <v>1371</v>
      </c>
      <c r="B1432" s="1832">
        <f>'Expenditures 15-22'!D267</f>
        <v>71263</v>
      </c>
      <c r="D1432" s="2" t="str">
        <f t="shared" si="21"/>
        <v>Error?</v>
      </c>
    </row>
    <row r="1433" spans="1:4" x14ac:dyDescent="0.2">
      <c r="A1433" s="5">
        <v>1372</v>
      </c>
      <c r="B1433" s="1832">
        <f>'Expenditures 15-22'!D268</f>
        <v>37814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193691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14868</v>
      </c>
      <c r="D1442" s="2" t="str">
        <f t="shared" si="21"/>
        <v>Error?</v>
      </c>
    </row>
    <row r="1443" spans="1:4" x14ac:dyDescent="0.2">
      <c r="A1443" s="10">
        <v>1382</v>
      </c>
      <c r="B1443" s="1832"/>
      <c r="D1443" s="2" t="str">
        <f t="shared" si="21"/>
        <v>OK</v>
      </c>
    </row>
    <row r="1444" spans="1:4" x14ac:dyDescent="0.2">
      <c r="A1444" s="5">
        <v>1383</v>
      </c>
      <c r="B1444" s="1832">
        <f>'Expenditures 15-22'!D277</f>
        <v>14868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263091</v>
      </c>
      <c r="C1446" s="2" t="s">
        <v>569</v>
      </c>
      <c r="D1446" s="2" t="str">
        <f t="shared" si="21"/>
        <v>Error?</v>
      </c>
    </row>
    <row r="1447" spans="1:4" x14ac:dyDescent="0.2">
      <c r="A1447" s="5">
        <v>1386</v>
      </c>
      <c r="B1447" s="1832">
        <f>'Expenditures 15-22'!D280</f>
        <v>18117</v>
      </c>
      <c r="D1447" s="2" t="str">
        <f t="shared" si="21"/>
        <v>Error?</v>
      </c>
    </row>
    <row r="1448" spans="1:4" x14ac:dyDescent="0.2">
      <c r="A1448" s="5">
        <v>1387</v>
      </c>
      <c r="B1448" s="1832">
        <f>'Expenditures 15-22'!D295</f>
        <v>442453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1114</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4183</v>
      </c>
      <c r="C1471" s="2" t="s">
        <v>569</v>
      </c>
      <c r="D1471" s="2" t="str">
        <f t="shared" ref="D1471:D1534" si="22">IF(ISBLANK(B1471),"OK",IF(A1471-B1471=0,"OK","Error?"))</f>
        <v>Error?</v>
      </c>
    </row>
    <row r="1472" spans="1:4" x14ac:dyDescent="0.2">
      <c r="A1472" s="5">
        <v>1411</v>
      </c>
      <c r="B1472" s="1832">
        <f>'Expenditures 15-22'!K223</f>
        <v>11162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161245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2749</v>
      </c>
      <c r="C1476" s="2" t="s">
        <v>569</v>
      </c>
      <c r="D1476" s="2" t="str">
        <f t="shared" si="22"/>
        <v>Error?</v>
      </c>
    </row>
    <row r="1477" spans="1:4" x14ac:dyDescent="0.2">
      <c r="A1477" s="5">
        <v>1416</v>
      </c>
      <c r="B1477" s="1832">
        <f>'Expenditures 15-22'!K234</f>
        <v>5521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8270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5469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5469</v>
      </c>
      <c r="C1485" s="2" t="s">
        <v>569</v>
      </c>
      <c r="D1485" s="2" t="str">
        <f t="shared" si="22"/>
        <v>Error?</v>
      </c>
    </row>
    <row r="1486" spans="1:4" x14ac:dyDescent="0.2">
      <c r="A1486" s="5">
        <v>1425</v>
      </c>
      <c r="B1486" s="1832">
        <f>'Expenditures 15-22'!K245</f>
        <v>184</v>
      </c>
      <c r="C1486" s="2" t="s">
        <v>569</v>
      </c>
      <c r="D1486" s="2" t="str">
        <f t="shared" si="22"/>
        <v>Error?</v>
      </c>
    </row>
    <row r="1487" spans="1:4" x14ac:dyDescent="0.2">
      <c r="A1487" s="5">
        <v>1426</v>
      </c>
      <c r="B1487" s="1832">
        <f>'Expenditures 15-22'!K246</f>
        <v>8138</v>
      </c>
      <c r="C1487" s="2" t="s">
        <v>569</v>
      </c>
      <c r="D1487" s="2" t="str">
        <f t="shared" si="22"/>
        <v>Error?</v>
      </c>
    </row>
    <row r="1488" spans="1:4" x14ac:dyDescent="0.2">
      <c r="A1488" s="5">
        <v>1427</v>
      </c>
      <c r="B1488" s="1832">
        <f>'Expenditures 15-22'!K257</f>
        <v>12830</v>
      </c>
      <c r="C1488" s="2" t="s">
        <v>569</v>
      </c>
      <c r="D1488" s="2" t="str">
        <f t="shared" si="22"/>
        <v>Error?</v>
      </c>
    </row>
    <row r="1489" spans="1:4" x14ac:dyDescent="0.2">
      <c r="A1489" s="5">
        <v>1428</v>
      </c>
      <c r="B1489" s="1832">
        <f>'Expenditures 15-22'!K259</f>
        <v>27963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27963</v>
      </c>
      <c r="C1491" s="2" t="s">
        <v>569</v>
      </c>
      <c r="D1491" s="2" t="str">
        <f t="shared" si="22"/>
        <v>Error?</v>
      </c>
    </row>
    <row r="1492" spans="1:4" x14ac:dyDescent="0.2">
      <c r="A1492" s="5">
        <v>1431</v>
      </c>
      <c r="B1492" s="1832">
        <f>'Expenditures 15-22'!K263</f>
        <v>448</v>
      </c>
      <c r="C1492" s="2" t="s">
        <v>569</v>
      </c>
      <c r="D1492" s="2" t="str">
        <f t="shared" si="22"/>
        <v>Error?</v>
      </c>
    </row>
    <row r="1493" spans="1:4" x14ac:dyDescent="0.2">
      <c r="A1493" s="5">
        <v>1432</v>
      </c>
      <c r="B1493" s="1832">
        <f>'Expenditures 15-22'!K264</f>
        <v>15781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68385</v>
      </c>
      <c r="C1495" s="2" t="s">
        <v>569</v>
      </c>
      <c r="D1495" s="2" t="str">
        <f t="shared" si="22"/>
        <v>Error?</v>
      </c>
    </row>
    <row r="1496" spans="1:4" x14ac:dyDescent="0.2">
      <c r="A1496" s="5">
        <v>1435</v>
      </c>
      <c r="B1496" s="1832">
        <f>'Expenditures 15-22'!K267</f>
        <v>71263</v>
      </c>
      <c r="C1496" s="2" t="s">
        <v>569</v>
      </c>
      <c r="D1496" s="2" t="str">
        <f t="shared" si="22"/>
        <v>Error?</v>
      </c>
    </row>
    <row r="1497" spans="1:4" x14ac:dyDescent="0.2">
      <c r="A1497" s="5">
        <v>1436</v>
      </c>
      <c r="B1497" s="1832">
        <f>'Expenditures 15-22'!K268</f>
        <v>37814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193691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14868</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14868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263091</v>
      </c>
      <c r="C1510" s="2" t="s">
        <v>569</v>
      </c>
      <c r="D1510" s="2" t="str">
        <f t="shared" si="22"/>
        <v>Error?</v>
      </c>
    </row>
    <row r="1511" spans="1:4" x14ac:dyDescent="0.2">
      <c r="A1511" s="5">
        <v>1450</v>
      </c>
      <c r="B1511" s="1832">
        <f>'Expenditures 15-22'!K280</f>
        <v>18117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442453</v>
      </c>
      <c r="C1517" s="2" t="s">
        <v>569</v>
      </c>
      <c r="D1517" s="2" t="str">
        <f t="shared" si="22"/>
        <v>Error?</v>
      </c>
    </row>
    <row r="1518" spans="1:4" x14ac:dyDescent="0.2">
      <c r="A1518" s="5">
        <v>1457</v>
      </c>
      <c r="B1518" s="1832">
        <f>'Expenditures 15-22'!K296</f>
        <v>-102914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672736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672736</v>
      </c>
      <c r="C1547" s="2" t="s">
        <v>569</v>
      </c>
      <c r="D1547" s="2" t="str">
        <f t="shared" si="23"/>
        <v>Error?</v>
      </c>
    </row>
    <row r="1548" spans="1:4" x14ac:dyDescent="0.2">
      <c r="A1548" s="5">
        <v>1487</v>
      </c>
      <c r="B1548" s="1832">
        <f>'Expenditures 15-22'!G312</f>
        <v>672736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672736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672736</v>
      </c>
      <c r="C1559" s="2" t="s">
        <v>569</v>
      </c>
      <c r="D1559" s="2" t="str">
        <f t="shared" si="23"/>
        <v>Error?</v>
      </c>
    </row>
    <row r="1560" spans="1:4" x14ac:dyDescent="0.2">
      <c r="A1560" s="5">
        <v>1499</v>
      </c>
      <c r="B1560" s="1832">
        <f>'Expenditures 15-22'!K312</f>
        <v>672736</v>
      </c>
      <c r="C1560" s="2" t="s">
        <v>569</v>
      </c>
      <c r="D1560" s="2" t="str">
        <f t="shared" si="23"/>
        <v>Error?</v>
      </c>
    </row>
    <row r="1561" spans="1:4" x14ac:dyDescent="0.2">
      <c r="A1561" s="5">
        <v>1500</v>
      </c>
      <c r="B1561" s="1832">
        <f>'Expenditures 15-22'!K313</f>
        <v>-672736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4699164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5652276</v>
      </c>
      <c r="C1630" s="2" t="s">
        <v>569</v>
      </c>
      <c r="D1630" s="2" t="str">
        <f t="shared" si="24"/>
        <v>Error?</v>
      </c>
    </row>
    <row r="1631" spans="1:4" x14ac:dyDescent="0.2">
      <c r="A1631" s="5">
        <v>1570</v>
      </c>
      <c r="B1631" s="1832">
        <f>'Acct Summary 7-8'!D79</f>
        <v>1834937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3786892</v>
      </c>
      <c r="C1644" s="2" t="s">
        <v>569</v>
      </c>
      <c r="D1644" s="2" t="str">
        <f t="shared" si="24"/>
        <v>Error?</v>
      </c>
    </row>
    <row r="1645" spans="1:4" x14ac:dyDescent="0.2">
      <c r="A1645" s="5">
        <v>1584</v>
      </c>
      <c r="B1645" s="1832">
        <f>'Acct Summary 7-8'!E79</f>
        <v>-107752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438290</v>
      </c>
      <c r="C1658" s="2" t="s">
        <v>569</v>
      </c>
      <c r="D1658" s="2" t="str">
        <f t="shared" si="24"/>
        <v>Error?</v>
      </c>
    </row>
    <row r="1659" spans="1:4" x14ac:dyDescent="0.2">
      <c r="A1659" s="5">
        <v>1598</v>
      </c>
      <c r="B1659" s="1832">
        <f>'Acct Summary 7-8'!F79</f>
        <v>2215630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2246694</v>
      </c>
      <c r="C1672" s="2" t="s">
        <v>569</v>
      </c>
      <c r="D1672" s="2" t="str">
        <f t="shared" si="25"/>
        <v>Error?</v>
      </c>
    </row>
    <row r="1673" spans="1:4" x14ac:dyDescent="0.2">
      <c r="A1673" s="5">
        <v>1612</v>
      </c>
      <c r="B1673" s="1832">
        <f>'Acct Summary 7-8'!G79</f>
        <v>435262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332348</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10412003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8439337</v>
      </c>
      <c r="C1744" s="2" t="s">
        <v>569</v>
      </c>
      <c r="D1744" s="2" t="str">
        <f t="shared" si="26"/>
        <v>Error?</v>
      </c>
    </row>
    <row r="1745" spans="1:5" x14ac:dyDescent="0.2">
      <c r="A1745" s="5">
        <v>1684</v>
      </c>
      <c r="B1745" s="1832">
        <f>'Tax Sched 23'!B5</f>
        <v>1481646</v>
      </c>
      <c r="C1745" s="2" t="s">
        <v>569</v>
      </c>
      <c r="D1745" s="2" t="str">
        <f t="shared" si="26"/>
        <v>Error?</v>
      </c>
    </row>
    <row r="1746" spans="1:5" x14ac:dyDescent="0.2">
      <c r="A1746" s="5">
        <v>1685</v>
      </c>
      <c r="B1746" s="1832">
        <f>'Tax Sched 23'!B6</f>
        <v>915117</v>
      </c>
      <c r="C1746" s="2" t="s">
        <v>569</v>
      </c>
      <c r="D1746" s="2" t="str">
        <f t="shared" si="26"/>
        <v>Error?</v>
      </c>
    </row>
    <row r="1747" spans="1:5" x14ac:dyDescent="0.2">
      <c r="A1747" s="5">
        <v>1686</v>
      </c>
      <c r="B1747" s="1832">
        <f>'Tax Sched 23'!B7</f>
        <v>527161</v>
      </c>
      <c r="C1747" s="2" t="s">
        <v>569</v>
      </c>
      <c r="D1747" s="2" t="str">
        <f t="shared" si="26"/>
        <v>Error?</v>
      </c>
    </row>
    <row r="1748" spans="1:5" x14ac:dyDescent="0.2">
      <c r="A1748" s="5">
        <v>1687</v>
      </c>
      <c r="B1748" s="1832">
        <f>'Tax Sched 23'!B8</f>
        <v>52805</v>
      </c>
      <c r="C1748" s="2" t="s">
        <v>569</v>
      </c>
      <c r="D1748" s="2" t="str">
        <f t="shared" si="26"/>
        <v>Error?</v>
      </c>
    </row>
    <row r="1749" spans="1:5" x14ac:dyDescent="0.2">
      <c r="A1749" s="5">
        <v>1688</v>
      </c>
      <c r="B1749" s="1832">
        <f>'Tax Sched 23'!B10</f>
        <v>59815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886154</v>
      </c>
      <c r="C1752" s="2" t="s">
        <v>569</v>
      </c>
      <c r="D1752" s="2" t="str">
        <f t="shared" si="26"/>
        <v>Error?</v>
      </c>
    </row>
    <row r="1753" spans="1:5" x14ac:dyDescent="0.2">
      <c r="A1753" s="5">
        <v>1692</v>
      </c>
      <c r="B1753" s="1832">
        <f>'Tax Sched 23'!B12</f>
        <v>152330</v>
      </c>
      <c r="C1753" s="2" t="s">
        <v>569</v>
      </c>
      <c r="D1753" s="2" t="str">
        <f t="shared" si="26"/>
        <v>Error?</v>
      </c>
    </row>
    <row r="1754" spans="1:5" x14ac:dyDescent="0.2">
      <c r="A1754" s="5">
        <v>1693</v>
      </c>
      <c r="B1754" s="1832">
        <f>'Tax Sched 23'!B14</f>
        <v>105466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12899477</v>
      </c>
      <c r="C1759" s="2" t="s">
        <v>569</v>
      </c>
      <c r="D1759" s="2" t="str">
        <f t="shared" si="26"/>
        <v>Error?</v>
      </c>
    </row>
    <row r="1760" spans="1:5" x14ac:dyDescent="0.2">
      <c r="A1760" s="5">
        <v>1699</v>
      </c>
      <c r="B1760" s="1832">
        <f>'Tax Sched 23'!D4</f>
        <v>4797682</v>
      </c>
      <c r="C1760" s="2" t="s">
        <v>569</v>
      </c>
      <c r="D1760" s="2" t="str">
        <f t="shared" si="26"/>
        <v>Error?</v>
      </c>
    </row>
    <row r="1761" spans="1:7" x14ac:dyDescent="0.2">
      <c r="A1761" s="5">
        <v>1700</v>
      </c>
      <c r="B1761" s="1832">
        <f>'Tax Sched 23'!D5</f>
        <v>907067</v>
      </c>
      <c r="C1761" s="2" t="s">
        <v>569</v>
      </c>
      <c r="D1761" s="2" t="str">
        <f t="shared" si="26"/>
        <v>Error?</v>
      </c>
    </row>
    <row r="1762" spans="1:7" s="8" customFormat="1" x14ac:dyDescent="0.2">
      <c r="A1762" s="5">
        <v>1701</v>
      </c>
      <c r="B1762" s="1832">
        <f>'Tax Sched 23'!D6</f>
        <v>528533</v>
      </c>
      <c r="C1762" s="2" t="s">
        <v>569</v>
      </c>
      <c r="D1762" s="2" t="str">
        <f t="shared" si="26"/>
        <v>Error?</v>
      </c>
      <c r="E1762" s="9"/>
      <c r="G1762"/>
    </row>
    <row r="1763" spans="1:7" x14ac:dyDescent="0.2">
      <c r="A1763" s="5">
        <v>1702</v>
      </c>
      <c r="B1763" s="1832">
        <f>'Tax Sched 23'!D7</f>
        <v>321857</v>
      </c>
      <c r="C1763" s="2" t="s">
        <v>569</v>
      </c>
      <c r="D1763" s="2" t="str">
        <f t="shared" si="26"/>
        <v>Error?</v>
      </c>
    </row>
    <row r="1764" spans="1:7" x14ac:dyDescent="0.2">
      <c r="A1764" s="5">
        <v>1703</v>
      </c>
      <c r="B1764" s="1832">
        <f>'Tax Sched 23'!D8</f>
        <v>32243</v>
      </c>
      <c r="C1764" s="2" t="s">
        <v>569</v>
      </c>
      <c r="D1764" s="2" t="str">
        <f t="shared" si="26"/>
        <v>Error?</v>
      </c>
    </row>
    <row r="1765" spans="1:7" x14ac:dyDescent="0.2">
      <c r="A1765" s="5">
        <v>1704</v>
      </c>
      <c r="B1765" s="1832">
        <f>'Tax Sched 23'!D10</f>
        <v>35162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520866</v>
      </c>
      <c r="C1768" s="2" t="s">
        <v>569</v>
      </c>
      <c r="D1768" s="2" t="str">
        <f t="shared" si="26"/>
        <v>Error?</v>
      </c>
    </row>
    <row r="1769" spans="1:7" x14ac:dyDescent="0.2">
      <c r="A1769" s="5">
        <v>1708</v>
      </c>
      <c r="B1769" s="1832">
        <f>'Tax Sched 23'!D12</f>
        <v>90749</v>
      </c>
      <c r="C1769" s="2" t="s">
        <v>569</v>
      </c>
      <c r="D1769" s="2" t="str">
        <f t="shared" si="26"/>
        <v>Error?</v>
      </c>
    </row>
    <row r="1770" spans="1:7" x14ac:dyDescent="0.2">
      <c r="A1770" s="5">
        <v>1709</v>
      </c>
      <c r="B1770" s="1832">
        <f>'Tax Sched 23'!D14</f>
        <v>64342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7465267</v>
      </c>
      <c r="C1775" s="2" t="s">
        <v>569</v>
      </c>
      <c r="D1775" s="2" t="str">
        <f t="shared" si="26"/>
        <v>Error?</v>
      </c>
    </row>
    <row r="1776" spans="1:7" x14ac:dyDescent="0.2">
      <c r="A1776" s="5">
        <v>1715</v>
      </c>
      <c r="B1776" s="1832">
        <f>'Tax Sched 23'!C4</f>
        <v>3641655</v>
      </c>
      <c r="D1776" s="2" t="str">
        <f t="shared" si="26"/>
        <v>Error?</v>
      </c>
    </row>
    <row r="1777" spans="1:4" x14ac:dyDescent="0.2">
      <c r="A1777" s="5">
        <v>1716</v>
      </c>
      <c r="B1777" s="1832">
        <f>'Tax Sched 23'!C5</f>
        <v>574579</v>
      </c>
      <c r="D1777" s="2" t="str">
        <f t="shared" si="26"/>
        <v>Error?</v>
      </c>
    </row>
    <row r="1778" spans="1:4" x14ac:dyDescent="0.2">
      <c r="A1778" s="5">
        <v>1717</v>
      </c>
      <c r="B1778" s="1832">
        <f>'Tax Sched 23'!C6</f>
        <v>386584</v>
      </c>
      <c r="D1778" s="2" t="str">
        <f t="shared" si="26"/>
        <v>Error?</v>
      </c>
    </row>
    <row r="1779" spans="1:4" x14ac:dyDescent="0.2">
      <c r="A1779" s="5">
        <v>1718</v>
      </c>
      <c r="B1779" s="1832">
        <f>'Tax Sched 23'!C7</f>
        <v>205304</v>
      </c>
      <c r="D1779" s="2" t="str">
        <f t="shared" si="26"/>
        <v>Error?</v>
      </c>
    </row>
    <row r="1780" spans="1:4" x14ac:dyDescent="0.2">
      <c r="A1780" s="5">
        <v>1719</v>
      </c>
      <c r="B1780" s="1832">
        <f>'Tax Sched 23'!C8</f>
        <v>20562</v>
      </c>
      <c r="D1780" s="2" t="str">
        <f t="shared" si="26"/>
        <v>Error?</v>
      </c>
    </row>
    <row r="1781" spans="1:4" x14ac:dyDescent="0.2">
      <c r="A1781" s="5">
        <v>1720</v>
      </c>
      <c r="B1781" s="1832">
        <f>'Tax Sched 23'!C10</f>
        <v>24653</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365288</v>
      </c>
      <c r="D1784" s="2" t="str">
        <f t="shared" si="26"/>
        <v>Error?</v>
      </c>
    </row>
    <row r="1785" spans="1:4" x14ac:dyDescent="0.2">
      <c r="A1785" s="5">
        <v>1724</v>
      </c>
      <c r="B1785" s="1832">
        <f>'Tax Sched 23'!C12</f>
        <v>61581</v>
      </c>
      <c r="D1785" s="2" t="str">
        <f t="shared" si="26"/>
        <v>Error?</v>
      </c>
    </row>
    <row r="1786" spans="1:4" x14ac:dyDescent="0.2">
      <c r="A1786" s="5">
        <v>1725</v>
      </c>
      <c r="B1786" s="1832">
        <f>'Tax Sched 23'!C14</f>
        <v>41124</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5434210</v>
      </c>
      <c r="C1791" s="2" t="s">
        <v>569</v>
      </c>
      <c r="D1791" s="2" t="str">
        <f t="shared" ref="D1791:D1854" si="27">IF(ISBLANK(B1791),"OK",IF(A1791-B1791=0,"OK","Error?"))</f>
        <v>Error?</v>
      </c>
    </row>
    <row r="1792" spans="1:4" x14ac:dyDescent="0.2">
      <c r="A1792" s="5">
        <v>1731</v>
      </c>
      <c r="B1792" s="1832">
        <f>'Tax Sched 23'!F4</f>
        <v>4364975</v>
      </c>
      <c r="C1792" s="2" t="s">
        <v>569</v>
      </c>
      <c r="D1792" s="2" t="str">
        <f t="shared" si="27"/>
        <v>Error?</v>
      </c>
    </row>
    <row r="1793" spans="1:4" x14ac:dyDescent="0.2">
      <c r="A1793" s="5">
        <v>1732</v>
      </c>
      <c r="B1793" s="1832">
        <f>'Tax Sched 23'!F5</f>
        <v>688703</v>
      </c>
      <c r="C1793" s="2" t="s">
        <v>569</v>
      </c>
      <c r="D1793" s="2" t="str">
        <f t="shared" si="27"/>
        <v>Error?</v>
      </c>
    </row>
    <row r="1794" spans="1:4" x14ac:dyDescent="0.2">
      <c r="A1794" s="5">
        <v>1733</v>
      </c>
      <c r="B1794" s="1832">
        <f>'Tax Sched 23'!F6</f>
        <v>463370</v>
      </c>
      <c r="C1794" s="2" t="s">
        <v>569</v>
      </c>
      <c r="D1794" s="2" t="str">
        <f t="shared" si="27"/>
        <v>Error?</v>
      </c>
    </row>
    <row r="1795" spans="1:4" x14ac:dyDescent="0.2">
      <c r="A1795" s="5">
        <v>1734</v>
      </c>
      <c r="B1795" s="1832">
        <f>'Tax Sched 23'!F7</f>
        <v>246082</v>
      </c>
      <c r="C1795" s="2" t="s">
        <v>569</v>
      </c>
      <c r="D1795" s="2" t="str">
        <f t="shared" si="27"/>
        <v>Error?</v>
      </c>
    </row>
    <row r="1796" spans="1:4" x14ac:dyDescent="0.2">
      <c r="A1796" s="5">
        <v>1735</v>
      </c>
      <c r="B1796" s="1832">
        <f>'Tax Sched 23'!F8</f>
        <v>24646</v>
      </c>
      <c r="C1796" s="2" t="s">
        <v>569</v>
      </c>
      <c r="D1796" s="2" t="str">
        <f t="shared" si="27"/>
        <v>Error?</v>
      </c>
    </row>
    <row r="1797" spans="1:4" x14ac:dyDescent="0.2">
      <c r="A1797" s="5">
        <v>1736</v>
      </c>
      <c r="B1797" s="1832">
        <f>'Tax Sched 23'!F10</f>
        <v>29550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437843</v>
      </c>
      <c r="C1800" s="2" t="s">
        <v>569</v>
      </c>
      <c r="D1800" s="2" t="str">
        <f t="shared" si="27"/>
        <v>Error?</v>
      </c>
    </row>
    <row r="1801" spans="1:4" x14ac:dyDescent="0.2">
      <c r="A1801" s="5">
        <v>1740</v>
      </c>
      <c r="B1801" s="1832">
        <f>'Tax Sched 23'!F12</f>
        <v>73812</v>
      </c>
      <c r="C1801" s="2" t="s">
        <v>569</v>
      </c>
      <c r="D1801" s="2" t="str">
        <f t="shared" si="27"/>
        <v>Error?</v>
      </c>
    </row>
    <row r="1802" spans="1:4" x14ac:dyDescent="0.2">
      <c r="A1802" s="5">
        <v>1741</v>
      </c>
      <c r="B1802" s="1832">
        <f>'Tax Sched 23'!F14</f>
        <v>49292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6513575</v>
      </c>
      <c r="C1807" s="2" t="s">
        <v>569</v>
      </c>
      <c r="D1807" s="2" t="str">
        <f t="shared" si="27"/>
        <v>Error?</v>
      </c>
    </row>
    <row r="1808" spans="1:4" x14ac:dyDescent="0.2">
      <c r="A1808" s="5">
        <v>1747</v>
      </c>
      <c r="B1808" s="1832">
        <f>'Tax Sched 23'!E4</f>
        <v>8006630</v>
      </c>
      <c r="D1808" s="2" t="str">
        <f t="shared" si="27"/>
        <v>Error?</v>
      </c>
    </row>
    <row r="1809" spans="1:4" x14ac:dyDescent="0.2">
      <c r="A1809" s="5">
        <v>1748</v>
      </c>
      <c r="B1809" s="1832">
        <f>'Tax Sched 23'!E5</f>
        <v>1263282</v>
      </c>
      <c r="D1809" s="2" t="str">
        <f t="shared" si="27"/>
        <v>Error?</v>
      </c>
    </row>
    <row r="1810" spans="1:4" x14ac:dyDescent="0.2">
      <c r="A1810" s="5">
        <v>1749</v>
      </c>
      <c r="B1810" s="1832">
        <f>'Tax Sched 23'!E6</f>
        <v>849954</v>
      </c>
      <c r="D1810" s="2" t="str">
        <f t="shared" si="27"/>
        <v>Error?</v>
      </c>
    </row>
    <row r="1811" spans="1:4" x14ac:dyDescent="0.2">
      <c r="A1811" s="5">
        <v>1750</v>
      </c>
      <c r="B1811" s="1832">
        <f>'Tax Sched 23'!E7</f>
        <v>451386</v>
      </c>
      <c r="D1811" s="2" t="str">
        <f t="shared" si="27"/>
        <v>Error?</v>
      </c>
    </row>
    <row r="1812" spans="1:4" x14ac:dyDescent="0.2">
      <c r="A1812" s="5">
        <v>1751</v>
      </c>
      <c r="B1812" s="1832">
        <f>'Tax Sched 23'!E8</f>
        <v>45208</v>
      </c>
      <c r="D1812" s="2" t="str">
        <f t="shared" si="27"/>
        <v>Error?</v>
      </c>
    </row>
    <row r="1813" spans="1:4" x14ac:dyDescent="0.2">
      <c r="A1813" s="5">
        <v>1752</v>
      </c>
      <c r="B1813" s="1832">
        <f>'Tax Sched 23'!E10</f>
        <v>54203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803131</v>
      </c>
      <c r="D1816" s="2" t="str">
        <f t="shared" si="27"/>
        <v>Error?</v>
      </c>
    </row>
    <row r="1817" spans="1:4" x14ac:dyDescent="0.2">
      <c r="A1817" s="5">
        <v>1756</v>
      </c>
      <c r="B1817" s="1832">
        <f>'Tax Sched 23'!E12</f>
        <v>135393</v>
      </c>
      <c r="D1817" s="2" t="str">
        <f t="shared" si="27"/>
        <v>Error?</v>
      </c>
    </row>
    <row r="1818" spans="1:4" x14ac:dyDescent="0.2">
      <c r="A1818" s="5">
        <v>1757</v>
      </c>
      <c r="B1818" s="1832">
        <f>'Tax Sched 23'!E14</f>
        <v>90416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11947785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5965000</v>
      </c>
      <c r="C1939" s="2" t="s">
        <v>569</v>
      </c>
      <c r="D1939" s="2" t="str">
        <f t="shared" si="29"/>
        <v>Error?</v>
      </c>
    </row>
    <row r="1940" spans="1:5" x14ac:dyDescent="0.2">
      <c r="A1940" s="5">
        <v>1879</v>
      </c>
      <c r="B1940" s="1832">
        <f>'Short-Term Long-Term Debt 24'!F49</f>
        <v>10800000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105446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105446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105446</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767974</v>
      </c>
      <c r="D2008" s="2" t="str">
        <f t="shared" si="30"/>
        <v>Error?</v>
      </c>
    </row>
    <row r="2009" spans="1:4" x14ac:dyDescent="0.2">
      <c r="A2009" s="5">
        <v>1948</v>
      </c>
      <c r="B2009" s="1832">
        <f>'Cap Outlay Deprec 26'!C8</f>
        <v>38114120</v>
      </c>
      <c r="D2009" s="2" t="str">
        <f t="shared" si="30"/>
        <v>Error?</v>
      </c>
    </row>
    <row r="2010" spans="1:4" x14ac:dyDescent="0.2">
      <c r="A2010" s="5">
        <v>1949</v>
      </c>
      <c r="B2010" s="1832">
        <f>'Cap Outlay Deprec 26'!C10</f>
        <v>835659</v>
      </c>
      <c r="D2010" s="2" t="str">
        <f t="shared" si="30"/>
        <v>Error?</v>
      </c>
    </row>
    <row r="2011" spans="1:4" x14ac:dyDescent="0.2">
      <c r="A2011" s="5">
        <v>1950</v>
      </c>
      <c r="B2011" s="1832">
        <f>'Cap Outlay Deprec 26'!C12</f>
        <v>1365353</v>
      </c>
      <c r="D2011" s="2" t="str">
        <f t="shared" si="30"/>
        <v>Error?</v>
      </c>
    </row>
    <row r="2012" spans="1:4" x14ac:dyDescent="0.2">
      <c r="A2012" s="5">
        <v>1951</v>
      </c>
      <c r="B2012" s="1832">
        <f>'Cap Outlay Deprec 26'!C13</f>
        <v>1760903</v>
      </c>
      <c r="D2012" s="2" t="str">
        <f t="shared" si="30"/>
        <v>Error?</v>
      </c>
    </row>
    <row r="2013" spans="1:4" x14ac:dyDescent="0.2">
      <c r="A2013" s="5">
        <v>1952</v>
      </c>
      <c r="B2013" s="1832">
        <f>'Cap Outlay Deprec 26'!C16</f>
        <v>42871673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528190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90888</v>
      </c>
      <c r="D2017" s="2" t="str">
        <f t="shared" si="30"/>
        <v>Error?</v>
      </c>
    </row>
    <row r="2018" spans="1:4" x14ac:dyDescent="0.2">
      <c r="A2018" s="5">
        <v>1957</v>
      </c>
      <c r="B2018" s="1832">
        <f>'Cap Outlay Deprec 26'!D13</f>
        <v>402530</v>
      </c>
      <c r="D2018" s="2" t="str">
        <f t="shared" si="30"/>
        <v>Error?</v>
      </c>
    </row>
    <row r="2019" spans="1:4" x14ac:dyDescent="0.2">
      <c r="A2019" s="5">
        <v>1958</v>
      </c>
      <c r="B2019" s="1832">
        <f>'Cap Outlay Deprec 26'!D16</f>
        <v>3382927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89513</v>
      </c>
      <c r="D2023" s="2" t="str">
        <f t="shared" si="30"/>
        <v>Error?</v>
      </c>
    </row>
    <row r="2024" spans="1:4" x14ac:dyDescent="0.2">
      <c r="A2024" s="5">
        <v>1963</v>
      </c>
      <c r="B2024" s="1832">
        <f>'Cap Outlay Deprec 26'!E13</f>
        <v>473933</v>
      </c>
      <c r="D2024" s="2" t="str">
        <f t="shared" si="30"/>
        <v>Error?</v>
      </c>
    </row>
    <row r="2025" spans="1:4" x14ac:dyDescent="0.2">
      <c r="A2025" s="5">
        <v>1964</v>
      </c>
      <c r="B2025" s="1832">
        <f>'Cap Outlay Deprec 26'!E16</f>
        <v>591110</v>
      </c>
      <c r="C2025" s="2" t="s">
        <v>569</v>
      </c>
      <c r="D2025" s="2" t="str">
        <f t="shared" si="30"/>
        <v>Error?</v>
      </c>
    </row>
    <row r="2026" spans="1:4" x14ac:dyDescent="0.2">
      <c r="A2026" s="5">
        <v>1965</v>
      </c>
      <c r="B2026" s="1832">
        <f>'Cap Outlay Deprec 26'!F5</f>
        <v>767974</v>
      </c>
      <c r="C2026" s="2" t="s">
        <v>569</v>
      </c>
      <c r="D2026" s="2" t="str">
        <f t="shared" si="30"/>
        <v>Error?</v>
      </c>
    </row>
    <row r="2027" spans="1:4" x14ac:dyDescent="0.2">
      <c r="A2027" s="5">
        <v>1966</v>
      </c>
      <c r="B2027" s="1832">
        <f>'Cap Outlay Deprec 26'!F8</f>
        <v>38642310</v>
      </c>
      <c r="C2027" s="2" t="s">
        <v>569</v>
      </c>
      <c r="D2027" s="2" t="str">
        <f t="shared" si="30"/>
        <v>Error?</v>
      </c>
    </row>
    <row r="2028" spans="1:4" x14ac:dyDescent="0.2">
      <c r="A2028" s="5">
        <v>1967</v>
      </c>
      <c r="B2028" s="1832">
        <f>'Cap Outlay Deprec 26'!F10</f>
        <v>835659</v>
      </c>
      <c r="C2028" s="2" t="s">
        <v>569</v>
      </c>
      <c r="D2028" s="2" t="str">
        <f t="shared" si="30"/>
        <v>Error?</v>
      </c>
    </row>
    <row r="2029" spans="1:4" x14ac:dyDescent="0.2">
      <c r="A2029" s="5">
        <v>1968</v>
      </c>
      <c r="B2029" s="1832">
        <f>'Cap Outlay Deprec 26'!F12</f>
        <v>1366728</v>
      </c>
      <c r="C2029" s="2" t="s">
        <v>569</v>
      </c>
      <c r="D2029" s="2" t="str">
        <f t="shared" si="30"/>
        <v>Error?</v>
      </c>
    </row>
    <row r="2030" spans="1:4" x14ac:dyDescent="0.2">
      <c r="A2030" s="5">
        <v>1969</v>
      </c>
      <c r="B2030" s="1832">
        <f>'Cap Outlay Deprec 26'!F13</f>
        <v>1689500</v>
      </c>
      <c r="C2030" s="2" t="s">
        <v>569</v>
      </c>
      <c r="D2030" s="2" t="str">
        <f t="shared" si="30"/>
        <v>Error?</v>
      </c>
    </row>
    <row r="2031" spans="1:4" x14ac:dyDescent="0.2">
      <c r="A2031" s="5">
        <v>1970</v>
      </c>
      <c r="B2031" s="1832">
        <f>'Cap Outlay Deprec 26'!F16</f>
        <v>45663490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11838604</v>
      </c>
      <c r="D2033" s="2" t="str">
        <f t="shared" si="30"/>
        <v>Error?</v>
      </c>
    </row>
    <row r="2034" spans="1:4" x14ac:dyDescent="0.2">
      <c r="A2034" s="5">
        <v>1973</v>
      </c>
      <c r="B2034" s="1832">
        <f>'Cap Outlay Deprec 26'!H10</f>
        <v>565892</v>
      </c>
      <c r="D2034" s="2" t="str">
        <f t="shared" si="30"/>
        <v>Error?</v>
      </c>
    </row>
    <row r="2035" spans="1:4" x14ac:dyDescent="0.2">
      <c r="A2035" s="5">
        <v>1974</v>
      </c>
      <c r="B2035" s="1832">
        <f>'Cap Outlay Deprec 26'!H12</f>
        <v>845043</v>
      </c>
      <c r="D2035" s="2" t="str">
        <f t="shared" si="30"/>
        <v>Error?</v>
      </c>
    </row>
    <row r="2036" spans="1:4" x14ac:dyDescent="0.2">
      <c r="A2036" s="5">
        <v>1975</v>
      </c>
      <c r="B2036" s="1832">
        <f>'Cap Outlay Deprec 26'!H13</f>
        <v>1208670</v>
      </c>
      <c r="D2036" s="2" t="str">
        <f t="shared" si="30"/>
        <v>Error?</v>
      </c>
    </row>
    <row r="2037" spans="1:4" x14ac:dyDescent="0.2">
      <c r="A2037" s="5">
        <v>1976</v>
      </c>
      <c r="B2037" s="1832">
        <f>'Cap Outlay Deprec 26'!H16</f>
        <v>14458209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770149</v>
      </c>
      <c r="D2039" s="2" t="str">
        <f t="shared" si="30"/>
        <v>Error?</v>
      </c>
    </row>
    <row r="2040" spans="1:4" x14ac:dyDescent="0.2">
      <c r="A2040" s="5">
        <v>1979</v>
      </c>
      <c r="B2040" s="1832">
        <f>'Cap Outlay Deprec 26'!I10</f>
        <v>37594</v>
      </c>
      <c r="D2040" s="2" t="str">
        <f t="shared" si="30"/>
        <v>Error?</v>
      </c>
    </row>
    <row r="2041" spans="1:4" x14ac:dyDescent="0.2">
      <c r="A2041" s="5">
        <v>1980</v>
      </c>
      <c r="B2041" s="1832">
        <f>'Cap Outlay Deprec 26'!I12</f>
        <v>103616</v>
      </c>
      <c r="D2041" s="2" t="str">
        <f t="shared" si="30"/>
        <v>Error?</v>
      </c>
    </row>
    <row r="2042" spans="1:4" x14ac:dyDescent="0.2">
      <c r="A2042" s="5">
        <v>1981</v>
      </c>
      <c r="B2042" s="1832">
        <f>'Cap Outlay Deprec 26'!I13</f>
        <v>250888</v>
      </c>
      <c r="D2042" s="2" t="str">
        <f t="shared" si="30"/>
        <v>Error?</v>
      </c>
    </row>
    <row r="2043" spans="1:4" x14ac:dyDescent="0.2">
      <c r="A2043" s="5">
        <v>1982</v>
      </c>
      <c r="B2043" s="1832">
        <f>'Cap Outlay Deprec 26'!I16</f>
        <v>1162247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89513</v>
      </c>
      <c r="D2047" s="2" t="str">
        <f t="shared" ref="D2047:D2110" si="31">IF(ISBLANK(B2047),"OK",IF(A2047-B2047=0,"OK","Error?"))</f>
        <v>Error?</v>
      </c>
    </row>
    <row r="2048" spans="1:4" x14ac:dyDescent="0.2">
      <c r="A2048" s="5">
        <v>1987</v>
      </c>
      <c r="B2048" s="1832">
        <f>'Cap Outlay Deprec 26'!J13</f>
        <v>437133</v>
      </c>
      <c r="D2048" s="2" t="str">
        <f t="shared" si="31"/>
        <v>Error?</v>
      </c>
    </row>
    <row r="2049" spans="1:4" x14ac:dyDescent="0.2">
      <c r="A2049" s="5">
        <v>1988</v>
      </c>
      <c r="B2049" s="1832">
        <f>'Cap Outlay Deprec 26'!J16</f>
        <v>526646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12608753</v>
      </c>
      <c r="C2051" s="2" t="s">
        <v>569</v>
      </c>
      <c r="D2051" s="2" t="str">
        <f t="shared" si="31"/>
        <v>Error?</v>
      </c>
    </row>
    <row r="2052" spans="1:4" x14ac:dyDescent="0.2">
      <c r="A2052" s="5">
        <v>1991</v>
      </c>
      <c r="B2052" s="1832">
        <f>'Cap Outlay Deprec 26'!K10</f>
        <v>603486</v>
      </c>
      <c r="C2052" s="2" t="s">
        <v>569</v>
      </c>
      <c r="D2052" s="2" t="str">
        <f t="shared" si="31"/>
        <v>Error?</v>
      </c>
    </row>
    <row r="2053" spans="1:4" x14ac:dyDescent="0.2">
      <c r="A2053" s="5">
        <v>1992</v>
      </c>
      <c r="B2053" s="1832">
        <f>'Cap Outlay Deprec 26'!K12</f>
        <v>859146</v>
      </c>
      <c r="C2053" s="2" t="s">
        <v>569</v>
      </c>
      <c r="D2053" s="2" t="str">
        <f t="shared" si="31"/>
        <v>Error?</v>
      </c>
    </row>
    <row r="2054" spans="1:4" x14ac:dyDescent="0.2">
      <c r="A2054" s="5">
        <v>1993</v>
      </c>
      <c r="B2054" s="1832">
        <f>'Cap Outlay Deprec 26'!K13</f>
        <v>1022425</v>
      </c>
      <c r="C2054" s="2" t="s">
        <v>569</v>
      </c>
      <c r="D2054" s="2" t="str">
        <f t="shared" si="31"/>
        <v>Error?</v>
      </c>
    </row>
    <row r="2055" spans="1:4" x14ac:dyDescent="0.2">
      <c r="A2055" s="5">
        <v>1994</v>
      </c>
      <c r="B2055" s="1832">
        <f>'Cap Outlay Deprec 26'!K16</f>
        <v>15093810</v>
      </c>
      <c r="C2055" s="2" t="s">
        <v>569</v>
      </c>
      <c r="D2055" s="2" t="str">
        <f t="shared" si="31"/>
        <v>Error?</v>
      </c>
    </row>
    <row r="2056" spans="1:4" x14ac:dyDescent="0.2">
      <c r="A2056" s="5">
        <v>1995</v>
      </c>
      <c r="B2056" s="1832">
        <f>'Cap Outlay Deprec 26'!L5</f>
        <v>767974</v>
      </c>
      <c r="C2056" s="2" t="s">
        <v>569</v>
      </c>
      <c r="D2056" s="2" t="str">
        <f t="shared" si="31"/>
        <v>Error?</v>
      </c>
    </row>
    <row r="2057" spans="1:4" x14ac:dyDescent="0.2">
      <c r="A2057" s="5">
        <v>1996</v>
      </c>
      <c r="B2057" s="1832">
        <f>'Cap Outlay Deprec 26'!L8</f>
        <v>26033557</v>
      </c>
      <c r="C2057" s="2" t="s">
        <v>569</v>
      </c>
      <c r="D2057" s="2" t="str">
        <f t="shared" si="31"/>
        <v>Error?</v>
      </c>
    </row>
    <row r="2058" spans="1:4" x14ac:dyDescent="0.2">
      <c r="A2058" s="5">
        <v>1997</v>
      </c>
      <c r="B2058" s="1832">
        <f>'Cap Outlay Deprec 26'!L10</f>
        <v>232173</v>
      </c>
      <c r="C2058" s="2" t="s">
        <v>569</v>
      </c>
      <c r="D2058" s="2" t="str">
        <f t="shared" si="31"/>
        <v>Error?</v>
      </c>
    </row>
    <row r="2059" spans="1:4" x14ac:dyDescent="0.2">
      <c r="A2059" s="5">
        <v>1998</v>
      </c>
      <c r="B2059" s="1832">
        <f>'Cap Outlay Deprec 26'!L12</f>
        <v>507582</v>
      </c>
      <c r="C2059" s="2" t="s">
        <v>569</v>
      </c>
      <c r="D2059" s="2" t="str">
        <f t="shared" si="31"/>
        <v>Error?</v>
      </c>
    </row>
    <row r="2060" spans="1:4" x14ac:dyDescent="0.2">
      <c r="A2060" s="5">
        <v>1999</v>
      </c>
      <c r="B2060" s="1832">
        <f>'Cap Outlay Deprec 26'!L13</f>
        <v>667075</v>
      </c>
      <c r="C2060" s="2" t="s">
        <v>569</v>
      </c>
      <c r="D2060" s="2" t="str">
        <f t="shared" si="31"/>
        <v>Error?</v>
      </c>
    </row>
    <row r="2061" spans="1:4" x14ac:dyDescent="0.2">
      <c r="A2061" s="5">
        <v>2000</v>
      </c>
      <c r="B2061" s="1832">
        <f>'Cap Outlay Deprec 26'!L16</f>
        <v>30569680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493466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493466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10581</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10581</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3800000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4767</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10412003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9484352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1895593</v>
      </c>
      <c r="C2553" s="2" t="s">
        <v>569</v>
      </c>
      <c r="D2553" s="2" t="str">
        <f t="shared" si="38"/>
        <v>Error?</v>
      </c>
    </row>
    <row r="2554" spans="1:4" x14ac:dyDescent="0.2">
      <c r="A2554" s="5">
        <v>2493</v>
      </c>
      <c r="B2554" s="1832">
        <f>'Acct Summary 7-8'!C7</f>
        <v>496894</v>
      </c>
      <c r="C2554" s="2" t="s">
        <v>569</v>
      </c>
      <c r="D2554" s="2" t="str">
        <f t="shared" si="38"/>
        <v>Error?</v>
      </c>
    </row>
    <row r="2555" spans="1:4" x14ac:dyDescent="0.2">
      <c r="A2555" s="5">
        <v>2494</v>
      </c>
      <c r="B2555" s="1832">
        <f>'Acct Summary 7-8'!C8</f>
        <v>11970549</v>
      </c>
      <c r="C2555" s="2" t="s">
        <v>569</v>
      </c>
      <c r="D2555" s="2" t="str">
        <f t="shared" si="38"/>
        <v>Error?</v>
      </c>
    </row>
    <row r="2556" spans="1:4" x14ac:dyDescent="0.2">
      <c r="A2556" s="5">
        <v>2495</v>
      </c>
      <c r="B2556" s="1832">
        <f>'Acct Summary 7-8'!C12</f>
        <v>7690462</v>
      </c>
      <c r="C2556" s="2" t="s">
        <v>569</v>
      </c>
      <c r="D2556" s="2" t="str">
        <f t="shared" si="38"/>
        <v>Error?</v>
      </c>
    </row>
    <row r="2557" spans="1:4" x14ac:dyDescent="0.2">
      <c r="A2557" s="5">
        <v>2496</v>
      </c>
      <c r="B2557" s="1832">
        <f>'Acct Summary 7-8'!C13</f>
        <v>2542041</v>
      </c>
      <c r="C2557" s="2" t="s">
        <v>569</v>
      </c>
      <c r="D2557" s="2" t="str">
        <f t="shared" si="38"/>
        <v>Error?</v>
      </c>
    </row>
    <row r="2558" spans="1:4" x14ac:dyDescent="0.2">
      <c r="A2558" s="5">
        <v>2497</v>
      </c>
      <c r="B2558" s="1832">
        <f>'Acct Summary 7-8'!C14</f>
        <v>237331</v>
      </c>
      <c r="C2558" s="2" t="s">
        <v>569</v>
      </c>
      <c r="D2558" s="2" t="str">
        <f t="shared" si="38"/>
        <v>Error?</v>
      </c>
    </row>
    <row r="2559" spans="1:4" x14ac:dyDescent="0.2">
      <c r="A2559" s="5">
        <v>2498</v>
      </c>
      <c r="B2559" s="1832">
        <f>'Acct Summary 7-8'!C15</f>
        <v>502603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10972437</v>
      </c>
      <c r="C2561" s="2" t="s">
        <v>569</v>
      </c>
      <c r="D2561" s="2" t="str">
        <f t="shared" si="39"/>
        <v>Error?</v>
      </c>
    </row>
    <row r="2562" spans="1:4" x14ac:dyDescent="0.2">
      <c r="A2562" s="5">
        <v>2501</v>
      </c>
      <c r="B2562" s="1832">
        <f>'Acct Summary 7-8'!C20</f>
        <v>998112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1515944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1515944</v>
      </c>
      <c r="C2568" s="2" t="s">
        <v>569</v>
      </c>
      <c r="D2568" s="2" t="str">
        <f t="shared" si="39"/>
        <v>Error?</v>
      </c>
    </row>
    <row r="2569" spans="1:4" x14ac:dyDescent="0.2">
      <c r="A2569" s="5">
        <v>2508</v>
      </c>
      <c r="B2569" s="1832">
        <f>'Acct Summary 7-8'!D13</f>
        <v>3353408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10581</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3363989</v>
      </c>
      <c r="C2573" s="2" t="s">
        <v>569</v>
      </c>
      <c r="D2573" s="2" t="str">
        <f t="shared" si="39"/>
        <v>Error?</v>
      </c>
    </row>
    <row r="2574" spans="1:4" x14ac:dyDescent="0.2">
      <c r="A2574" s="5">
        <v>2513</v>
      </c>
      <c r="B2574" s="1832">
        <f>'Acct Summary 7-8'!D20</f>
        <v>-1848045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531233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450927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982160</v>
      </c>
      <c r="C2595" s="2" t="s">
        <v>569</v>
      </c>
      <c r="D2595" s="2" t="str">
        <f t="shared" si="39"/>
        <v>Error?</v>
      </c>
    </row>
    <row r="2596" spans="1:4" x14ac:dyDescent="0.2">
      <c r="A2596" s="5">
        <v>2535</v>
      </c>
      <c r="B2596" s="1832">
        <f>'Acct Summary 7-8'!F13</f>
        <v>996096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996096</v>
      </c>
      <c r="C2600" s="2" t="s">
        <v>569</v>
      </c>
      <c r="D2600" s="2" t="str">
        <f t="shared" si="39"/>
        <v>Error?</v>
      </c>
    </row>
    <row r="2601" spans="1:4" x14ac:dyDescent="0.2">
      <c r="A2601" s="5">
        <v>2540</v>
      </c>
      <c r="B2601" s="1832">
        <f>'Acct Summary 7-8'!F20</f>
        <v>-13936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339539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339539</v>
      </c>
      <c r="C2606" s="2" t="s">
        <v>569</v>
      </c>
      <c r="D2606" s="2" t="str">
        <f t="shared" si="39"/>
        <v>Error?</v>
      </c>
    </row>
    <row r="2607" spans="1:4" x14ac:dyDescent="0.2">
      <c r="A2607" s="5">
        <v>2546</v>
      </c>
      <c r="B2607" s="1832">
        <f>'Acct Summary 7-8'!G12</f>
        <v>161245</v>
      </c>
      <c r="C2607" s="2" t="s">
        <v>569</v>
      </c>
      <c r="D2607" s="2" t="str">
        <f t="shared" si="39"/>
        <v>Error?</v>
      </c>
    </row>
    <row r="2608" spans="1:4" x14ac:dyDescent="0.2">
      <c r="A2608" s="5">
        <v>2547</v>
      </c>
      <c r="B2608" s="1832">
        <f>'Acct Summary 7-8'!G13</f>
        <v>263091</v>
      </c>
      <c r="C2608" s="2" t="s">
        <v>569</v>
      </c>
      <c r="D2608" s="2" t="str">
        <f t="shared" si="39"/>
        <v>Error?</v>
      </c>
    </row>
    <row r="2609" spans="1:4" x14ac:dyDescent="0.2">
      <c r="A2609" s="5">
        <v>2548</v>
      </c>
      <c r="B2609" s="1832">
        <f>'Acct Summary 7-8'!G14</f>
        <v>18117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442453</v>
      </c>
      <c r="C2612" s="2" t="s">
        <v>569</v>
      </c>
      <c r="D2612" s="2" t="str">
        <f t="shared" si="39"/>
        <v>Error?</v>
      </c>
    </row>
    <row r="2613" spans="1:4" x14ac:dyDescent="0.2">
      <c r="A2613" s="5">
        <v>2552</v>
      </c>
      <c r="B2613" s="1832">
        <f>'Acct Summary 7-8'!G20</f>
        <v>-102914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1593430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1593430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1047388</v>
      </c>
      <c r="C2634" s="2" t="s">
        <v>569</v>
      </c>
      <c r="D2634" s="2" t="str">
        <f t="shared" si="40"/>
        <v>Error?</v>
      </c>
    </row>
    <row r="2635" spans="1:4" x14ac:dyDescent="0.2">
      <c r="A2635" s="5">
        <v>2574</v>
      </c>
      <c r="B2635" s="1832">
        <f>'Acct Summary 7-8'!E17</f>
        <v>1047388</v>
      </c>
      <c r="C2635" s="2" t="s">
        <v>569</v>
      </c>
      <c r="D2635" s="2" t="str">
        <f t="shared" si="40"/>
        <v>Error?</v>
      </c>
    </row>
    <row r="2636" spans="1:4" x14ac:dyDescent="0.2">
      <c r="A2636" s="5">
        <v>2575</v>
      </c>
      <c r="B2636" s="1832">
        <f>'Acct Summary 7-8'!E20</f>
        <v>546042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672736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672736</v>
      </c>
      <c r="C2661" s="2" t="s">
        <v>569</v>
      </c>
      <c r="D2661" s="2" t="str">
        <f t="shared" si="40"/>
        <v>Error?</v>
      </c>
    </row>
    <row r="2662" spans="1:4" x14ac:dyDescent="0.2">
      <c r="A2662" s="5">
        <v>2601</v>
      </c>
      <c r="B2662" s="1832">
        <f>'Acct Summary 7-8'!H20</f>
        <v>-672736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2361319</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83461</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561347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528485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561347</v>
      </c>
      <c r="D2912" s="2" t="str">
        <f t="shared" si="44"/>
        <v>Error?</v>
      </c>
    </row>
    <row r="2913" spans="1:4" x14ac:dyDescent="0.2">
      <c r="A2913" s="5">
        <v>2852</v>
      </c>
      <c r="B2913" s="1832">
        <f>'Assets-Liab 5-6'!I41</f>
        <v>561347</v>
      </c>
      <c r="C2913" s="2" t="s">
        <v>569</v>
      </c>
      <c r="D2913" s="2" t="str">
        <f t="shared" si="44"/>
        <v>Error?</v>
      </c>
    </row>
    <row r="2914" spans="1:4" x14ac:dyDescent="0.2">
      <c r="A2914" s="5">
        <v>2853</v>
      </c>
      <c r="B2914" s="1832">
        <f>'Assets-Liab 5-6'!L33</f>
        <v>179438</v>
      </c>
      <c r="D2914" s="2" t="str">
        <f t="shared" si="44"/>
        <v>Error?</v>
      </c>
    </row>
    <row r="2915" spans="1:4" x14ac:dyDescent="0.2">
      <c r="A2915" s="10">
        <v>2854</v>
      </c>
      <c r="B2915" s="1832"/>
      <c r="D2915" s="2" t="str">
        <f t="shared" si="44"/>
        <v>OK</v>
      </c>
    </row>
    <row r="2916" spans="1:4" x14ac:dyDescent="0.2">
      <c r="A2916" s="5">
        <v>2855</v>
      </c>
      <c r="B2916" s="1832">
        <f>'Assets-Liab 5-6'!L34</f>
        <v>179438</v>
      </c>
      <c r="C2916" s="2" t="s">
        <v>569</v>
      </c>
      <c r="D2916" s="2" t="str">
        <f t="shared" si="44"/>
        <v>Error?</v>
      </c>
    </row>
    <row r="2917" spans="1:4" x14ac:dyDescent="0.2">
      <c r="A2917" s="5">
        <v>2856</v>
      </c>
      <c r="B2917" s="1832">
        <f>'Assets-Liab 5-6'!L41</f>
        <v>528485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412428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81038</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412428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81038</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10581</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10581</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61766</v>
      </c>
      <c r="D3055" s="2" t="str">
        <f t="shared" si="46"/>
        <v>Error?</v>
      </c>
    </row>
    <row r="3056" spans="1:4" x14ac:dyDescent="0.2">
      <c r="A3056" s="5">
        <v>2995</v>
      </c>
      <c r="B3056" s="1832">
        <f>'Expenditures 15-22'!D10</f>
        <v>16607</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78373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3673</v>
      </c>
      <c r="D3064" s="2" t="str">
        <f t="shared" si="46"/>
        <v>Error?</v>
      </c>
    </row>
    <row r="3065" spans="1:4" x14ac:dyDescent="0.2">
      <c r="A3065" s="5">
        <v>3004</v>
      </c>
      <c r="B3065" s="1832">
        <f>'Expenditures 15-22'!K219</f>
        <v>3673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349047</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61602</v>
      </c>
      <c r="C3225" s="2" t="s">
        <v>569</v>
      </c>
      <c r="D3225" s="2" t="str">
        <f t="shared" si="49"/>
        <v>Error?</v>
      </c>
    </row>
    <row r="3226" spans="1:4" x14ac:dyDescent="0.2">
      <c r="A3226" s="5">
        <v>3165</v>
      </c>
      <c r="B3226" s="1832">
        <f>'Acct Summary 7-8'!I8</f>
        <v>61602</v>
      </c>
      <c r="C3226" s="2" t="s">
        <v>569</v>
      </c>
      <c r="D3226" s="2" t="str">
        <f t="shared" si="49"/>
        <v>Error?</v>
      </c>
    </row>
    <row r="3227" spans="1:4" x14ac:dyDescent="0.2">
      <c r="A3227" s="5">
        <v>3166</v>
      </c>
      <c r="B3227" s="1832">
        <f>'Acct Summary 7-8'!I20</f>
        <v>61602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45000</v>
      </c>
      <c r="C3231" s="2" t="s">
        <v>569</v>
      </c>
      <c r="D3231" s="2" t="str">
        <f t="shared" si="49"/>
        <v>Error?</v>
      </c>
    </row>
    <row r="3232" spans="1:4" x14ac:dyDescent="0.2">
      <c r="A3232" s="5">
        <v>3171</v>
      </c>
      <c r="B3232" s="1832">
        <f>'Acct Summary 7-8'!C77</f>
        <v>-45000</v>
      </c>
      <c r="C3232" s="2" t="s">
        <v>569</v>
      </c>
      <c r="D3232" s="2" t="str">
        <f t="shared" si="49"/>
        <v>Error?</v>
      </c>
    </row>
    <row r="3233" spans="1:4" x14ac:dyDescent="0.2">
      <c r="A3233" s="5">
        <v>3172</v>
      </c>
      <c r="B3233" s="1832">
        <f>'Acct Summary 7-8'!C78</f>
        <v>953112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3800000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3800000</v>
      </c>
      <c r="C3238" s="2" t="s">
        <v>569</v>
      </c>
      <c r="D3238" s="2" t="str">
        <f t="shared" si="49"/>
        <v>Error?</v>
      </c>
    </row>
    <row r="3239" spans="1:4" x14ac:dyDescent="0.2">
      <c r="A3239" s="5">
        <v>3178</v>
      </c>
      <c r="B3239" s="1832">
        <f>'Acct Summary 7-8'!D78</f>
        <v>1951955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45000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45000</v>
      </c>
      <c r="C3255" s="2" t="s">
        <v>569</v>
      </c>
      <c r="D3255" s="2" t="str">
        <f t="shared" si="49"/>
        <v>Error?</v>
      </c>
    </row>
    <row r="3256" spans="1:4" x14ac:dyDescent="0.2">
      <c r="A3256" s="5">
        <v>3195</v>
      </c>
      <c r="B3256" s="1832">
        <f>'Acct Summary 7-8'!F78</f>
        <v>31064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-102914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546042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11240314</v>
      </c>
      <c r="C3296" s="2" t="s">
        <v>569</v>
      </c>
      <c r="D3296" s="2" t="str">
        <f t="shared" si="50"/>
        <v>Error?</v>
      </c>
    </row>
    <row r="3297" spans="1:4" x14ac:dyDescent="0.2">
      <c r="A3297" s="5">
        <v>3236</v>
      </c>
      <c r="B3297" s="1832">
        <f>'Acct Summary 7-8'!H75</f>
        <v>155575</v>
      </c>
      <c r="D3297" s="2" t="str">
        <f t="shared" si="50"/>
        <v>Error?</v>
      </c>
    </row>
    <row r="3298" spans="1:4" x14ac:dyDescent="0.2">
      <c r="A3298" s="5">
        <v>3237</v>
      </c>
      <c r="B3298" s="1832">
        <f>'Acct Summary 7-8'!H76</f>
        <v>155575</v>
      </c>
      <c r="C3298" s="2" t="s">
        <v>569</v>
      </c>
      <c r="D3298" s="2" t="str">
        <f t="shared" si="50"/>
        <v>Error?</v>
      </c>
    </row>
    <row r="3299" spans="1:4" x14ac:dyDescent="0.2">
      <c r="A3299" s="5">
        <v>3238</v>
      </c>
      <c r="B3299" s="1832">
        <f>'Acct Summary 7-8'!H77</f>
        <v>11084739</v>
      </c>
      <c r="C3299" s="2" t="s">
        <v>569</v>
      </c>
      <c r="D3299" s="2" t="str">
        <f t="shared" si="50"/>
        <v>Error?</v>
      </c>
    </row>
    <row r="3300" spans="1:4" x14ac:dyDescent="0.2">
      <c r="A3300" s="5">
        <v>3239</v>
      </c>
      <c r="B3300" s="1832">
        <f>'Acct Summary 7-8'!H78</f>
        <v>10412003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3800000</v>
      </c>
      <c r="C3318" s="2" t="s">
        <v>569</v>
      </c>
      <c r="D3318" s="2" t="str">
        <f t="shared" si="50"/>
        <v>Error?</v>
      </c>
    </row>
    <row r="3319" spans="1:4" x14ac:dyDescent="0.2">
      <c r="A3319" s="5">
        <v>3258</v>
      </c>
      <c r="B3319" s="1832">
        <f>'Acct Summary 7-8'!I77</f>
        <v>-3800000</v>
      </c>
      <c r="C3319" s="2" t="s">
        <v>569</v>
      </c>
      <c r="D3319" s="2" t="str">
        <f t="shared" si="50"/>
        <v>Error?</v>
      </c>
    </row>
    <row r="3320" spans="1:4" x14ac:dyDescent="0.2">
      <c r="A3320" s="5">
        <v>3259</v>
      </c>
      <c r="B3320" s="1832">
        <f>'Acct Summary 7-8'!I78</f>
        <v>-3738398</v>
      </c>
      <c r="C3320" s="2" t="s">
        <v>569</v>
      </c>
      <c r="D3320" s="2" t="str">
        <f t="shared" si="50"/>
        <v>Error?</v>
      </c>
    </row>
    <row r="3321" spans="1:4" x14ac:dyDescent="0.2">
      <c r="A3321" s="5">
        <v>3260</v>
      </c>
      <c r="B3321" s="1832">
        <f>'Acct Summary 7-8'!I79</f>
        <v>4299745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561347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589551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118433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6255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4080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718319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70656</v>
      </c>
      <c r="D3387" s="2" t="str">
        <f t="shared" si="51"/>
        <v>Error?</v>
      </c>
    </row>
    <row r="3388" spans="1:4" x14ac:dyDescent="0.2">
      <c r="A3388" s="5">
        <v>3327</v>
      </c>
      <c r="B3388" s="1832">
        <f>'Expenditures 15-22'!D217</f>
        <v>64117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70656</v>
      </c>
      <c r="C3390" s="2" t="s">
        <v>569</v>
      </c>
      <c r="D3390" s="2" t="str">
        <f t="shared" si="51"/>
        <v>Error?</v>
      </c>
    </row>
    <row r="3391" spans="1:4" x14ac:dyDescent="0.2">
      <c r="A3391" s="5">
        <v>3330</v>
      </c>
      <c r="B3391" s="1832">
        <f>'Expenditures 15-22'!K217</f>
        <v>64117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93710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3576969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3746262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432179</v>
      </c>
      <c r="D3417" s="2" t="str">
        <f t="shared" si="52"/>
        <v>Error?</v>
      </c>
    </row>
    <row r="3418" spans="1:4" x14ac:dyDescent="0.2">
      <c r="A3418" s="10">
        <v>3357</v>
      </c>
      <c r="B3418" s="1832"/>
      <c r="D3418" s="2" t="str">
        <f t="shared" si="52"/>
        <v>OK</v>
      </c>
    </row>
    <row r="3419" spans="1:4" x14ac:dyDescent="0.2">
      <c r="A3419" s="5">
        <v>3358</v>
      </c>
      <c r="B3419" s="1832">
        <f>'Assets-Liab 5-6'!F4</f>
        <v>2095970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122663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10412003</v>
      </c>
      <c r="D3425" s="2" t="str">
        <f t="shared" si="52"/>
        <v>Error?</v>
      </c>
    </row>
    <row r="3426" spans="1:4" x14ac:dyDescent="0.2">
      <c r="A3426" s="10">
        <v>3365</v>
      </c>
      <c r="B3426" s="1832"/>
      <c r="D3426" s="2" t="str">
        <f t="shared" si="52"/>
        <v>OK</v>
      </c>
    </row>
    <row r="3427" spans="1:4" x14ac:dyDescent="0.2">
      <c r="A3427" s="5">
        <v>3366</v>
      </c>
      <c r="B3427" s="1832">
        <f>'Assets-Liab 5-6'!I4</f>
        <v>477886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528485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279646</v>
      </c>
      <c r="C3446" s="2" t="s">
        <v>569</v>
      </c>
      <c r="D3446" s="2" t="str">
        <f t="shared" si="52"/>
        <v>Error?</v>
      </c>
    </row>
    <row r="3447" spans="1:4" x14ac:dyDescent="0.2">
      <c r="A3447" s="5">
        <v>3386</v>
      </c>
      <c r="B3447" s="1832">
        <f>'Tax Sched 23'!D16</f>
        <v>166766</v>
      </c>
      <c r="C3447" s="2" t="s">
        <v>569</v>
      </c>
      <c r="D3447" s="2" t="str">
        <f t="shared" si="52"/>
        <v>Error?</v>
      </c>
    </row>
    <row r="3448" spans="1:4" x14ac:dyDescent="0.2">
      <c r="A3448" s="5">
        <v>3387</v>
      </c>
      <c r="B3448" s="1832">
        <f>'Tax Sched 23'!C16</f>
        <v>112880</v>
      </c>
      <c r="D3448" s="2" t="str">
        <f t="shared" si="52"/>
        <v>Error?</v>
      </c>
    </row>
    <row r="3449" spans="1:4" x14ac:dyDescent="0.2">
      <c r="A3449" s="5">
        <v>3388</v>
      </c>
      <c r="B3449" s="1832">
        <f>'Tax Sched 23'!F16</f>
        <v>135302</v>
      </c>
      <c r="C3449" s="2" t="s">
        <v>569</v>
      </c>
      <c r="D3449" s="2" t="str">
        <f t="shared" si="52"/>
        <v>Error?</v>
      </c>
    </row>
    <row r="3450" spans="1:4" x14ac:dyDescent="0.2">
      <c r="A3450" s="5">
        <v>3389</v>
      </c>
      <c r="B3450" s="1832">
        <f>'Tax Sched 23'!E16</f>
        <v>248182</v>
      </c>
      <c r="D3450" s="2" t="str">
        <f t="shared" si="52"/>
        <v>Error?</v>
      </c>
    </row>
    <row r="3451" spans="1:4" x14ac:dyDescent="0.2">
      <c r="A3451" s="5">
        <v>3390</v>
      </c>
      <c r="B3451" s="1832">
        <f>'Cap Outlay Deprec 26'!C15</f>
        <v>27664</v>
      </c>
      <c r="D3451" s="2" t="str">
        <f t="shared" si="52"/>
        <v>Error?</v>
      </c>
    </row>
    <row r="3452" spans="1:4" x14ac:dyDescent="0.2">
      <c r="A3452" s="5">
        <v>3391</v>
      </c>
      <c r="B3452" s="1832">
        <f>'Cap Outlay Deprec 26'!D15</f>
        <v>2361319</v>
      </c>
      <c r="D3452" s="2" t="str">
        <f t="shared" si="52"/>
        <v>Error?</v>
      </c>
    </row>
    <row r="3453" spans="1:4" x14ac:dyDescent="0.2">
      <c r="A3453" s="5">
        <v>3392</v>
      </c>
      <c r="B3453" s="1832">
        <f>'Cap Outlay Deprec 26'!E15</f>
        <v>27664</v>
      </c>
      <c r="D3453" s="2" t="str">
        <f t="shared" si="52"/>
        <v>Error?</v>
      </c>
    </row>
    <row r="3454" spans="1:4" x14ac:dyDescent="0.2">
      <c r="A3454" s="5">
        <v>3393</v>
      </c>
      <c r="B3454" s="1832">
        <f>'Cap Outlay Deprec 26'!F15</f>
        <v>2361319</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2361319</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525517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73811</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599328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599328</v>
      </c>
      <c r="D3567" s="2" t="str">
        <f t="shared" si="54"/>
        <v>Error?</v>
      </c>
    </row>
    <row r="3568" spans="1:4" x14ac:dyDescent="0.2">
      <c r="A3568" s="5">
        <v>3507</v>
      </c>
      <c r="B3568" s="1832">
        <f>'Assets-Liab 5-6'!K41</f>
        <v>599328</v>
      </c>
      <c r="C3568" s="2" t="s">
        <v>569</v>
      </c>
      <c r="D3568" s="2" t="str">
        <f t="shared" si="54"/>
        <v>Error?</v>
      </c>
    </row>
    <row r="3569" spans="1:4" x14ac:dyDescent="0.2">
      <c r="A3569" s="5">
        <v>3508</v>
      </c>
      <c r="B3569" s="1832">
        <f>'Acct Summary 7-8'!K4</f>
        <v>154844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154844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154844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154844</v>
      </c>
      <c r="C3588" s="2" t="s">
        <v>569</v>
      </c>
      <c r="D3588" s="2" t="str">
        <f t="shared" si="55"/>
        <v>Error?</v>
      </c>
    </row>
    <row r="3589" spans="1:4" x14ac:dyDescent="0.2">
      <c r="A3589" s="5">
        <v>3528</v>
      </c>
      <c r="B3589" s="1832">
        <f>'Acct Summary 7-8'!K79</f>
        <v>444484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599328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154844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86650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4968383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16938932</v>
      </c>
      <c r="C4122" s="2" t="s">
        <v>569</v>
      </c>
      <c r="D4122" s="2" t="str">
        <f t="shared" si="63"/>
        <v>Error?</v>
      </c>
    </row>
    <row r="4123" spans="1:4" x14ac:dyDescent="0.2">
      <c r="A4123" s="5">
        <v>4062</v>
      </c>
      <c r="B4123" s="1832">
        <f>'Acct Summary 7-8'!D10</f>
        <v>1515944</v>
      </c>
      <c r="C4123" s="2" t="s">
        <v>569</v>
      </c>
      <c r="D4123" s="2" t="str">
        <f t="shared" si="63"/>
        <v>Error?</v>
      </c>
    </row>
    <row r="4124" spans="1:4" x14ac:dyDescent="0.2">
      <c r="A4124" s="5">
        <v>4063</v>
      </c>
      <c r="B4124" s="1832">
        <f>'Acct Summary 7-8'!E10</f>
        <v>1593430</v>
      </c>
      <c r="C4124" s="2" t="s">
        <v>569</v>
      </c>
      <c r="D4124" s="2" t="str">
        <f t="shared" si="63"/>
        <v>Error?</v>
      </c>
    </row>
    <row r="4125" spans="1:4" x14ac:dyDescent="0.2">
      <c r="A4125" s="5">
        <v>4064</v>
      </c>
      <c r="B4125" s="1832">
        <f>'Acct Summary 7-8'!F10</f>
        <v>982160</v>
      </c>
      <c r="C4125" s="2" t="s">
        <v>569</v>
      </c>
      <c r="D4125" s="2" t="str">
        <f t="shared" si="63"/>
        <v>Error?</v>
      </c>
    </row>
    <row r="4126" spans="1:4" x14ac:dyDescent="0.2">
      <c r="A4126" s="5">
        <v>4065</v>
      </c>
      <c r="B4126" s="1832">
        <f>'Acct Summary 7-8'!G10</f>
        <v>339539</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61602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154844</v>
      </c>
      <c r="C4130" s="2" t="s">
        <v>569</v>
      </c>
      <c r="D4130" s="2" t="str">
        <f t="shared" si="63"/>
        <v>Error?</v>
      </c>
    </row>
    <row r="4131" spans="1:4" x14ac:dyDescent="0.2">
      <c r="A4131" s="5">
        <v>4070</v>
      </c>
      <c r="B4131" s="1832">
        <f>'Acct Summary 7-8'!C18</f>
        <v>4968383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15940820</v>
      </c>
      <c r="C4136" s="2" t="s">
        <v>569</v>
      </c>
      <c r="D4136" s="2" t="str">
        <f t="shared" si="63"/>
        <v>Error?</v>
      </c>
    </row>
    <row r="4137" spans="1:4" x14ac:dyDescent="0.2">
      <c r="A4137" s="5">
        <v>4076</v>
      </c>
      <c r="B4137" s="1832">
        <f>'Acct Summary 7-8'!D19</f>
        <v>3363989</v>
      </c>
      <c r="C4137" s="2" t="s">
        <v>569</v>
      </c>
      <c r="D4137" s="2" t="str">
        <f t="shared" si="63"/>
        <v>Error?</v>
      </c>
    </row>
    <row r="4138" spans="1:4" x14ac:dyDescent="0.2">
      <c r="A4138" s="5">
        <v>4077</v>
      </c>
      <c r="B4138" s="1832">
        <f>'Acct Summary 7-8'!E19</f>
        <v>1047388</v>
      </c>
      <c r="C4138" s="2" t="s">
        <v>569</v>
      </c>
      <c r="D4138" s="2" t="str">
        <f t="shared" si="63"/>
        <v>Error?</v>
      </c>
    </row>
    <row r="4139" spans="1:4" x14ac:dyDescent="0.2">
      <c r="A4139" s="5">
        <v>4078</v>
      </c>
      <c r="B4139" s="1832">
        <f>'Acct Summary 7-8'!F19</f>
        <v>996096</v>
      </c>
      <c r="C4139" s="2" t="s">
        <v>569</v>
      </c>
      <c r="D4139" s="2" t="str">
        <f t="shared" si="63"/>
        <v>Error?</v>
      </c>
    </row>
    <row r="4140" spans="1:4" x14ac:dyDescent="0.2">
      <c r="A4140" s="5">
        <v>4079</v>
      </c>
      <c r="B4140" s="1832">
        <f>'Acct Summary 7-8'!G19</f>
        <v>442453</v>
      </c>
      <c r="C4140" s="2" t="s">
        <v>569</v>
      </c>
      <c r="D4140" s="2" t="str">
        <f t="shared" si="63"/>
        <v>Error?</v>
      </c>
    </row>
    <row r="4141" spans="1:4" x14ac:dyDescent="0.2">
      <c r="A4141" s="5">
        <v>4080</v>
      </c>
      <c r="B4141" s="1832">
        <f>'Acct Summary 7-8'!H19</f>
        <v>672736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15965000</v>
      </c>
      <c r="C4171" s="2" t="s">
        <v>569</v>
      </c>
      <c r="D4171" s="2" t="str">
        <f t="shared" si="64"/>
        <v>Error?</v>
      </c>
    </row>
    <row r="4172" spans="1:4" x14ac:dyDescent="0.2">
      <c r="A4172" s="5">
        <v>4111</v>
      </c>
      <c r="B4172" s="1832">
        <f>'Short-Term Long-Term Debt 24'!J49</f>
        <v>15526710</v>
      </c>
      <c r="C4172" s="2" t="s">
        <v>569</v>
      </c>
      <c r="D4172" s="2" t="str">
        <f t="shared" si="64"/>
        <v>Error?</v>
      </c>
    </row>
    <row r="4173" spans="1:4" x14ac:dyDescent="0.2">
      <c r="A4173" s="5">
        <v>4112</v>
      </c>
      <c r="B4173" s="1832">
        <f>'Short-Term Long-Term Debt 24'!H49</f>
        <v>800000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3471.3</v>
      </c>
      <c r="C4265" s="2" t="s">
        <v>569</v>
      </c>
      <c r="D4265" s="2" t="str">
        <f t="shared" si="65"/>
        <v>Error?</v>
      </c>
      <c r="E4265" s="125"/>
    </row>
    <row r="4266" spans="1:5" x14ac:dyDescent="0.2">
      <c r="A4266" s="12">
        <v>4205</v>
      </c>
      <c r="B4266" s="1832">
        <f>('FP Info 3'!F10)*100000</f>
        <v>547.70000000000005</v>
      </c>
      <c r="C4266" s="2" t="s">
        <v>569</v>
      </c>
      <c r="D4266" s="2" t="str">
        <f t="shared" si="65"/>
        <v>Error?</v>
      </c>
      <c r="E4266" s="125"/>
    </row>
    <row r="4267" spans="1:5" x14ac:dyDescent="0.2">
      <c r="A4267" s="12">
        <v>4206</v>
      </c>
      <c r="B4267" s="1832">
        <f>('FP Info 3'!H10)*100000</f>
        <v>195.7</v>
      </c>
      <c r="C4267" s="2" t="s">
        <v>569</v>
      </c>
      <c r="D4267" s="2" t="str">
        <f t="shared" si="65"/>
        <v>Error?</v>
      </c>
      <c r="E4267" s="125"/>
    </row>
    <row r="4268" spans="1:5" x14ac:dyDescent="0.2">
      <c r="A4268" s="12">
        <v>4207</v>
      </c>
      <c r="B4268" s="1832">
        <f>('FP Info 3'!J10)*100000</f>
        <v>4215</v>
      </c>
      <c r="C4268" s="2" t="s">
        <v>569</v>
      </c>
      <c r="D4268" s="2" t="str">
        <f t="shared" si="65"/>
        <v>Error?</v>
      </c>
    </row>
    <row r="4269" spans="1:5" x14ac:dyDescent="0.2">
      <c r="A4269" s="12">
        <v>4208</v>
      </c>
      <c r="B4269" s="1832">
        <f>'FP Info 3'!J16</f>
        <v>12247209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7554</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17997</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1555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46504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17997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34330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23.5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1265</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5625</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230652216</v>
      </c>
      <c r="D4995" s="2" t="str">
        <f t="shared" si="77"/>
        <v>Error?</v>
      </c>
    </row>
    <row r="4996" spans="1:4" x14ac:dyDescent="0.2">
      <c r="A4996" s="12">
        <v>4935</v>
      </c>
      <c r="B4996" s="1832">
        <f>'FP Info 3'!H31</f>
        <v>31830005.808000002</v>
      </c>
      <c r="D4996" s="2" t="str">
        <f t="shared" si="77"/>
        <v>Error?</v>
      </c>
    </row>
    <row r="4997" spans="1:4" x14ac:dyDescent="0.2">
      <c r="A4997" s="12">
        <v>4936</v>
      </c>
      <c r="B4997" s="1832">
        <f>'FP Info 3'!H37</f>
        <v>15965000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45000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45000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8439337</v>
      </c>
      <c r="D5061" s="2" t="str">
        <f t="shared" si="78"/>
        <v>Error?</v>
      </c>
    </row>
    <row r="5062" spans="1:4" x14ac:dyDescent="0.2">
      <c r="A5062" s="10">
        <v>5001</v>
      </c>
      <c r="B5062" s="1832"/>
      <c r="D5062" s="2" t="str">
        <f t="shared" si="78"/>
        <v>OK</v>
      </c>
    </row>
    <row r="5063" spans="1:4" x14ac:dyDescent="0.2">
      <c r="A5063" s="5">
        <v>5002</v>
      </c>
      <c r="B5063" s="1832">
        <f>'Revenues 9-14'!C7</f>
        <v>105466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8544803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88598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88598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172768</v>
      </c>
      <c r="D5088" s="2" t="str">
        <f t="shared" si="78"/>
        <v>Error?</v>
      </c>
    </row>
    <row r="5089" spans="1:4" x14ac:dyDescent="0.2">
      <c r="A5089" s="5">
        <v>5028</v>
      </c>
      <c r="B5089" s="1832">
        <f>'Revenues 9-14'!C66</f>
        <v>-6841</v>
      </c>
      <c r="D5089" s="2" t="str">
        <f t="shared" si="78"/>
        <v>Error?</v>
      </c>
    </row>
    <row r="5090" spans="1:4" x14ac:dyDescent="0.2">
      <c r="A5090" s="5">
        <v>5029</v>
      </c>
      <c r="B5090" s="1832">
        <f>'Revenues 9-14'!C67</f>
        <v>165927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6462</v>
      </c>
      <c r="D5094" s="2" t="str">
        <f t="shared" si="78"/>
        <v>Error?</v>
      </c>
    </row>
    <row r="5095" spans="1:4" x14ac:dyDescent="0.2">
      <c r="A5095" s="5">
        <v>5034</v>
      </c>
      <c r="B5095" s="1832">
        <f>'Revenues 9-14'!C74</f>
        <v>3006</v>
      </c>
      <c r="D5095" s="2" t="str">
        <f t="shared" si="78"/>
        <v>Error?</v>
      </c>
    </row>
    <row r="5096" spans="1:4" x14ac:dyDescent="0.2">
      <c r="A5096" s="5">
        <v>5035</v>
      </c>
      <c r="B5096" s="1832">
        <f>'Revenues 9-14'!C75</f>
        <v>300354</v>
      </c>
      <c r="C5096" s="2" t="s">
        <v>569</v>
      </c>
      <c r="D5096" s="2" t="str">
        <f t="shared" si="78"/>
        <v>Error?</v>
      </c>
    </row>
    <row r="5097" spans="1:4" x14ac:dyDescent="0.2">
      <c r="A5097" s="5">
        <v>5036</v>
      </c>
      <c r="B5097" s="1832">
        <f>'Revenues 9-14'!C77</f>
        <v>27318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14340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41658</v>
      </c>
      <c r="C5102" s="2" t="s">
        <v>569</v>
      </c>
      <c r="D5102" s="2" t="str">
        <f t="shared" si="78"/>
        <v>Error?</v>
      </c>
    </row>
    <row r="5103" spans="1:4" x14ac:dyDescent="0.2">
      <c r="A5103" s="5">
        <v>5042</v>
      </c>
      <c r="B5103" s="1832">
        <f>'Revenues 9-14'!C84</f>
        <v>96400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4740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101140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45227</v>
      </c>
      <c r="D5115" s="2" t="str">
        <f t="shared" si="78"/>
        <v>Error?</v>
      </c>
    </row>
    <row r="5116" spans="1:4" x14ac:dyDescent="0.2">
      <c r="A5116" s="5">
        <v>5055</v>
      </c>
      <c r="B5116" s="1832">
        <f>'Revenues 9-14'!C99</f>
        <v>2343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189363</v>
      </c>
      <c r="D5118" s="2" t="str">
        <f t="shared" si="78"/>
        <v>Error?</v>
      </c>
    </row>
    <row r="5119" spans="1:4" x14ac:dyDescent="0.2">
      <c r="A5119" s="5">
        <v>5058</v>
      </c>
      <c r="B5119" s="1832">
        <f>'Revenues 9-14'!C107</f>
        <v>621</v>
      </c>
      <c r="D5119" s="2" t="str">
        <f t="shared" ref="D5119:D5182" si="79">IF(ISBLANK(B5119),"OK",IF(A5119-B5119=0,"OK","Error?"))</f>
        <v>Error?</v>
      </c>
    </row>
    <row r="5120" spans="1:4" x14ac:dyDescent="0.2">
      <c r="A5120" s="5">
        <v>5059</v>
      </c>
      <c r="B5120" s="1832">
        <f>'Revenues 9-14'!C108</f>
        <v>241872</v>
      </c>
      <c r="C5120" s="2" t="s">
        <v>569</v>
      </c>
      <c r="D5120" s="2" t="str">
        <f t="shared" si="79"/>
        <v>Error?</v>
      </c>
    </row>
    <row r="5121" spans="1:4" x14ac:dyDescent="0.2">
      <c r="A5121" s="5">
        <v>5060</v>
      </c>
      <c r="B5121" s="1832">
        <f>'Revenues 9-14'!C109</f>
        <v>9484352</v>
      </c>
      <c r="C5121" s="2" t="s">
        <v>569</v>
      </c>
      <c r="D5121" s="2" t="str">
        <f t="shared" si="79"/>
        <v>Error?</v>
      </c>
    </row>
    <row r="5122" spans="1:4" x14ac:dyDescent="0.2">
      <c r="A5122" s="5">
        <v>5061</v>
      </c>
      <c r="B5122" s="1832">
        <f>'Revenues 9-14'!C111</f>
        <v>19415</v>
      </c>
      <c r="D5122" s="2" t="str">
        <f t="shared" si="79"/>
        <v>Error?</v>
      </c>
    </row>
    <row r="5123" spans="1:4" x14ac:dyDescent="0.2">
      <c r="A5123" s="5">
        <v>5062</v>
      </c>
      <c r="B5123" s="1832">
        <f>'Revenues 9-14'!C112</f>
        <v>74295</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93710</v>
      </c>
      <c r="C5125" s="2" t="s">
        <v>569</v>
      </c>
      <c r="D5125" s="2" t="str">
        <f t="shared" si="79"/>
        <v>Error?</v>
      </c>
    </row>
    <row r="5126" spans="1:4" x14ac:dyDescent="0.2">
      <c r="A5126" s="5">
        <v>5065</v>
      </c>
      <c r="B5126" s="1832">
        <f>'Revenues 9-14'!C117</f>
        <v>1741399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1741399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10402</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10435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26769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842</v>
      </c>
      <c r="D5167" s="2" t="str">
        <f t="shared" si="79"/>
        <v>Error?</v>
      </c>
    </row>
    <row r="5168" spans="1:4" x14ac:dyDescent="0.2">
      <c r="A5168" s="5">
        <v>5107</v>
      </c>
      <c r="B5168" s="1832">
        <f>'Revenues 9-14'!C148</f>
        <v>16641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93882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154194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1895593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76133</v>
      </c>
      <c r="D5239" s="2" t="str">
        <f t="shared" si="80"/>
        <v>Error?</v>
      </c>
    </row>
    <row r="5240" spans="1:4" x14ac:dyDescent="0.2">
      <c r="A5240" s="5">
        <v>5179</v>
      </c>
      <c r="B5240" s="1832">
        <f>'Revenues 9-14'!C192</f>
        <v>2844</v>
      </c>
      <c r="D5240" s="2" t="str">
        <f t="shared" si="80"/>
        <v>Error?</v>
      </c>
    </row>
    <row r="5241" spans="1:4" x14ac:dyDescent="0.2">
      <c r="A5241" s="5">
        <v>5180</v>
      </c>
      <c r="B5241" s="1832">
        <f>'Revenues 9-14'!C193</f>
        <v>9970</v>
      </c>
      <c r="D5241" s="2" t="str">
        <f t="shared" si="80"/>
        <v>Error?</v>
      </c>
    </row>
    <row r="5242" spans="1:4" x14ac:dyDescent="0.2">
      <c r="A5242" s="5">
        <v>5181</v>
      </c>
      <c r="B5242" s="1832">
        <f>'Revenues 9-14'!C194</f>
        <v>22511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111458</v>
      </c>
      <c r="C5246" s="2" t="s">
        <v>569</v>
      </c>
      <c r="D5246" s="2" t="str">
        <f t="shared" si="80"/>
        <v>Error?</v>
      </c>
    </row>
    <row r="5247" spans="1:4" x14ac:dyDescent="0.2">
      <c r="A5247" s="5">
        <v>5186</v>
      </c>
      <c r="B5247" s="1832">
        <f>'Revenues 9-14'!C200</f>
        <v>157954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165508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119542</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119542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496894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496894</v>
      </c>
      <c r="C5326" s="2" t="s">
        <v>569</v>
      </c>
      <c r="D5326" s="2" t="str">
        <f t="shared" si="82"/>
        <v>Error?</v>
      </c>
    </row>
    <row r="5327" spans="1:5" x14ac:dyDescent="0.2">
      <c r="A5327" s="5">
        <v>5266</v>
      </c>
      <c r="B5327" s="1832">
        <f>'Revenues 9-14'!C268</f>
        <v>11970549</v>
      </c>
      <c r="C5327" s="2" t="s">
        <v>569</v>
      </c>
      <c r="D5327" s="2" t="str">
        <f t="shared" si="82"/>
        <v>Error?</v>
      </c>
    </row>
    <row r="5328" spans="1:5" x14ac:dyDescent="0.2">
      <c r="A5328" s="5">
        <v>5267</v>
      </c>
      <c r="B5328" s="1832">
        <f>'Revenues 9-14'!D5</f>
        <v>1481646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1481646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3126</v>
      </c>
      <c r="D5340" s="2" t="str">
        <f t="shared" si="82"/>
        <v>Error?</v>
      </c>
    </row>
    <row r="5341" spans="1:4" x14ac:dyDescent="0.2">
      <c r="A5341" s="5">
        <v>5280</v>
      </c>
      <c r="B5341" s="1832">
        <f>'Revenues 9-14'!D66</f>
        <v>-349</v>
      </c>
      <c r="D5341" s="2" t="str">
        <f t="shared" si="82"/>
        <v>Error?</v>
      </c>
    </row>
    <row r="5342" spans="1:4" x14ac:dyDescent="0.2">
      <c r="A5342" s="5">
        <v>5281</v>
      </c>
      <c r="B5342" s="1832">
        <f>'Revenues 9-14'!D67</f>
        <v>2777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9193</v>
      </c>
      <c r="D5349" s="2" t="str">
        <f t="shared" si="82"/>
        <v>Error?</v>
      </c>
    </row>
    <row r="5350" spans="1:4" x14ac:dyDescent="0.2">
      <c r="A5350" s="5">
        <v>5289</v>
      </c>
      <c r="B5350" s="1832">
        <f>'Revenues 9-14'!D96</f>
        <v>5000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17328</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31521</v>
      </c>
      <c r="C5355" s="2" t="s">
        <v>569</v>
      </c>
      <c r="D5355" s="2" t="str">
        <f t="shared" si="82"/>
        <v>Error?</v>
      </c>
    </row>
    <row r="5356" spans="1:4" x14ac:dyDescent="0.2">
      <c r="A5356" s="5">
        <v>5295</v>
      </c>
      <c r="B5356" s="1832">
        <f>'Revenues 9-14'!D109</f>
        <v>1515944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1515944</v>
      </c>
      <c r="C5508" s="2" t="s">
        <v>569</v>
      </c>
      <c r="D5508" s="2" t="str">
        <f t="shared" si="85"/>
        <v>Error?</v>
      </c>
    </row>
    <row r="5509" spans="1:4" x14ac:dyDescent="0.2">
      <c r="A5509" s="5">
        <v>5448</v>
      </c>
      <c r="B5509" s="1832">
        <f>'Revenues 9-14'!E5</f>
        <v>915117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915117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991</v>
      </c>
      <c r="D5519" s="2" t="str">
        <f t="shared" si="85"/>
        <v>Error?</v>
      </c>
    </row>
    <row r="5520" spans="1:4" x14ac:dyDescent="0.2">
      <c r="A5520" s="5">
        <v>5459</v>
      </c>
      <c r="B5520" s="1832">
        <f>'Revenues 9-14'!E66</f>
        <v>196</v>
      </c>
      <c r="D5520" s="2" t="str">
        <f t="shared" si="85"/>
        <v>Error?</v>
      </c>
    </row>
    <row r="5521" spans="1:4" x14ac:dyDescent="0.2">
      <c r="A5521" s="5">
        <v>5460</v>
      </c>
      <c r="B5521" s="1832">
        <f>'Revenues 9-14'!E67</f>
        <v>1187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677126</v>
      </c>
      <c r="C5526" s="2" t="s">
        <v>569</v>
      </c>
      <c r="D5526" s="2" t="str">
        <f t="shared" si="85"/>
        <v>Error?</v>
      </c>
    </row>
    <row r="5527" spans="1:4" x14ac:dyDescent="0.2">
      <c r="A5527" s="5">
        <v>5466</v>
      </c>
      <c r="B5527" s="1832">
        <f>'Revenues 9-14'!E109</f>
        <v>1593430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1593430</v>
      </c>
      <c r="C5552" s="2" t="s">
        <v>569</v>
      </c>
      <c r="D5552" s="2" t="str">
        <f t="shared" si="85"/>
        <v>Error?</v>
      </c>
    </row>
    <row r="5553" spans="1:4" x14ac:dyDescent="0.2">
      <c r="A5553" s="5">
        <v>5492</v>
      </c>
      <c r="B5553" s="1832">
        <f>'Revenues 9-14'!F5</f>
        <v>527161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527161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4210</v>
      </c>
      <c r="D5580" s="2" t="str">
        <f t="shared" si="86"/>
        <v>Error?</v>
      </c>
    </row>
    <row r="5581" spans="1:4" x14ac:dyDescent="0.2">
      <c r="A5581" s="5">
        <v>5520</v>
      </c>
      <c r="B5581" s="1832">
        <f>'Revenues 9-14'!F66</f>
        <v>-538</v>
      </c>
      <c r="D5581" s="2" t="str">
        <f t="shared" si="86"/>
        <v>Error?</v>
      </c>
    </row>
    <row r="5582" spans="1:4" x14ac:dyDescent="0.2">
      <c r="A5582" s="5">
        <v>5521</v>
      </c>
      <c r="B5582" s="1832">
        <f>'Revenues 9-14'!F67</f>
        <v>3672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400</v>
      </c>
      <c r="D5586" s="2" t="str">
        <f t="shared" si="86"/>
        <v>Error?</v>
      </c>
    </row>
    <row r="5587" spans="1:4" x14ac:dyDescent="0.2">
      <c r="A5587" s="5">
        <v>5526</v>
      </c>
      <c r="B5587" s="1832">
        <f>'Revenues 9-14'!F108</f>
        <v>400</v>
      </c>
      <c r="C5587" s="2" t="s">
        <v>569</v>
      </c>
      <c r="D5587" s="2" t="str">
        <f t="shared" si="86"/>
        <v>Error?</v>
      </c>
    </row>
    <row r="5588" spans="1:4" x14ac:dyDescent="0.2">
      <c r="A5588" s="5">
        <v>5527</v>
      </c>
      <c r="B5588" s="1832">
        <f>'Revenues 9-14'!F109</f>
        <v>531233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3252</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3252</v>
      </c>
      <c r="C5614" s="2" t="s">
        <v>569</v>
      </c>
      <c r="D5614" s="2" t="str">
        <f t="shared" si="86"/>
        <v>Error?</v>
      </c>
    </row>
    <row r="5615" spans="1:4" x14ac:dyDescent="0.2">
      <c r="A5615" s="5">
        <v>5554</v>
      </c>
      <c r="B5615" s="1832">
        <f>'Revenues 9-14'!F152</f>
        <v>377042</v>
      </c>
      <c r="D5615" s="2" t="str">
        <f t="shared" si="86"/>
        <v>Error?</v>
      </c>
    </row>
    <row r="5616" spans="1:4" x14ac:dyDescent="0.2">
      <c r="A5616" s="10">
        <v>5555</v>
      </c>
      <c r="B5616" s="1832"/>
      <c r="D5616" s="2" t="str">
        <f t="shared" si="86"/>
        <v>OK</v>
      </c>
    </row>
    <row r="5617" spans="1:5" x14ac:dyDescent="0.2">
      <c r="A5617" s="5">
        <v>5556</v>
      </c>
      <c r="B5617" s="1832">
        <f>'Revenues 9-14'!F153</f>
        <v>45633</v>
      </c>
      <c r="D5617" s="2" t="str">
        <f t="shared" si="86"/>
        <v>Error?</v>
      </c>
    </row>
    <row r="5618" spans="1:5" x14ac:dyDescent="0.2">
      <c r="A5618" s="5">
        <v>5557</v>
      </c>
      <c r="B5618" s="1832">
        <f>'Revenues 9-14'!F155</f>
        <v>422675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25000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450927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450927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982160</v>
      </c>
      <c r="C5720" s="2" t="s">
        <v>569</v>
      </c>
      <c r="D5720" s="2" t="str">
        <f t="shared" si="88"/>
        <v>Error?</v>
      </c>
    </row>
    <row r="5721" spans="1:4" x14ac:dyDescent="0.2">
      <c r="A5721" s="5">
        <v>5660</v>
      </c>
      <c r="B5721" s="1832">
        <f>'Revenues 9-14'!G5</f>
        <v>52805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279646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332451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2200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2200</v>
      </c>
      <c r="C5730" s="2" t="s">
        <v>569</v>
      </c>
      <c r="D5730" s="2" t="str">
        <f t="shared" si="88"/>
        <v>Error?</v>
      </c>
    </row>
    <row r="5731" spans="1:4" x14ac:dyDescent="0.2">
      <c r="A5731" s="5">
        <v>5670</v>
      </c>
      <c r="B5731" s="1832">
        <f>'Revenues 9-14'!G65</f>
        <v>5281</v>
      </c>
      <c r="D5731" s="2" t="str">
        <f t="shared" si="88"/>
        <v>Error?</v>
      </c>
    </row>
    <row r="5732" spans="1:4" x14ac:dyDescent="0.2">
      <c r="A5732" s="5">
        <v>5671</v>
      </c>
      <c r="B5732" s="1832">
        <f>'Revenues 9-14'!G66</f>
        <v>-393</v>
      </c>
      <c r="D5732" s="2" t="str">
        <f t="shared" si="88"/>
        <v>Error?</v>
      </c>
    </row>
    <row r="5733" spans="1:4" x14ac:dyDescent="0.2">
      <c r="A5733" s="5">
        <v>5672</v>
      </c>
      <c r="B5733" s="1832">
        <f>'Revenues 9-14'!G67</f>
        <v>4888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339539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59815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59815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1787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1787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61602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152330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152330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366</v>
      </c>
      <c r="D5993" s="2" t="str">
        <f t="shared" si="92"/>
        <v>Error?</v>
      </c>
    </row>
    <row r="5994" spans="1:4" x14ac:dyDescent="0.2">
      <c r="A5994" s="5">
        <v>5933</v>
      </c>
      <c r="B5994" s="1832">
        <f>'Revenues 9-14'!K66</f>
        <v>2148</v>
      </c>
      <c r="D5994" s="2" t="str">
        <f t="shared" si="92"/>
        <v>Error?</v>
      </c>
    </row>
    <row r="5995" spans="1:4" x14ac:dyDescent="0.2">
      <c r="A5995" s="5">
        <v>5934</v>
      </c>
      <c r="B5995" s="1832">
        <f>'Revenues 9-14'!K67</f>
        <v>2514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154844</v>
      </c>
      <c r="C6023" s="2" t="s">
        <v>569</v>
      </c>
      <c r="D6023" s="2" t="str">
        <f t="shared" si="93"/>
        <v>Error?</v>
      </c>
    </row>
    <row r="6024" spans="1:5" x14ac:dyDescent="0.2">
      <c r="A6024" s="5">
        <v>5963</v>
      </c>
      <c r="B6024" s="1832">
        <f>'Revenues 9-14'!G109</f>
        <v>339539</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61602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154844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290886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25136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1198.3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7977</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489707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489707</v>
      </c>
      <c r="D6215" s="2" t="str">
        <f t="shared" si="96"/>
        <v>Error?</v>
      </c>
      <c r="E6215" s="2" t="s">
        <v>189</v>
      </c>
    </row>
    <row r="6216" spans="1:5" x14ac:dyDescent="0.2">
      <c r="A6216">
        <v>6155</v>
      </c>
      <c r="B6216" s="1832">
        <f>'Assets-Liab 5-6'!J41</f>
        <v>489707</v>
      </c>
      <c r="D6216" s="2" t="str">
        <f t="shared" si="96"/>
        <v>Error?</v>
      </c>
      <c r="E6216" s="2" t="s">
        <v>189</v>
      </c>
    </row>
    <row r="6217" spans="1:5" x14ac:dyDescent="0.2">
      <c r="A6217">
        <v>6156</v>
      </c>
      <c r="B6217" s="1832">
        <f>'Assets-Liab 5-6'!J4</f>
        <v>330943</v>
      </c>
      <c r="D6217" s="2" t="str">
        <f t="shared" si="96"/>
        <v>Error?</v>
      </c>
      <c r="E6217" s="2" t="s">
        <v>189</v>
      </c>
    </row>
    <row r="6218" spans="1:5" x14ac:dyDescent="0.2">
      <c r="A6218">
        <v>6157</v>
      </c>
      <c r="B6218" s="1832">
        <f>'Assets-Liab 5-6'!J5</f>
        <v>158764</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889009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889009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889009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618751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618751</v>
      </c>
      <c r="D6229" s="2" t="str">
        <f t="shared" si="96"/>
        <v>Error?</v>
      </c>
      <c r="E6229" s="2" t="s">
        <v>189</v>
      </c>
    </row>
    <row r="6230" spans="1:5" x14ac:dyDescent="0.2">
      <c r="A6230">
        <v>6169</v>
      </c>
      <c r="B6230" s="1832">
        <f>'Acct Summary 7-8'!J20</f>
        <v>270258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270258</v>
      </c>
      <c r="D6263" s="2" t="str">
        <f t="shared" si="96"/>
        <v>Error?</v>
      </c>
      <c r="E6263" s="2" t="s">
        <v>189</v>
      </c>
    </row>
    <row r="6264" spans="1:5" x14ac:dyDescent="0.2">
      <c r="A6264">
        <v>6203</v>
      </c>
      <c r="B6264" s="1832">
        <f>'Acct Summary 7-8'!J79</f>
        <v>219449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489707</v>
      </c>
      <c r="D6266" s="2" t="str">
        <f t="shared" si="96"/>
        <v>Error?</v>
      </c>
      <c r="E6266" s="2" t="s">
        <v>189</v>
      </c>
    </row>
    <row r="6267" spans="1:5" x14ac:dyDescent="0.2">
      <c r="A6267">
        <v>6206</v>
      </c>
      <c r="B6267" s="1832">
        <f>'Acct Summary 7-8'!C82</f>
        <v>953112</v>
      </c>
      <c r="D6267" s="2" t="str">
        <f t="shared" si="96"/>
        <v>Error?</v>
      </c>
      <c r="E6267" s="2" t="s">
        <v>189</v>
      </c>
    </row>
    <row r="6268" spans="1:5" x14ac:dyDescent="0.2">
      <c r="A6268">
        <v>6207</v>
      </c>
      <c r="B6268" s="1832">
        <f>'Acct Summary 7-8'!D82</f>
        <v>1951955</v>
      </c>
      <c r="D6268" s="2" t="str">
        <f t="shared" si="96"/>
        <v>Error?</v>
      </c>
      <c r="E6268" s="2" t="s">
        <v>189</v>
      </c>
    </row>
    <row r="6269" spans="1:5" x14ac:dyDescent="0.2">
      <c r="A6269">
        <v>6208</v>
      </c>
      <c r="B6269" s="1832">
        <f>'Acct Summary 7-8'!E82</f>
        <v>546042</v>
      </c>
      <c r="D6269" s="2" t="str">
        <f t="shared" si="96"/>
        <v>Error?</v>
      </c>
      <c r="E6269" s="2" t="s">
        <v>189</v>
      </c>
    </row>
    <row r="6270" spans="1:5" x14ac:dyDescent="0.2">
      <c r="A6270">
        <v>6209</v>
      </c>
      <c r="B6270" s="1832">
        <f>'Acct Summary 7-8'!F82</f>
        <v>31064</v>
      </c>
      <c r="D6270" s="2" t="str">
        <f t="shared" si="96"/>
        <v>Error?</v>
      </c>
      <c r="E6270" s="2" t="s">
        <v>189</v>
      </c>
    </row>
    <row r="6271" spans="1:5" x14ac:dyDescent="0.2">
      <c r="A6271">
        <v>6210</v>
      </c>
      <c r="B6271" s="1832">
        <f>'Acct Summary 7-8'!G82</f>
        <v>-102914</v>
      </c>
      <c r="D6271" s="2" t="str">
        <f t="shared" ref="D6271:D6334" si="97">IF(ISBLANK(B6271),"OK",IF(A6271-B6271=0,"OK","Error?"))</f>
        <v>Error?</v>
      </c>
      <c r="E6271" s="2" t="s">
        <v>189</v>
      </c>
    </row>
    <row r="6272" spans="1:5" x14ac:dyDescent="0.2">
      <c r="A6272">
        <v>6211</v>
      </c>
      <c r="B6272" s="1832">
        <f>'Acct Summary 7-8'!H82</f>
        <v>10412003</v>
      </c>
      <c r="D6272" s="2" t="str">
        <f t="shared" si="97"/>
        <v>Error?</v>
      </c>
      <c r="E6272" s="2" t="s">
        <v>189</v>
      </c>
    </row>
    <row r="6273" spans="1:5" x14ac:dyDescent="0.2">
      <c r="A6273">
        <v>6212</v>
      </c>
      <c r="B6273" s="1832">
        <f>'Acct Summary 7-8'!I82</f>
        <v>-3738398</v>
      </c>
      <c r="D6273" s="2" t="str">
        <f t="shared" si="97"/>
        <v>Error?</v>
      </c>
      <c r="E6273" s="2" t="s">
        <v>189</v>
      </c>
    </row>
    <row r="6274" spans="1:5" x14ac:dyDescent="0.2">
      <c r="A6274">
        <v>6213</v>
      </c>
      <c r="B6274" s="1832">
        <f>'Acct Summary 7-8'!J82</f>
        <v>270258</v>
      </c>
      <c r="D6274" s="2" t="str">
        <f t="shared" si="97"/>
        <v>Error?</v>
      </c>
      <c r="E6274" s="2" t="s">
        <v>189</v>
      </c>
    </row>
    <row r="6275" spans="1:5" x14ac:dyDescent="0.2">
      <c r="A6275">
        <v>6214</v>
      </c>
      <c r="B6275" s="1832">
        <f>'Acct Summary 7-8'!K82</f>
        <v>154844</v>
      </c>
      <c r="D6275" s="2" t="str">
        <f t="shared" si="97"/>
        <v>Error?</v>
      </c>
      <c r="E6275" s="2" t="s">
        <v>189</v>
      </c>
    </row>
    <row r="6276" spans="1:5" x14ac:dyDescent="0.2">
      <c r="A6276">
        <v>6215</v>
      </c>
      <c r="B6276" s="1832">
        <f>'Acct Summary 7-8'!C83</f>
        <v>0.16862446207510037</v>
      </c>
      <c r="D6276" s="2" t="str">
        <f t="shared" si="97"/>
        <v>Error?</v>
      </c>
      <c r="E6276" s="2" t="s">
        <v>189</v>
      </c>
    </row>
    <row r="6277" spans="1:5" x14ac:dyDescent="0.2">
      <c r="A6277">
        <v>6216</v>
      </c>
      <c r="B6277" s="1832">
        <f>'Acct Summary 7-8'!D83</f>
        <v>0.51545040101486916</v>
      </c>
      <c r="D6277" s="2" t="str">
        <f t="shared" si="97"/>
        <v>Error?</v>
      </c>
      <c r="E6277" s="2" t="s">
        <v>189</v>
      </c>
    </row>
    <row r="6278" spans="1:5" x14ac:dyDescent="0.2">
      <c r="A6278">
        <v>6217</v>
      </c>
      <c r="B6278" s="1832">
        <f>'Acct Summary 7-8'!E83</f>
        <v>1.2458463574345753</v>
      </c>
      <c r="D6278" s="2" t="str">
        <f t="shared" si="97"/>
        <v>Error?</v>
      </c>
      <c r="E6278" s="2" t="s">
        <v>189</v>
      </c>
    </row>
    <row r="6279" spans="1:5" x14ac:dyDescent="0.2">
      <c r="A6279">
        <v>6218</v>
      </c>
      <c r="B6279" s="1832">
        <f>'Acct Summary 7-8'!F83</f>
        <v>1.3826538015412868E-2</v>
      </c>
      <c r="D6279" s="2" t="str">
        <f t="shared" si="97"/>
        <v>Error?</v>
      </c>
      <c r="E6279" s="2" t="s">
        <v>189</v>
      </c>
    </row>
    <row r="6280" spans="1:5" x14ac:dyDescent="0.2">
      <c r="A6280">
        <v>6219</v>
      </c>
      <c r="B6280" s="1832">
        <f>'Acct Summary 7-8'!G83</f>
        <v>-0.30965734711808107</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-6.6596917771004387</v>
      </c>
      <c r="D6282" s="2" t="str">
        <f t="shared" si="97"/>
        <v>Error?</v>
      </c>
      <c r="E6282" s="2" t="s">
        <v>189</v>
      </c>
    </row>
    <row r="6283" spans="1:5" x14ac:dyDescent="0.2">
      <c r="A6283">
        <v>6222</v>
      </c>
      <c r="B6283" s="1832">
        <f>'Acct Summary 7-8'!J83</f>
        <v>0.55187693865923915</v>
      </c>
      <c r="D6283" s="2" t="str">
        <f t="shared" si="97"/>
        <v>Error?</v>
      </c>
      <c r="E6283" s="2" t="s">
        <v>189</v>
      </c>
    </row>
    <row r="6284" spans="1:5" x14ac:dyDescent="0.2">
      <c r="A6284">
        <v>6223</v>
      </c>
      <c r="B6284" s="1832">
        <f>'Acct Summary 7-8'!K83</f>
        <v>0.25836269955683699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886154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886154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2855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2855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3053</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889009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26769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77054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132</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91065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6922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132</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9137</v>
      </c>
      <c r="D7009" s="2" t="str">
        <f t="shared" si="108"/>
        <v>Error?</v>
      </c>
    </row>
    <row r="7010" spans="1:4" x14ac:dyDescent="0.2">
      <c r="A7010">
        <v>6949</v>
      </c>
      <c r="B7010" s="1832">
        <f>'Expenditures 15-22'!K99</f>
        <v>9137</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9137</v>
      </c>
      <c r="D7012" s="2" t="str">
        <f t="shared" si="108"/>
        <v>Error?</v>
      </c>
    </row>
    <row r="7013" spans="1:4" x14ac:dyDescent="0.2">
      <c r="A7013">
        <v>6952</v>
      </c>
      <c r="B7013" s="1832">
        <f>'Expenditures 15-22'!K100</f>
        <v>9137</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132</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4777</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4777</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4777</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618751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4777</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889009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3202</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3202</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3202</v>
      </c>
      <c r="D7072" s="2" t="str">
        <f t="shared" si="109"/>
        <v>Error?</v>
      </c>
    </row>
    <row r="7073" spans="1:4" x14ac:dyDescent="0.2">
      <c r="A7073">
        <v>7012</v>
      </c>
      <c r="B7073" s="1832">
        <f>'Expenditures 15-22'!D216</f>
        <v>6255</v>
      </c>
      <c r="D7073" s="2" t="str">
        <f t="shared" si="109"/>
        <v>Error?</v>
      </c>
    </row>
    <row r="7074" spans="1:4" x14ac:dyDescent="0.2">
      <c r="A7074">
        <v>7013</v>
      </c>
      <c r="B7074" s="1832">
        <f>'Expenditures 15-22'!K216</f>
        <v>6255</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85</v>
      </c>
      <c r="D7079" s="2" t="str">
        <f t="shared" si="109"/>
        <v>Error?</v>
      </c>
    </row>
    <row r="7080" spans="1:4" x14ac:dyDescent="0.2">
      <c r="A7080">
        <v>7019</v>
      </c>
      <c r="B7080" s="1832">
        <f>'Expenditures 15-22'!K226</f>
        <v>85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4508</v>
      </c>
      <c r="D7093" s="2" t="str">
        <f t="shared" si="109"/>
        <v>Error?</v>
      </c>
    </row>
    <row r="7094" spans="1:4" x14ac:dyDescent="0.2">
      <c r="A7094">
        <v>7033</v>
      </c>
      <c r="B7094" s="1832">
        <f>'Expenditures 15-22'!K254</f>
        <v>4508</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51184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51184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410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410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138760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138760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327488</v>
      </c>
      <c r="D7172" s="2" t="str">
        <f t="shared" si="111"/>
        <v>Error?</v>
      </c>
    </row>
    <row r="7173" spans="1:4" x14ac:dyDescent="0.2">
      <c r="A7173">
        <v>7112</v>
      </c>
      <c r="B7173" s="1832">
        <f>'Expenditures 15-22'!D325</f>
        <v>44073</v>
      </c>
      <c r="D7173" s="2" t="str">
        <f t="shared" si="111"/>
        <v>Error?</v>
      </c>
    </row>
    <row r="7174" spans="1:4" x14ac:dyDescent="0.2">
      <c r="A7174">
        <v>7113</v>
      </c>
      <c r="B7174" s="1832">
        <f>'Expenditures 15-22'!E325</f>
        <v>44878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416439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11958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11958</v>
      </c>
      <c r="D7198" s="2" t="str">
        <f t="shared" si="111"/>
        <v>Error?</v>
      </c>
    </row>
    <row r="7199" spans="1:4" x14ac:dyDescent="0.2">
      <c r="A7199">
        <v>7138</v>
      </c>
      <c r="B7199" s="1832">
        <f>'Expenditures 15-22'!C330</f>
        <v>327488</v>
      </c>
      <c r="D7199" s="2" t="str">
        <f t="shared" si="111"/>
        <v>Error?</v>
      </c>
    </row>
    <row r="7200" spans="1:4" x14ac:dyDescent="0.2">
      <c r="A7200">
        <v>7139</v>
      </c>
      <c r="B7200" s="1832">
        <f>'Expenditures 15-22'!D330</f>
        <v>44073</v>
      </c>
      <c r="D7200" s="2" t="str">
        <f t="shared" si="111"/>
        <v>Error?</v>
      </c>
    </row>
    <row r="7201" spans="1:4" x14ac:dyDescent="0.2">
      <c r="A7201">
        <v>7140</v>
      </c>
      <c r="B7201" s="1832">
        <f>'Expenditures 15-22'!E330</f>
        <v>247190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618751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327488</v>
      </c>
      <c r="D7216" s="2" t="str">
        <f t="shared" si="111"/>
        <v>Error?</v>
      </c>
    </row>
    <row r="7217" spans="1:4" x14ac:dyDescent="0.2">
      <c r="A7217">
        <v>7156</v>
      </c>
      <c r="B7217" s="1832">
        <f>'Expenditures 15-22'!D342</f>
        <v>44073</v>
      </c>
      <c r="D7217" s="2" t="str">
        <f t="shared" si="111"/>
        <v>Error?</v>
      </c>
    </row>
    <row r="7218" spans="1:4" x14ac:dyDescent="0.2">
      <c r="A7218">
        <v>7157</v>
      </c>
      <c r="B7218" s="1832">
        <f>'Expenditures 15-22'!E342</f>
        <v>247190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618751</v>
      </c>
      <c r="D7224" s="2" t="str">
        <f t="shared" si="111"/>
        <v>Error?</v>
      </c>
    </row>
    <row r="7225" spans="1:4" x14ac:dyDescent="0.2">
      <c r="A7225">
        <v>7164</v>
      </c>
      <c r="B7225" s="1832">
        <f>'Expenditures 15-22'!K343</f>
        <v>270258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13381</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630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5860</v>
      </c>
      <c r="D7263" s="2" t="str">
        <f t="shared" si="112"/>
        <v>Error?</v>
      </c>
    </row>
    <row r="7264" spans="1:4" x14ac:dyDescent="0.2">
      <c r="A7264">
        <f t="shared" si="113"/>
        <v>7203</v>
      </c>
      <c r="B7264" s="1832">
        <f>'Expenditures 15-22'!D17</f>
        <v>610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452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1162247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-624</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677126</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-624</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105446</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-624</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3800000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20435000</v>
      </c>
      <c r="D7817" s="2" t="str">
        <f t="shared" si="128"/>
        <v>Error?</v>
      </c>
      <c r="E7817" s="4" t="s">
        <v>1966</v>
      </c>
    </row>
    <row r="7818" spans="1:5" x14ac:dyDescent="0.2">
      <c r="A7818">
        <v>7757</v>
      </c>
      <c r="B7818" s="1832">
        <f>'PCTC-OEPP 27-28'!F172</f>
        <v>224320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-306777</v>
      </c>
      <c r="D7820" s="2" t="str">
        <f t="shared" si="128"/>
        <v>Error?</v>
      </c>
    </row>
    <row r="7821" spans="1:5" x14ac:dyDescent="0.2">
      <c r="A7821">
        <v>7760</v>
      </c>
      <c r="B7821" s="1832">
        <f>'ICR Computation 30'!G40</f>
        <v>-306777</v>
      </c>
      <c r="D7821" s="2" t="str">
        <f t="shared" si="128"/>
        <v>Error?</v>
      </c>
    </row>
    <row r="7822" spans="1:5" x14ac:dyDescent="0.2">
      <c r="A7822" s="1">
        <v>7761</v>
      </c>
      <c r="B7822" s="1832">
        <f>'PCTC-OEPP 27-28'!F14</f>
        <v>17441114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91065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237331</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4348479</v>
      </c>
      <c r="D7834" s="2" t="str">
        <f t="shared" si="129"/>
        <v>Error?</v>
      </c>
      <c r="E7834" s="4" t="s">
        <v>1998</v>
      </c>
    </row>
    <row r="7835" spans="1:5" x14ac:dyDescent="0.2">
      <c r="A7835">
        <v>7774</v>
      </c>
      <c r="B7835" s="1832">
        <f>'PCTC-OEPP 27-28'!F78</f>
        <v>13092635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10926.007677543186</v>
      </c>
      <c r="D7837" s="2" t="str">
        <f t="shared" si="129"/>
        <v>Error?</v>
      </c>
      <c r="E7837" s="4" t="s">
        <v>1998</v>
      </c>
    </row>
    <row r="7838" spans="1:5" x14ac:dyDescent="0.2">
      <c r="A7838">
        <v>7777</v>
      </c>
      <c r="B7838" s="1832">
        <f>'PCTC-OEPP 27-28'!F96</f>
        <v>41658</v>
      </c>
      <c r="D7838" s="2" t="str">
        <f t="shared" si="129"/>
        <v>Error?</v>
      </c>
      <c r="E7838" s="4" t="s">
        <v>1998</v>
      </c>
    </row>
    <row r="7839" spans="1:5" x14ac:dyDescent="0.2">
      <c r="A7839">
        <v>7778</v>
      </c>
      <c r="B7839" s="1832">
        <f>'PCTC-OEPP 27-28'!F102</f>
        <v>9193</v>
      </c>
      <c r="D7839" s="2" t="str">
        <f t="shared" si="129"/>
        <v>Error?</v>
      </c>
      <c r="E7839" s="4" t="s">
        <v>1998</v>
      </c>
    </row>
    <row r="7840" spans="1:5" x14ac:dyDescent="0.2">
      <c r="A7840">
        <v>7779</v>
      </c>
      <c r="B7840" s="1832">
        <f>'PCTC-OEPP 27-28'!F103</f>
        <v>45227</v>
      </c>
      <c r="D7840" s="2" t="str">
        <f t="shared" si="129"/>
        <v>Error?</v>
      </c>
      <c r="E7840" s="4" t="s">
        <v>1998</v>
      </c>
    </row>
    <row r="7841" spans="1:5" x14ac:dyDescent="0.2">
      <c r="A7841">
        <v>7780</v>
      </c>
      <c r="B7841" s="1832">
        <f>'PCTC-OEPP 27-28'!F104</f>
        <v>1265</v>
      </c>
      <c r="D7841" s="2" t="str">
        <f t="shared" si="129"/>
        <v>Error?</v>
      </c>
      <c r="E7841" s="4" t="s">
        <v>1998</v>
      </c>
    </row>
    <row r="7842" spans="1:5" x14ac:dyDescent="0.2">
      <c r="A7842">
        <v>7781</v>
      </c>
      <c r="B7842" s="1832">
        <f>'PCTC-OEPP 27-28'!F106</f>
        <v>13687</v>
      </c>
      <c r="D7842" s="2" t="str">
        <f t="shared" si="129"/>
        <v>Error?</v>
      </c>
      <c r="E7842" s="4" t="s">
        <v>1998</v>
      </c>
    </row>
    <row r="7843" spans="1:5" x14ac:dyDescent="0.2">
      <c r="A7843">
        <v>7782</v>
      </c>
      <c r="B7843" s="1832">
        <f>'PCTC-OEPP 27-28'!F107</f>
        <v>26769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16641</v>
      </c>
      <c r="D7846" s="2" t="str">
        <f t="shared" si="129"/>
        <v>Error?</v>
      </c>
      <c r="E7846" s="4" t="s">
        <v>1998</v>
      </c>
    </row>
    <row r="7847" spans="1:5" x14ac:dyDescent="0.2">
      <c r="A7847">
        <v>7786</v>
      </c>
      <c r="B7847" s="1832">
        <f>'PCTC-OEPP 27-28'!F112</f>
        <v>422675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5625</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111458</v>
      </c>
      <c r="D7858" s="2" t="str">
        <f t="shared" si="129"/>
        <v>Error?</v>
      </c>
      <c r="E7858" s="4" t="s">
        <v>1998</v>
      </c>
    </row>
    <row r="7859" spans="1:5" x14ac:dyDescent="0.2">
      <c r="A7859">
        <v>7798</v>
      </c>
      <c r="B7859" s="1832">
        <f>'PCTC-OEPP 27-28'!F127</f>
        <v>165508</v>
      </c>
      <c r="D7859" s="2" t="str">
        <f t="shared" si="129"/>
        <v>Error?</v>
      </c>
      <c r="E7859" s="4" t="s">
        <v>1998</v>
      </c>
    </row>
    <row r="7860" spans="1:5" x14ac:dyDescent="0.2">
      <c r="A7860">
        <v>7799</v>
      </c>
      <c r="B7860" s="1832">
        <f>'PCTC-OEPP 27-28'!F128</f>
        <v>17997</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119542</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34330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1555</v>
      </c>
      <c r="D7874" s="2" t="str">
        <f t="shared" si="129"/>
        <v>Error?</v>
      </c>
      <c r="E7874" s="4" t="s">
        <v>1998</v>
      </c>
    </row>
    <row r="7875" spans="1:5" x14ac:dyDescent="0.2">
      <c r="A7875">
        <v>7814</v>
      </c>
      <c r="B7875" s="1832">
        <f>'PCTC-OEPP 27-28'!F170</f>
        <v>46504</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1895653</v>
      </c>
      <c r="D7877" s="2" t="str">
        <f t="shared" si="129"/>
        <v>Error?</v>
      </c>
      <c r="E7877" s="4" t="s">
        <v>1998</v>
      </c>
    </row>
    <row r="7878" spans="1:5" x14ac:dyDescent="0.2">
      <c r="A7878">
        <v>7817</v>
      </c>
      <c r="B7878" s="1832">
        <f>'PCTC-OEPP 27-28'!F176</f>
        <v>11196982</v>
      </c>
      <c r="D7878" s="2" t="str">
        <f t="shared" si="129"/>
        <v>Error?</v>
      </c>
      <c r="E7878" s="4" t="s">
        <v>1998</v>
      </c>
    </row>
    <row r="7879" spans="1:5" x14ac:dyDescent="0.2">
      <c r="A7879">
        <v>7818</v>
      </c>
      <c r="B7879" s="1832">
        <f>'PCTC-OEPP 27-28'!F178</f>
        <v>12359229</v>
      </c>
      <c r="D7879" s="2" t="str">
        <f t="shared" si="129"/>
        <v>Error?</v>
      </c>
      <c r="E7879" s="4" t="s">
        <v>1998</v>
      </c>
    </row>
    <row r="7880" spans="1:5" x14ac:dyDescent="0.2">
      <c r="A7880">
        <v>7819</v>
      </c>
      <c r="B7880" s="1832">
        <f>'PCTC-OEPP 27-28'!F180</f>
        <v>10313.96895602103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Pleasant Plains CUSD 8</v>
      </c>
      <c r="B7" s="2536"/>
      <c r="C7" s="2536"/>
      <c r="D7" s="2537"/>
      <c r="E7" s="2538">
        <f>COVER!A13</f>
        <v>51084008026</v>
      </c>
      <c r="F7" s="2539"/>
      <c r="G7" s="2545" t="str">
        <f>COVER!T23</f>
        <v>066-005315</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Pehlman and Dold, P.C.</v>
      </c>
      <c r="H9" s="2551"/>
      <c r="I9" s="2551"/>
      <c r="J9" s="2551"/>
      <c r="K9" s="2551"/>
      <c r="L9" s="2552"/>
    </row>
    <row r="10" spans="1:29" ht="13.5" customHeight="1" x14ac:dyDescent="0.2">
      <c r="A10" s="2524" t="str">
        <f>COVER!A38</f>
        <v>Matt Runge, Superintendent</v>
      </c>
      <c r="B10" s="2525"/>
      <c r="C10" s="2525"/>
      <c r="D10" s="2525"/>
      <c r="E10" s="2525"/>
      <c r="F10" s="2526"/>
      <c r="G10" s="2518" t="str">
        <f>COVER!T17</f>
        <v>100 North Amos Avenue</v>
      </c>
      <c r="H10" s="2519"/>
      <c r="I10" s="2519"/>
      <c r="J10" s="2519"/>
      <c r="K10" s="2519"/>
      <c r="L10" s="2520"/>
    </row>
    <row r="11" spans="1:29" ht="13.5" customHeight="1" x14ac:dyDescent="0.2">
      <c r="A11" s="963" t="s">
        <v>1502</v>
      </c>
      <c r="B11" s="964"/>
      <c r="C11" s="965"/>
      <c r="D11" s="970"/>
      <c r="E11" s="965"/>
      <c r="F11" s="969"/>
      <c r="G11" s="2518" t="str">
        <f>COVER!T19</f>
        <v>Springfield</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dfitzgerald@p-dcpas.com</v>
      </c>
      <c r="J13" s="2531"/>
      <c r="K13" s="2531"/>
      <c r="L13" s="2532"/>
    </row>
    <row r="14" spans="1:29" ht="13.5" customHeight="1" x14ac:dyDescent="0.2">
      <c r="A14" s="2518" t="str">
        <f>COVER!A19</f>
        <v>315 West Church Street</v>
      </c>
      <c r="B14" s="2519"/>
      <c r="C14" s="2519"/>
      <c r="D14" s="2519"/>
      <c r="E14" s="2519"/>
      <c r="F14" s="2520"/>
      <c r="G14" s="974" t="s">
        <v>1175</v>
      </c>
      <c r="H14" s="972"/>
      <c r="I14" s="972"/>
      <c r="J14" s="972"/>
      <c r="K14" s="972"/>
      <c r="L14" s="973"/>
    </row>
    <row r="15" spans="1:29" ht="13.5" customHeight="1" x14ac:dyDescent="0.2">
      <c r="A15" s="2518" t="str">
        <f>COVER!A21</f>
        <v>Pleasant Plains CUSD #8</v>
      </c>
      <c r="B15" s="2519"/>
      <c r="C15" s="2519"/>
      <c r="D15" s="2519"/>
      <c r="E15" s="2519"/>
      <c r="F15" s="2520"/>
      <c r="G15" s="2515" t="str">
        <f>COVER!T15</f>
        <v>Dorinda L Fitzgerald</v>
      </c>
      <c r="H15" s="2516"/>
      <c r="I15" s="2516"/>
      <c r="J15" s="2516"/>
      <c r="K15" s="2516"/>
      <c r="L15" s="2517"/>
    </row>
    <row r="16" spans="1:29" ht="12.2" customHeight="1" x14ac:dyDescent="0.2">
      <c r="A16" s="2541">
        <f>COVER!A25</f>
        <v>62677</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(217) 787-0563</v>
      </c>
      <c r="H18" s="2536"/>
      <c r="I18" s="2536"/>
      <c r="J18" s="2536"/>
      <c r="K18" s="2535" t="str">
        <f>COVER!X21</f>
        <v>(217) 787-9266</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Pleasant Plains CUSD 8</v>
      </c>
      <c r="B1" s="2558"/>
      <c r="C1" s="2558"/>
      <c r="D1" s="2558"/>
    </row>
    <row r="2" spans="1:11" s="991" customFormat="1" ht="12.75" x14ac:dyDescent="0.2">
      <c r="A2" s="2559">
        <f>'Single Audit Cover'!E7</f>
        <v>51084008026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Pleasant Plains CUSD 8</v>
      </c>
      <c r="B1" s="2562"/>
      <c r="C1" s="2562"/>
      <c r="D1" s="2562"/>
      <c r="E1" s="2562"/>
    </row>
    <row r="2" spans="1:5" x14ac:dyDescent="0.2">
      <c r="A2" s="2563">
        <f>'Single Audit Cover'!E7</f>
        <v>51084008026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496894</v>
      </c>
    </row>
    <row r="11" spans="1:5" ht="18" customHeight="1" x14ac:dyDescent="0.2">
      <c r="A11" s="1037" t="s">
        <v>1229</v>
      </c>
      <c r="B11" s="1038"/>
      <c r="C11" s="1038"/>
    </row>
    <row r="12" spans="1:5" x14ac:dyDescent="0.2">
      <c r="A12" s="1037" t="s">
        <v>1228</v>
      </c>
      <c r="B12" s="1038" t="s">
        <v>1227</v>
      </c>
      <c r="C12" s="1038"/>
      <c r="D12" s="1040">
        <f>SUM('Revenues 9-14'!C112:D112,'Revenues 9-14'!F112:G112)</f>
        <v>74295</v>
      </c>
    </row>
    <row r="13" spans="1:5" x14ac:dyDescent="0.2">
      <c r="A13" s="1037" t="s">
        <v>1226</v>
      </c>
      <c r="B13" s="1038"/>
      <c r="C13" s="1038"/>
    </row>
    <row r="14" spans="1:5" x14ac:dyDescent="0.2">
      <c r="A14" s="1037" t="s">
        <v>2004</v>
      </c>
      <c r="B14" s="1038"/>
      <c r="C14" s="1038"/>
      <c r="D14" s="1040">
        <f>'ICR Computation 30'!E11</f>
        <v>25136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-46504</v>
      </c>
    </row>
    <row r="19" spans="1:4" ht="13.5" thickBot="1" x14ac:dyDescent="0.25">
      <c r="A19" s="1041" t="s">
        <v>1224</v>
      </c>
      <c r="D19" s="1042">
        <f>SUM(D10:D17)</f>
        <v>549821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549821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549821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Pleasant Plains CUSD 8</v>
      </c>
      <c r="C1" s="2566"/>
      <c r="D1" s="2566"/>
      <c r="E1" s="2566"/>
      <c r="F1" s="2566"/>
      <c r="G1" s="2566"/>
      <c r="H1" s="2566"/>
      <c r="I1" s="2566"/>
      <c r="J1" s="2566"/>
      <c r="K1" s="2566"/>
      <c r="L1" s="2566"/>
      <c r="M1" s="2566"/>
    </row>
    <row r="2" spans="2:14" ht="15" x14ac:dyDescent="0.2">
      <c r="B2" s="2567">
        <f>'Single Audit Cover'!E7</f>
        <v>51084008026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Pleasant Plains CUSD 8</v>
      </c>
      <c r="B1" s="2579"/>
      <c r="C1" s="2579"/>
      <c r="D1" s="2579"/>
      <c r="E1" s="2579"/>
      <c r="F1" s="2579"/>
    </row>
    <row r="2" spans="1:7" ht="13.5" customHeight="1" x14ac:dyDescent="0.2">
      <c r="A2" s="2567">
        <f>'Single Audit Cover'!E7</f>
        <v>51084008026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 sqref="D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2057</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t="s">
        <v>2057</v>
      </c>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2057</v>
      </c>
      <c r="C53" s="174">
        <v>22</v>
      </c>
      <c r="D53" s="242" t="s">
        <v>1445</v>
      </c>
      <c r="E53" s="243"/>
      <c r="F53" s="244"/>
      <c r="G53" s="244" t="s">
        <v>1444</v>
      </c>
      <c r="H53" s="245">
        <v>35431</v>
      </c>
      <c r="I53" s="232" t="s">
        <v>1466</v>
      </c>
    </row>
    <row r="54" spans="1:10" s="176" customFormat="1" x14ac:dyDescent="0.2">
      <c r="A54" s="214"/>
      <c r="B54" s="215" t="s">
        <v>2057</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2067</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2102</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Pleasant Plains CUSD 8</v>
      </c>
      <c r="C1" s="2594"/>
      <c r="D1" s="2594"/>
      <c r="E1" s="2594"/>
      <c r="F1" s="2594"/>
      <c r="G1" s="2594"/>
      <c r="H1" s="2594"/>
      <c r="I1" s="2594"/>
      <c r="J1" s="1178"/>
    </row>
    <row r="2" spans="2:10" s="295" customFormat="1" ht="12.75" customHeight="1" x14ac:dyDescent="0.2">
      <c r="B2" s="2595">
        <f>'Single Audit Cover'!E7</f>
        <v>51084008026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S16" sqref="S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Pleasant Plains CUSD 8</v>
      </c>
      <c r="C1" s="2593"/>
      <c r="D1" s="2593"/>
      <c r="E1" s="2593"/>
      <c r="F1" s="2593"/>
      <c r="G1" s="2593"/>
      <c r="H1" s="2593"/>
      <c r="I1" s="2593"/>
      <c r="J1" s="2593"/>
      <c r="K1" s="2593"/>
      <c r="L1" s="1144"/>
      <c r="M1" s="1144"/>
    </row>
    <row r="2" spans="1:13" ht="12" customHeight="1" x14ac:dyDescent="0.2">
      <c r="B2" s="2595">
        <f>'Single Audit Cover'!E7</f>
        <v>51084008026</v>
      </c>
      <c r="C2" s="2595"/>
      <c r="D2" s="2595"/>
      <c r="E2" s="2595"/>
      <c r="F2" s="2595"/>
      <c r="G2" s="2595"/>
      <c r="H2" s="2595"/>
      <c r="I2" s="2595"/>
      <c r="J2" s="2595"/>
      <c r="K2" s="2595"/>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t="s">
        <v>2057</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2076</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2100</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2077</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2101</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2078</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t="s">
        <v>2079</v>
      </c>
      <c r="C29" s="2607"/>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t="s">
        <v>2080</v>
      </c>
      <c r="C32" s="2607"/>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1"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Pleasant Plains CUSD 8</v>
      </c>
      <c r="C1" s="2615"/>
      <c r="D1" s="2615"/>
      <c r="E1" s="2615"/>
      <c r="F1" s="2615"/>
      <c r="G1" s="2615"/>
      <c r="H1" s="2615"/>
      <c r="I1" s="2615"/>
      <c r="J1" s="2615"/>
      <c r="K1" s="2615"/>
      <c r="L1" s="1221"/>
    </row>
    <row r="2" spans="1:12" ht="12.75" customHeight="1" x14ac:dyDescent="0.2">
      <c r="B2" s="2616">
        <f>'Single Audit Cover'!E7</f>
        <v>51084008026</v>
      </c>
      <c r="C2" s="2616"/>
      <c r="D2" s="2616"/>
      <c r="E2" s="2616"/>
      <c r="F2" s="2616"/>
      <c r="G2" s="2616"/>
      <c r="H2" s="2616"/>
      <c r="I2" s="2616"/>
      <c r="J2" s="2616"/>
      <c r="K2" s="2616"/>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2"/>
      <c r="E14" s="2612"/>
      <c r="F14" s="2612"/>
      <c r="H14" s="1230" t="s">
        <v>1292</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3"/>
      <c r="E16" s="2613"/>
      <c r="F16" s="2613"/>
      <c r="G16" s="2613"/>
      <c r="H16" s="2613"/>
      <c r="I16" s="2613"/>
      <c r="J16" s="2613"/>
      <c r="K16" s="2613"/>
      <c r="L16" s="300"/>
    </row>
    <row r="17" spans="2:12" ht="13.5" customHeight="1" x14ac:dyDescent="0.2">
      <c r="B17" s="1156" t="s">
        <v>1290</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Pleasant Plains CUSD 8</v>
      </c>
      <c r="C1" s="2593"/>
      <c r="D1" s="2593"/>
      <c r="E1" s="1240"/>
    </row>
    <row r="2" spans="2:5" s="1058" customFormat="1" ht="12.75" customHeight="1" x14ac:dyDescent="0.2">
      <c r="B2" s="2595">
        <f>'Single Audit Cover'!E7</f>
        <v>51084008026</v>
      </c>
      <c r="C2" s="2595"/>
      <c r="D2" s="2595"/>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230652216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3.4713000000000001E-2</v>
      </c>
      <c r="E10" s="333" t="s">
        <v>998</v>
      </c>
      <c r="F10" s="332">
        <v>5.4770000000000001E-3</v>
      </c>
      <c r="G10" s="333" t="s">
        <v>998</v>
      </c>
      <c r="H10" s="332">
        <v>1.957E-3</v>
      </c>
      <c r="I10" s="333" t="s">
        <v>999</v>
      </c>
      <c r="J10" s="1424">
        <f>ROUND(D10+F10+H10,5)</f>
        <v>4.215E-2</v>
      </c>
      <c r="K10" s="217"/>
      <c r="L10" s="332">
        <v>2.3499999999999999E-4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14530255</v>
      </c>
      <c r="E16" s="1547"/>
      <c r="F16" s="1546">
        <f>SUM('Acct Summary 7-8'!C17,'Acct Summary 7-8'!D17,'Acct Summary 7-8'!F17)</f>
        <v>15332522</v>
      </c>
      <c r="G16" s="1547"/>
      <c r="H16" s="1546">
        <f>SUM(D16-F16)</f>
        <v>-802267</v>
      </c>
      <c r="I16" s="1548"/>
      <c r="J16" s="1546">
        <f>SUM('Acct Summary 7-8'!C81,'Acct Summary 7-8'!D81,'Acct Summary 7-8'!F81,'Acct Summary 7-8'!I81)</f>
        <v>12247209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31830005.808000002</v>
      </c>
      <c r="I31" s="345"/>
      <c r="J31" s="217"/>
      <c r="K31" s="217"/>
      <c r="L31" s="217"/>
      <c r="M31" s="217"/>
    </row>
    <row r="32" spans="1:13" ht="13.35" customHeight="1" x14ac:dyDescent="0.2">
      <c r="B32" s="346" t="s">
        <v>2057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15965000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26" sqref="T2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Pleasant Plains CUSD 8</v>
      </c>
      <c r="E7" s="368"/>
      <c r="G7" s="247"/>
      <c r="H7" s="364"/>
      <c r="I7" s="364"/>
      <c r="J7" s="364"/>
      <c r="K7" s="364"/>
      <c r="L7" s="307"/>
      <c r="M7" s="307"/>
      <c r="N7" s="307"/>
      <c r="O7" s="307"/>
      <c r="P7" s="307"/>
    </row>
    <row r="8" spans="1:18" ht="12.75" x14ac:dyDescent="0.2">
      <c r="A8" s="307"/>
      <c r="B8" s="307"/>
      <c r="C8" s="366" t="s">
        <v>1115</v>
      </c>
      <c r="D8" s="369">
        <f>COVER!A13</f>
        <v>51084008026</v>
      </c>
      <c r="E8" s="370"/>
      <c r="G8" s="307"/>
      <c r="H8" s="307"/>
      <c r="I8" s="307"/>
      <c r="J8" s="307"/>
      <c r="K8" s="307"/>
      <c r="L8" s="307"/>
      <c r="M8" s="307"/>
      <c r="N8" s="307"/>
      <c r="O8" s="307"/>
      <c r="P8" s="307"/>
    </row>
    <row r="9" spans="1:18" ht="12.75" x14ac:dyDescent="0.2">
      <c r="A9" s="307"/>
      <c r="B9" s="307"/>
      <c r="C9" s="366" t="s">
        <v>708</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12247209</v>
      </c>
      <c r="I12" s="380"/>
      <c r="J12" s="380"/>
      <c r="K12" s="1559">
        <f>TRUNC((H12/H13*100000),5)/100000</f>
        <v>0.84287639819999993</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14530255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15332522</v>
      </c>
      <c r="I17" s="380"/>
      <c r="J17" s="389"/>
      <c r="K17" s="1559">
        <f>TRUNC((H17/H18*100000),5)/100000</f>
        <v>1.0552135525999999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14530255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13.454602400000001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12276253</v>
      </c>
      <c r="I24" s="394"/>
      <c r="J24" s="394"/>
      <c r="K24" s="1555">
        <f>TRUNC(((H24/H25*100000)/100000),2)</f>
        <v>288.24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42590.338889999999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8263692.2687400002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15965000</v>
      </c>
      <c r="I32" s="392"/>
      <c r="J32" s="392"/>
      <c r="K32" s="1555">
        <f>TRUNC(100-((((H32/H33*100))*100)/100),2)</f>
        <v>49.84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31830005.808000002</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6" sqref="T26"/>
      <selection pane="bottomLeft" activeCell="T26" sqref="T2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3576969</v>
      </c>
      <c r="D4" s="1573">
        <v>3746262</v>
      </c>
      <c r="E4" s="1573">
        <v>432179</v>
      </c>
      <c r="F4" s="1573">
        <v>2095970</v>
      </c>
      <c r="G4" s="1573">
        <v>122663</v>
      </c>
      <c r="H4" s="1573">
        <v>10412003</v>
      </c>
      <c r="I4" s="1573">
        <v>477886</v>
      </c>
      <c r="J4" s="1574">
        <v>330943</v>
      </c>
      <c r="K4" s="1573">
        <v>525517</v>
      </c>
      <c r="L4" s="1573">
        <v>528485</v>
      </c>
      <c r="M4" s="1575"/>
      <c r="N4" s="1576"/>
    </row>
    <row r="5" spans="1:14" x14ac:dyDescent="0.2">
      <c r="A5" s="427" t="s">
        <v>985</v>
      </c>
      <c r="B5" s="429">
        <v>120</v>
      </c>
      <c r="C5" s="1572">
        <v>2109744</v>
      </c>
      <c r="D5" s="1573">
        <v>43214</v>
      </c>
      <c r="E5" s="1573">
        <v>6111</v>
      </c>
      <c r="F5" s="1573">
        <v>142747</v>
      </c>
      <c r="G5" s="1573">
        <v>209685</v>
      </c>
      <c r="H5" s="1573"/>
      <c r="I5" s="1573">
        <v>83461</v>
      </c>
      <c r="J5" s="1574">
        <v>158764</v>
      </c>
      <c r="K5" s="1577">
        <v>73811</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v>7977</v>
      </c>
      <c r="G11" s="1574"/>
      <c r="H11" s="1574"/>
      <c r="I11" s="1583"/>
      <c r="J11" s="1583"/>
      <c r="K11" s="1574"/>
      <c r="L11" s="1574"/>
      <c r="M11" s="1576"/>
      <c r="N11" s="1576"/>
    </row>
    <row r="12" spans="1:14" ht="13.5" customHeight="1" x14ac:dyDescent="0.2">
      <c r="A12" s="430" t="s">
        <v>416</v>
      </c>
      <c r="B12" s="429">
        <v>190</v>
      </c>
      <c r="C12" s="1572">
        <v>164</v>
      </c>
      <c r="D12" s="1573"/>
      <c r="E12" s="1573"/>
      <c r="F12" s="1573"/>
      <c r="G12" s="1573"/>
      <c r="H12" s="1573"/>
      <c r="I12" s="1573"/>
      <c r="J12" s="1574"/>
      <c r="K12" s="1573"/>
      <c r="L12" s="1573"/>
      <c r="M12" s="1576"/>
      <c r="N12" s="1576"/>
    </row>
    <row r="13" spans="1:14" ht="13.5" customHeight="1" thickBot="1" x14ac:dyDescent="0.25">
      <c r="A13" s="1426" t="s">
        <v>639</v>
      </c>
      <c r="B13" s="1407"/>
      <c r="C13" s="1587">
        <f>SUM(C4:C12)</f>
        <v>5686877</v>
      </c>
      <c r="D13" s="1587">
        <f t="shared" ref="D13:L13" si="0">SUM(D4:D12)</f>
        <v>3789476</v>
      </c>
      <c r="E13" s="1587">
        <f t="shared" si="0"/>
        <v>438290</v>
      </c>
      <c r="F13" s="1587">
        <f t="shared" si="0"/>
        <v>2246694</v>
      </c>
      <c r="G13" s="1587">
        <f t="shared" si="0"/>
        <v>332348</v>
      </c>
      <c r="H13" s="1587">
        <f t="shared" si="0"/>
        <v>10412003</v>
      </c>
      <c r="I13" s="1587">
        <f t="shared" si="0"/>
        <v>561347</v>
      </c>
      <c r="J13" s="1587">
        <f t="shared" si="0"/>
        <v>489707</v>
      </c>
      <c r="K13" s="1587">
        <f t="shared" si="0"/>
        <v>599328</v>
      </c>
      <c r="L13" s="1587">
        <f t="shared" si="0"/>
        <v>528485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767974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38642310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835659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3056228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2361319</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438290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15526710</v>
      </c>
    </row>
    <row r="23" spans="1:14" ht="13.5" customHeight="1" thickBot="1" x14ac:dyDescent="0.25">
      <c r="A23" s="1426" t="s">
        <v>638</v>
      </c>
      <c r="B23" s="1429"/>
      <c r="C23" s="1575"/>
      <c r="D23" s="1575"/>
      <c r="E23" s="1575"/>
      <c r="F23" s="1575"/>
      <c r="G23" s="1575"/>
      <c r="H23" s="1575"/>
      <c r="I23" s="1575"/>
      <c r="J23" s="1575"/>
      <c r="K23" s="1575"/>
      <c r="L23" s="1575"/>
      <c r="M23" s="1594">
        <f>SUM(M15:M22)</f>
        <v>45663490</v>
      </c>
      <c r="N23" s="1594">
        <f>SUM(N21:N22)</f>
        <v>15965000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34601</v>
      </c>
      <c r="D31" s="1574">
        <v>2584</v>
      </c>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179438</v>
      </c>
      <c r="M33" s="1575"/>
      <c r="N33" s="1576"/>
    </row>
    <row r="34" spans="1:14" ht="13.5" customHeight="1" thickBot="1" x14ac:dyDescent="0.25">
      <c r="A34" s="1427" t="s">
        <v>649</v>
      </c>
      <c r="B34" s="1428"/>
      <c r="C34" s="1600">
        <f>SUM(C25:C33)</f>
        <v>34601</v>
      </c>
      <c r="D34" s="1600">
        <f t="shared" ref="D34:K34" si="1">SUM(D25:D33)</f>
        <v>2584</v>
      </c>
      <c r="E34" s="1600">
        <f t="shared" si="1"/>
        <v>0</v>
      </c>
      <c r="F34" s="1600">
        <f t="shared" si="1"/>
        <v>0</v>
      </c>
      <c r="G34" s="1600">
        <f t="shared" si="1"/>
        <v>0</v>
      </c>
      <c r="H34" s="1600">
        <f t="shared" si="1"/>
        <v>0</v>
      </c>
      <c r="I34" s="1600">
        <f t="shared" si="1"/>
        <v>0</v>
      </c>
      <c r="J34" s="1600">
        <f t="shared" si="1"/>
        <v>0</v>
      </c>
      <c r="K34" s="1600">
        <f t="shared" si="1"/>
        <v>0</v>
      </c>
      <c r="L34" s="1601">
        <f>SUM(L33)</f>
        <v>179438</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15965000</v>
      </c>
    </row>
    <row r="37" spans="1:14" ht="13.5" thickBot="1" x14ac:dyDescent="0.25">
      <c r="A37" s="1426" t="s">
        <v>648</v>
      </c>
      <c r="B37" s="1429"/>
      <c r="C37" s="1582"/>
      <c r="D37" s="1582"/>
      <c r="E37" s="1582"/>
      <c r="F37" s="1582"/>
      <c r="G37" s="1582"/>
      <c r="H37" s="1582"/>
      <c r="I37" s="1582"/>
      <c r="J37" s="1582"/>
      <c r="K37" s="1582"/>
      <c r="L37" s="1585"/>
      <c r="M37" s="1575"/>
      <c r="N37" s="1594">
        <f>SUM(N36:N36)</f>
        <v>15965000</v>
      </c>
    </row>
    <row r="38" spans="1:14" s="307" customFormat="1" ht="13.5" customHeight="1" thickTop="1" x14ac:dyDescent="0.2">
      <c r="A38" s="438" t="s">
        <v>417</v>
      </c>
      <c r="B38" s="432">
        <v>714</v>
      </c>
      <c r="C38" s="1573">
        <v>4767</v>
      </c>
      <c r="D38" s="1573"/>
      <c r="E38" s="1573"/>
      <c r="F38" s="1573"/>
      <c r="G38" s="1573"/>
      <c r="H38" s="1573">
        <v>10412003</v>
      </c>
      <c r="I38" s="1573"/>
      <c r="J38" s="1574"/>
      <c r="K38" s="1573"/>
      <c r="L38" s="1586"/>
      <c r="M38" s="1604"/>
      <c r="N38" s="1604"/>
    </row>
    <row r="39" spans="1:14" s="307" customFormat="1" ht="13.5" customHeight="1" x14ac:dyDescent="0.2">
      <c r="A39" s="438" t="s">
        <v>339</v>
      </c>
      <c r="B39" s="432">
        <v>730</v>
      </c>
      <c r="C39" s="1573">
        <v>5647509</v>
      </c>
      <c r="D39" s="1573">
        <v>3786892</v>
      </c>
      <c r="E39" s="1573">
        <v>438290</v>
      </c>
      <c r="F39" s="1573">
        <v>2246694</v>
      </c>
      <c r="G39" s="1573">
        <v>332348</v>
      </c>
      <c r="H39" s="1573"/>
      <c r="I39" s="1573">
        <v>561347</v>
      </c>
      <c r="J39" s="1574">
        <v>489707</v>
      </c>
      <c r="K39" s="1573">
        <v>599328</v>
      </c>
      <c r="L39" s="1573">
        <v>349047</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45663490</v>
      </c>
      <c r="N40" s="1604"/>
    </row>
    <row r="41" spans="1:14" ht="13.5" customHeight="1" thickBot="1" x14ac:dyDescent="0.25">
      <c r="A41" s="1426" t="s">
        <v>650</v>
      </c>
      <c r="B41" s="1405"/>
      <c r="C41" s="1594">
        <f>(SUM(C34,C37,C38,C39))</f>
        <v>5686877</v>
      </c>
      <c r="D41" s="1594">
        <f t="shared" ref="D41:L41" si="2">SUM(D34,D37,D38:D39)</f>
        <v>3789476</v>
      </c>
      <c r="E41" s="1594">
        <f t="shared" si="2"/>
        <v>438290</v>
      </c>
      <c r="F41" s="1594">
        <f t="shared" si="2"/>
        <v>2246694</v>
      </c>
      <c r="G41" s="1594">
        <f t="shared" si="2"/>
        <v>332348</v>
      </c>
      <c r="H41" s="1594">
        <f t="shared" si="2"/>
        <v>10412003</v>
      </c>
      <c r="I41" s="1594">
        <f t="shared" si="2"/>
        <v>561347</v>
      </c>
      <c r="J41" s="1594">
        <f t="shared" si="2"/>
        <v>489707</v>
      </c>
      <c r="K41" s="1594">
        <f t="shared" si="2"/>
        <v>599328</v>
      </c>
      <c r="L41" s="1594">
        <f t="shared" si="2"/>
        <v>528485</v>
      </c>
      <c r="M41" s="1594">
        <f>SUM(M40)</f>
        <v>45663490</v>
      </c>
      <c r="N41" s="1594">
        <f>SUM(N37)</f>
        <v>15965000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2" activePane="bottomLeft" state="frozen"/>
      <selection activeCell="T26" sqref="T26"/>
      <selection pane="bottomLeft" activeCell="T26" sqref="T2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9484352</v>
      </c>
      <c r="D4" s="1606">
        <f>'Revenues 9-14'!D109</f>
        <v>1515944</v>
      </c>
      <c r="E4" s="1606">
        <f>'Revenues 9-14'!E109</f>
        <v>1593430</v>
      </c>
      <c r="F4" s="1606">
        <f>'Revenues 9-14'!F109</f>
        <v>531233</v>
      </c>
      <c r="G4" s="1606">
        <f>'Revenues 9-14'!G109</f>
        <v>339539</v>
      </c>
      <c r="H4" s="1606">
        <f>'Revenues 9-14'!H109</f>
        <v>0</v>
      </c>
      <c r="I4" s="1606">
        <f>'Revenues 9-14'!I109</f>
        <v>61602</v>
      </c>
      <c r="J4" s="1606">
        <f>'Revenues 9-14'!J109</f>
        <v>889009</v>
      </c>
      <c r="K4" s="1606">
        <f>'Revenues 9-14'!K109</f>
        <v>154844</v>
      </c>
      <c r="L4" s="325"/>
    </row>
    <row r="5" spans="1:13" ht="15.75" customHeight="1" x14ac:dyDescent="0.2">
      <c r="A5" s="1314" t="s">
        <v>1483</v>
      </c>
      <c r="B5" s="1315">
        <v>2000</v>
      </c>
      <c r="C5" s="1607">
        <f>'Revenues 9-14'!C114</f>
        <v>93710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1895593</v>
      </c>
      <c r="D6" s="1607">
        <f>'Revenues 9-14'!D170</f>
        <v>0</v>
      </c>
      <c r="E6" s="1607">
        <f>'Revenues 9-14'!E170</f>
        <v>0</v>
      </c>
      <c r="F6" s="1607">
        <f>'Revenues 9-14'!F170</f>
        <v>450927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496894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11970549</v>
      </c>
      <c r="D8" s="1594">
        <f t="shared" ref="D8:K8" si="0">SUM(D4:D7)</f>
        <v>1515944</v>
      </c>
      <c r="E8" s="1594">
        <f t="shared" si="0"/>
        <v>1593430</v>
      </c>
      <c r="F8" s="1594">
        <f t="shared" si="0"/>
        <v>982160</v>
      </c>
      <c r="G8" s="1594">
        <f t="shared" si="0"/>
        <v>339539</v>
      </c>
      <c r="H8" s="1594">
        <f t="shared" si="0"/>
        <v>0</v>
      </c>
      <c r="I8" s="1594">
        <f t="shared" si="0"/>
        <v>61602</v>
      </c>
      <c r="J8" s="1594">
        <f t="shared" si="0"/>
        <v>889009</v>
      </c>
      <c r="K8" s="1594">
        <f t="shared" si="0"/>
        <v>154844</v>
      </c>
      <c r="L8" s="325"/>
    </row>
    <row r="9" spans="1:13" ht="15.75" thickTop="1" x14ac:dyDescent="0.2">
      <c r="A9" s="449" t="s">
        <v>1634</v>
      </c>
      <c r="B9" s="450">
        <v>3998</v>
      </c>
      <c r="C9" s="1586">
        <v>4968383</v>
      </c>
      <c r="D9" s="1613"/>
      <c r="E9" s="1586"/>
      <c r="F9" s="1586"/>
      <c r="G9" s="1614"/>
      <c r="H9" s="1586"/>
      <c r="I9" s="1609" t="s">
        <v>1159</v>
      </c>
      <c r="J9" s="1583"/>
      <c r="K9" s="1586"/>
      <c r="L9" s="325"/>
    </row>
    <row r="10" spans="1:13" s="452" customFormat="1" ht="13.5" thickBot="1" x14ac:dyDescent="0.25">
      <c r="A10" s="1426" t="s">
        <v>1163</v>
      </c>
      <c r="B10" s="1407"/>
      <c r="C10" s="1594">
        <f>SUM(C8:C9)</f>
        <v>16938932</v>
      </c>
      <c r="D10" s="1594">
        <f t="shared" ref="D10:K10" si="1">SUM(D8:D9)</f>
        <v>1515944</v>
      </c>
      <c r="E10" s="1594">
        <f t="shared" si="1"/>
        <v>1593430</v>
      </c>
      <c r="F10" s="1594">
        <f t="shared" si="1"/>
        <v>982160</v>
      </c>
      <c r="G10" s="1594">
        <f t="shared" si="1"/>
        <v>339539</v>
      </c>
      <c r="H10" s="1594">
        <f t="shared" si="1"/>
        <v>0</v>
      </c>
      <c r="I10" s="1594">
        <f t="shared" si="1"/>
        <v>61602</v>
      </c>
      <c r="J10" s="1594">
        <f t="shared" si="1"/>
        <v>889009</v>
      </c>
      <c r="K10" s="1594">
        <f t="shared" si="1"/>
        <v>154844</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7690462</v>
      </c>
      <c r="D12" s="1616" t="s">
        <v>1159</v>
      </c>
      <c r="E12" s="1575" t="s">
        <v>1159</v>
      </c>
      <c r="F12" s="1575" t="s">
        <v>1159</v>
      </c>
      <c r="G12" s="1606">
        <f>'Expenditures 15-22'!K229</f>
        <v>161245</v>
      </c>
      <c r="H12" s="1617"/>
      <c r="I12" s="1575" t="s">
        <v>1159</v>
      </c>
      <c r="J12" s="1575" t="s">
        <v>1159</v>
      </c>
      <c r="K12" s="1617" t="s">
        <v>1159</v>
      </c>
      <c r="L12" s="325"/>
    </row>
    <row r="13" spans="1:13" ht="15.75" customHeight="1" x14ac:dyDescent="0.2">
      <c r="A13" s="1314" t="s">
        <v>454</v>
      </c>
      <c r="B13" s="1316">
        <v>2000</v>
      </c>
      <c r="C13" s="1607">
        <f>'Expenditures 15-22'!K74</f>
        <v>2542041</v>
      </c>
      <c r="D13" s="1607">
        <f>'Expenditures 15-22'!K129</f>
        <v>3353408</v>
      </c>
      <c r="E13" s="1576" t="s">
        <v>1159</v>
      </c>
      <c r="F13" s="1607">
        <f>'Expenditures 15-22'!K184</f>
        <v>996096</v>
      </c>
      <c r="G13" s="1607">
        <f>'Expenditures 15-22'!K279</f>
        <v>263091</v>
      </c>
      <c r="H13" s="1607">
        <f>'Expenditures 15-22'!K303</f>
        <v>672736</v>
      </c>
      <c r="I13" s="1575" t="s">
        <v>1159</v>
      </c>
      <c r="J13" s="1607">
        <f>'Expenditures 15-22'!K330</f>
        <v>618751</v>
      </c>
      <c r="K13" s="1618">
        <f>'Expenditures 15-22'!K352</f>
        <v>0</v>
      </c>
      <c r="L13" s="325"/>
    </row>
    <row r="14" spans="1:13" ht="15.75" customHeight="1" x14ac:dyDescent="0.2">
      <c r="A14" s="1314" t="s">
        <v>446</v>
      </c>
      <c r="B14" s="1316">
        <v>3000</v>
      </c>
      <c r="C14" s="1607">
        <f>'Expenditures 15-22'!K75</f>
        <v>237331</v>
      </c>
      <c r="D14" s="1607">
        <f>'Expenditures 15-22'!K130</f>
        <v>0</v>
      </c>
      <c r="E14" s="1616" t="s">
        <v>1159</v>
      </c>
      <c r="F14" s="1607">
        <f>'Expenditures 15-22'!K185</f>
        <v>0</v>
      </c>
      <c r="G14" s="1607">
        <f>'Expenditures 15-22'!K280</f>
        <v>18117</v>
      </c>
      <c r="H14" s="1612"/>
      <c r="I14" s="1575" t="s">
        <v>1159</v>
      </c>
      <c r="J14" s="1575" t="s">
        <v>1159</v>
      </c>
      <c r="K14" s="1612" t="s">
        <v>1159</v>
      </c>
      <c r="L14" s="325"/>
    </row>
    <row r="15" spans="1:13" ht="15.75" customHeight="1" x14ac:dyDescent="0.2">
      <c r="A15" s="1314" t="s">
        <v>107</v>
      </c>
      <c r="B15" s="1316">
        <v>4000</v>
      </c>
      <c r="C15" s="1607">
        <f>'Expenditures 15-22'!K102</f>
        <v>502603</v>
      </c>
      <c r="D15" s="1607">
        <f>'Expenditures 15-22'!K139</f>
        <v>10581</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1047388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10972437</v>
      </c>
      <c r="D17" s="1594">
        <f t="shared" si="2"/>
        <v>3363989</v>
      </c>
      <c r="E17" s="1594">
        <f t="shared" si="2"/>
        <v>1047388</v>
      </c>
      <c r="F17" s="1594">
        <f t="shared" si="2"/>
        <v>996096</v>
      </c>
      <c r="G17" s="1594">
        <f t="shared" si="2"/>
        <v>442453</v>
      </c>
      <c r="H17" s="1594">
        <f t="shared" si="2"/>
        <v>672736</v>
      </c>
      <c r="I17" s="1575"/>
      <c r="J17" s="1594">
        <f>SUM(J12:J16)</f>
        <v>618751</v>
      </c>
      <c r="K17" s="1594">
        <f>SUM(K12:K16)</f>
        <v>0</v>
      </c>
      <c r="L17" s="325"/>
    </row>
    <row r="18" spans="1:12" ht="15" customHeight="1" thickTop="1" x14ac:dyDescent="0.2">
      <c r="A18" s="1430" t="s">
        <v>1635</v>
      </c>
      <c r="B18" s="1431">
        <v>4180</v>
      </c>
      <c r="C18" s="1606">
        <f t="shared" ref="C18:H18" si="3">C9</f>
        <v>4968383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15940820</v>
      </c>
      <c r="D19" s="1594">
        <f t="shared" si="4"/>
        <v>3363989</v>
      </c>
      <c r="E19" s="1594">
        <f t="shared" si="4"/>
        <v>1047388</v>
      </c>
      <c r="F19" s="1594">
        <f t="shared" si="4"/>
        <v>996096</v>
      </c>
      <c r="G19" s="1594">
        <f t="shared" si="4"/>
        <v>442453</v>
      </c>
      <c r="H19" s="1594">
        <f t="shared" si="4"/>
        <v>672736</v>
      </c>
      <c r="I19" s="1575"/>
      <c r="J19" s="1594">
        <f>SUM(J17:J18)</f>
        <v>618751</v>
      </c>
      <c r="K19" s="1594">
        <f>SUM(K17:K18)</f>
        <v>0</v>
      </c>
      <c r="L19" s="325"/>
    </row>
    <row r="20" spans="1:12" ht="16.5" thickTop="1" thickBot="1" x14ac:dyDescent="0.25">
      <c r="A20" s="2231" t="s">
        <v>1636</v>
      </c>
      <c r="B20" s="2232"/>
      <c r="C20" s="1622">
        <f>C8-C17</f>
        <v>998112</v>
      </c>
      <c r="D20" s="1622">
        <f t="shared" ref="D20:K20" si="5">D8-D17</f>
        <v>-1848045</v>
      </c>
      <c r="E20" s="1622">
        <f t="shared" si="5"/>
        <v>546042</v>
      </c>
      <c r="F20" s="1622">
        <f t="shared" si="5"/>
        <v>-13936</v>
      </c>
      <c r="G20" s="1622">
        <f t="shared" si="5"/>
        <v>-102914</v>
      </c>
      <c r="H20" s="1622">
        <f t="shared" si="5"/>
        <v>-672736</v>
      </c>
      <c r="I20" s="1622">
        <f t="shared" si="5"/>
        <v>61602</v>
      </c>
      <c r="J20" s="1622">
        <f t="shared" si="5"/>
        <v>270258</v>
      </c>
      <c r="K20" s="1622">
        <f t="shared" si="5"/>
        <v>154844</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3800000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v>45000</v>
      </c>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10800000</v>
      </c>
      <c r="I33" s="1574"/>
      <c r="J33" s="1574"/>
      <c r="K33" s="1574"/>
      <c r="L33" s="453"/>
    </row>
    <row r="34" spans="1:12" s="433" customFormat="1" x14ac:dyDescent="0.2">
      <c r="A34" s="1260" t="s">
        <v>994</v>
      </c>
      <c r="B34" s="454">
        <v>7220</v>
      </c>
      <c r="C34" s="1574"/>
      <c r="D34" s="1574"/>
      <c r="E34" s="1574"/>
      <c r="F34" s="1574"/>
      <c r="G34" s="1582"/>
      <c r="H34" s="1583">
        <v>440314</v>
      </c>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3800000</v>
      </c>
      <c r="E44" s="1624">
        <f t="shared" si="6"/>
        <v>0</v>
      </c>
      <c r="F44" s="1624">
        <f t="shared" si="6"/>
        <v>45000</v>
      </c>
      <c r="G44" s="1624">
        <f t="shared" si="6"/>
        <v>0</v>
      </c>
      <c r="H44" s="1624">
        <f t="shared" si="6"/>
        <v>11240314</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3800000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45000</v>
      </c>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155575</v>
      </c>
      <c r="I75" s="1626"/>
      <c r="J75" s="1626"/>
      <c r="K75" s="1628"/>
      <c r="L75" s="453"/>
    </row>
    <row r="76" spans="1:12" s="433" customFormat="1" ht="14.25" thickTop="1" thickBot="1" x14ac:dyDescent="0.25">
      <c r="A76" s="2221" t="s">
        <v>437</v>
      </c>
      <c r="B76" s="2222"/>
      <c r="C76" s="1624">
        <f t="shared" ref="C76:K76" si="7">SUM(C47:C75)</f>
        <v>45000</v>
      </c>
      <c r="D76" s="1624">
        <f t="shared" si="7"/>
        <v>0</v>
      </c>
      <c r="E76" s="1624">
        <f t="shared" si="7"/>
        <v>0</v>
      </c>
      <c r="F76" s="1624">
        <f t="shared" si="7"/>
        <v>0</v>
      </c>
      <c r="G76" s="1624">
        <f t="shared" si="7"/>
        <v>0</v>
      </c>
      <c r="H76" s="1624">
        <f t="shared" si="7"/>
        <v>155575</v>
      </c>
      <c r="I76" s="1624">
        <f t="shared" si="7"/>
        <v>3800000</v>
      </c>
      <c r="J76" s="1624">
        <f t="shared" si="7"/>
        <v>0</v>
      </c>
      <c r="K76" s="1624">
        <f t="shared" si="7"/>
        <v>0</v>
      </c>
      <c r="L76" s="453"/>
    </row>
    <row r="77" spans="1:12" ht="14.25" thickTop="1" thickBot="1" x14ac:dyDescent="0.25">
      <c r="A77" s="2223" t="s">
        <v>1167</v>
      </c>
      <c r="B77" s="2224"/>
      <c r="C77" s="1624">
        <f t="shared" ref="C77:K77" si="8">C44-C76</f>
        <v>-45000</v>
      </c>
      <c r="D77" s="1624">
        <f t="shared" si="8"/>
        <v>3800000</v>
      </c>
      <c r="E77" s="1624">
        <f t="shared" si="8"/>
        <v>0</v>
      </c>
      <c r="F77" s="1624">
        <f t="shared" si="8"/>
        <v>45000</v>
      </c>
      <c r="G77" s="1624">
        <f t="shared" si="8"/>
        <v>0</v>
      </c>
      <c r="H77" s="1624">
        <f t="shared" si="8"/>
        <v>11084739</v>
      </c>
      <c r="I77" s="1624">
        <f t="shared" si="8"/>
        <v>-3800000</v>
      </c>
      <c r="J77" s="1624">
        <f t="shared" si="8"/>
        <v>0</v>
      </c>
      <c r="K77" s="1624">
        <f t="shared" si="8"/>
        <v>0</v>
      </c>
      <c r="L77" s="325"/>
    </row>
    <row r="78" spans="1:12" ht="21.75" customHeight="1" thickTop="1" thickBot="1" x14ac:dyDescent="0.25">
      <c r="A78" s="2227" t="s">
        <v>593</v>
      </c>
      <c r="B78" s="2228"/>
      <c r="C78" s="1629">
        <f t="shared" ref="C78:K78" si="9">C20+C77</f>
        <v>953112</v>
      </c>
      <c r="D78" s="1629">
        <f t="shared" si="9"/>
        <v>1951955</v>
      </c>
      <c r="E78" s="1629">
        <f t="shared" si="9"/>
        <v>546042</v>
      </c>
      <c r="F78" s="1629">
        <f t="shared" si="9"/>
        <v>31064</v>
      </c>
      <c r="G78" s="1629">
        <f t="shared" si="9"/>
        <v>-102914</v>
      </c>
      <c r="H78" s="1629">
        <f t="shared" si="9"/>
        <v>10412003</v>
      </c>
      <c r="I78" s="1629">
        <f t="shared" si="9"/>
        <v>-3738398</v>
      </c>
      <c r="J78" s="1629">
        <f t="shared" si="9"/>
        <v>270258</v>
      </c>
      <c r="K78" s="1629">
        <f t="shared" si="9"/>
        <v>154844</v>
      </c>
      <c r="L78" s="457"/>
    </row>
    <row r="79" spans="1:12" ht="13.5" thickTop="1" x14ac:dyDescent="0.2">
      <c r="A79" s="1844" t="str">
        <f>"Fund Balances - July 1, "&amp;'AFR20'!E2-1</f>
        <v>Fund Balances - July 1, 2019</v>
      </c>
      <c r="B79" s="458"/>
      <c r="C79" s="1583">
        <v>4699164</v>
      </c>
      <c r="D79" s="1630">
        <v>1834937</v>
      </c>
      <c r="E79" s="1630">
        <v>-107752</v>
      </c>
      <c r="F79" s="1630">
        <v>2215630</v>
      </c>
      <c r="G79" s="1630">
        <v>435262</v>
      </c>
      <c r="H79" s="1630"/>
      <c r="I79" s="1630">
        <v>4299745</v>
      </c>
      <c r="J79" s="1630">
        <v>219449</v>
      </c>
      <c r="K79" s="1630">
        <v>444484</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5652276</v>
      </c>
      <c r="D81" s="1594">
        <f>SUM(D78:D80)</f>
        <v>3786892</v>
      </c>
      <c r="E81" s="1594">
        <f t="shared" ref="E81:K81" si="10">SUM(E78:E80)</f>
        <v>438290</v>
      </c>
      <c r="F81" s="1594">
        <f t="shared" si="10"/>
        <v>2246694</v>
      </c>
      <c r="G81" s="1594">
        <f t="shared" si="10"/>
        <v>332348</v>
      </c>
      <c r="H81" s="1594">
        <f t="shared" si="10"/>
        <v>10412003</v>
      </c>
      <c r="I81" s="1594">
        <f t="shared" si="10"/>
        <v>561347</v>
      </c>
      <c r="J81" s="1594">
        <f t="shared" si="10"/>
        <v>489707</v>
      </c>
      <c r="K81" s="1594">
        <f t="shared" si="10"/>
        <v>599328</v>
      </c>
      <c r="L81" s="325"/>
    </row>
    <row r="82" spans="1:12" ht="0.75" customHeight="1" thickTop="1" thickBot="1" x14ac:dyDescent="0.25">
      <c r="A82" s="459" t="s">
        <v>340</v>
      </c>
      <c r="B82" s="460"/>
      <c r="C82" s="461">
        <f>(C81-C79)</f>
        <v>953112</v>
      </c>
      <c r="D82" s="461">
        <f t="shared" ref="D82:K82" si="11">(D81-D79)</f>
        <v>1951955</v>
      </c>
      <c r="E82" s="461">
        <f t="shared" si="11"/>
        <v>546042</v>
      </c>
      <c r="F82" s="461">
        <f t="shared" si="11"/>
        <v>31064</v>
      </c>
      <c r="G82" s="461">
        <f t="shared" si="11"/>
        <v>-102914</v>
      </c>
      <c r="H82" s="461">
        <f t="shared" si="11"/>
        <v>10412003</v>
      </c>
      <c r="I82" s="461">
        <f t="shared" si="11"/>
        <v>-3738398</v>
      </c>
      <c r="J82" s="461">
        <f t="shared" si="11"/>
        <v>270258</v>
      </c>
      <c r="K82" s="461">
        <f t="shared" si="11"/>
        <v>154844</v>
      </c>
    </row>
    <row r="83" spans="1:12" ht="14.25" hidden="1" thickTop="1" thickBot="1" x14ac:dyDescent="0.25">
      <c r="A83" s="462" t="s">
        <v>341</v>
      </c>
      <c r="B83" s="428"/>
      <c r="C83" s="463">
        <f>C82/C81</f>
        <v>0.16862446207510037</v>
      </c>
      <c r="D83" s="463">
        <f t="shared" ref="D83:K83" si="12">D82/D81</f>
        <v>0.51545040101486916</v>
      </c>
      <c r="E83" s="463">
        <f t="shared" si="12"/>
        <v>1.2458463574345753</v>
      </c>
      <c r="F83" s="463">
        <f t="shared" si="12"/>
        <v>1.3826538015412868E-2</v>
      </c>
      <c r="G83" s="463">
        <f t="shared" si="12"/>
        <v>-0.30965734711808107</v>
      </c>
      <c r="H83" s="463">
        <f t="shared" si="12"/>
        <v>1</v>
      </c>
      <c r="I83" s="463">
        <f t="shared" si="12"/>
        <v>-6.6596917771004387</v>
      </c>
      <c r="J83" s="463">
        <f t="shared" si="12"/>
        <v>0.55187693865923915</v>
      </c>
      <c r="K83" s="463">
        <f t="shared" si="12"/>
        <v>0.25836269955683699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6" sqref="T26"/>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8439337</v>
      </c>
      <c r="D5" s="1586">
        <v>1481646</v>
      </c>
      <c r="E5" s="1573">
        <v>915117</v>
      </c>
      <c r="F5" s="1631">
        <v>527161</v>
      </c>
      <c r="G5" s="1573">
        <v>52805</v>
      </c>
      <c r="H5" s="1573"/>
      <c r="I5" s="1573">
        <v>59815</v>
      </c>
      <c r="J5" s="1574">
        <v>886154</v>
      </c>
      <c r="K5" s="1573">
        <v>152330</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105466</v>
      </c>
      <c r="D7" s="1573"/>
      <c r="E7" s="1575"/>
      <c r="F7" s="1574"/>
      <c r="G7" s="1574"/>
      <c r="H7" s="1574"/>
      <c r="I7" s="1575"/>
      <c r="J7" s="1575"/>
      <c r="K7" s="1575"/>
    </row>
    <row r="8" spans="1:12" x14ac:dyDescent="0.2">
      <c r="A8" s="427" t="s">
        <v>410</v>
      </c>
      <c r="B8" s="429">
        <v>1150</v>
      </c>
      <c r="C8" s="1580"/>
      <c r="D8" s="1580"/>
      <c r="E8" s="1582"/>
      <c r="F8" s="1582"/>
      <c r="G8" s="1586">
        <v>279646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8544803</v>
      </c>
      <c r="D12" s="1633">
        <f t="shared" si="0"/>
        <v>1481646</v>
      </c>
      <c r="E12" s="1633">
        <f t="shared" si="0"/>
        <v>915117</v>
      </c>
      <c r="F12" s="1633">
        <f t="shared" si="0"/>
        <v>527161</v>
      </c>
      <c r="G12" s="1633">
        <f t="shared" si="0"/>
        <v>332451</v>
      </c>
      <c r="H12" s="1633">
        <f t="shared" si="0"/>
        <v>0</v>
      </c>
      <c r="I12" s="1633">
        <f t="shared" si="0"/>
        <v>59815</v>
      </c>
      <c r="J12" s="1633">
        <f t="shared" si="0"/>
        <v>886154</v>
      </c>
      <c r="K12" s="1594">
        <f t="shared" si="0"/>
        <v>152330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88598</v>
      </c>
      <c r="D16" s="1573"/>
      <c r="E16" s="1573"/>
      <c r="F16" s="1573"/>
      <c r="G16" s="1573">
        <v>2200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88598</v>
      </c>
      <c r="D18" s="1635">
        <f t="shared" ref="D18:K18" si="1">SUM(D14:D17)</f>
        <v>0</v>
      </c>
      <c r="E18" s="1635">
        <f t="shared" si="1"/>
        <v>0</v>
      </c>
      <c r="F18" s="1635">
        <f t="shared" si="1"/>
        <v>0</v>
      </c>
      <c r="G18" s="1635">
        <f t="shared" si="1"/>
        <v>2200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172768</v>
      </c>
      <c r="D65" s="1573">
        <v>3126</v>
      </c>
      <c r="E65" s="1573">
        <v>991</v>
      </c>
      <c r="F65" s="1574">
        <v>4210</v>
      </c>
      <c r="G65" s="1573">
        <v>5281</v>
      </c>
      <c r="H65" s="1573"/>
      <c r="I65" s="1573">
        <v>1787</v>
      </c>
      <c r="J65" s="1574">
        <v>2855</v>
      </c>
      <c r="K65" s="1573">
        <v>366</v>
      </c>
    </row>
    <row r="66" spans="1:11" ht="12.75" customHeight="1" x14ac:dyDescent="0.2">
      <c r="A66" s="427" t="s">
        <v>674</v>
      </c>
      <c r="B66" s="429">
        <v>1520</v>
      </c>
      <c r="C66" s="1573">
        <v>-6841</v>
      </c>
      <c r="D66" s="1573">
        <v>-349</v>
      </c>
      <c r="E66" s="1573">
        <v>196</v>
      </c>
      <c r="F66" s="1573">
        <v>-538</v>
      </c>
      <c r="G66" s="1573">
        <v>-393</v>
      </c>
      <c r="H66" s="1573"/>
      <c r="I66" s="1573"/>
      <c r="J66" s="1574"/>
      <c r="K66" s="1573">
        <v>2148</v>
      </c>
    </row>
    <row r="67" spans="1:11" ht="12.75" customHeight="1" thickBot="1" x14ac:dyDescent="0.25">
      <c r="A67" s="1406" t="s">
        <v>483</v>
      </c>
      <c r="B67" s="1407"/>
      <c r="C67" s="1594">
        <f>SUM(C65:C66)</f>
        <v>165927</v>
      </c>
      <c r="D67" s="1594">
        <f t="shared" ref="D67:K67" si="2">SUM(D65:D66)</f>
        <v>2777</v>
      </c>
      <c r="E67" s="1594">
        <f t="shared" si="2"/>
        <v>1187</v>
      </c>
      <c r="F67" s="1594">
        <f t="shared" si="2"/>
        <v>3672</v>
      </c>
      <c r="G67" s="1594">
        <f t="shared" si="2"/>
        <v>4888</v>
      </c>
      <c r="H67" s="1594">
        <f t="shared" si="2"/>
        <v>0</v>
      </c>
      <c r="I67" s="1594">
        <f t="shared" si="2"/>
        <v>1787</v>
      </c>
      <c r="J67" s="1594">
        <f t="shared" si="2"/>
        <v>2855</v>
      </c>
      <c r="K67" s="1594">
        <f t="shared" si="2"/>
        <v>2514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290886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6462</v>
      </c>
      <c r="D73" s="1575"/>
      <c r="E73" s="1575"/>
      <c r="F73" s="1575"/>
      <c r="G73" s="1575"/>
      <c r="H73" s="1575"/>
      <c r="I73" s="1575"/>
      <c r="J73" s="1575"/>
      <c r="K73" s="1575"/>
    </row>
    <row r="74" spans="1:11" ht="12.75" customHeight="1" x14ac:dyDescent="0.2">
      <c r="A74" s="427" t="s">
        <v>25</v>
      </c>
      <c r="B74" s="429">
        <v>1690</v>
      </c>
      <c r="C74" s="1632">
        <v>3006</v>
      </c>
      <c r="D74" s="1575"/>
      <c r="E74" s="1575"/>
      <c r="F74" s="1575"/>
      <c r="G74" s="1575"/>
      <c r="H74" s="1575"/>
      <c r="I74" s="1575"/>
      <c r="J74" s="1575"/>
      <c r="K74" s="1575"/>
    </row>
    <row r="75" spans="1:11" ht="12.75" customHeight="1" thickBot="1" x14ac:dyDescent="0.25">
      <c r="A75" s="1406" t="s">
        <v>544</v>
      </c>
      <c r="B75" s="1407"/>
      <c r="C75" s="1594">
        <f>SUM(C69:C74)</f>
        <v>300354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27318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14340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41658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96400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4740</v>
      </c>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101140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9193</v>
      </c>
      <c r="E95" s="1617"/>
      <c r="F95" s="1617"/>
      <c r="G95" s="1617"/>
      <c r="H95" s="1617"/>
      <c r="I95" s="1617"/>
      <c r="J95" s="1617"/>
      <c r="K95" s="1617"/>
    </row>
    <row r="96" spans="1:11" ht="12.75" customHeight="1" x14ac:dyDescent="0.2">
      <c r="A96" s="427" t="s">
        <v>388</v>
      </c>
      <c r="B96" s="429">
        <v>1920</v>
      </c>
      <c r="C96" s="1632"/>
      <c r="D96" s="1632">
        <v>5000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45227</v>
      </c>
      <c r="D98" s="1573"/>
      <c r="E98" s="1612"/>
      <c r="F98" s="1573"/>
      <c r="G98" s="1612"/>
      <c r="H98" s="1612"/>
      <c r="I98" s="1610"/>
      <c r="J98" s="1612"/>
      <c r="K98" s="1612"/>
    </row>
    <row r="99" spans="1:12" ht="12.75" customHeight="1" x14ac:dyDescent="0.2">
      <c r="A99" s="427" t="s">
        <v>816</v>
      </c>
      <c r="B99" s="429">
        <v>1950</v>
      </c>
      <c r="C99" s="1598">
        <v>2343</v>
      </c>
      <c r="D99" s="1573">
        <v>17328</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v>3053</v>
      </c>
      <c r="D102" s="1598"/>
      <c r="E102" s="1598"/>
      <c r="F102" s="1598"/>
      <c r="G102" s="1598"/>
      <c r="H102" s="1598"/>
      <c r="I102" s="1574"/>
      <c r="J102" s="1598"/>
      <c r="K102" s="1574"/>
    </row>
    <row r="103" spans="1:12" ht="12.75" customHeight="1" x14ac:dyDescent="0.2">
      <c r="A103" s="427" t="s">
        <v>342</v>
      </c>
      <c r="B103" s="429">
        <v>1983</v>
      </c>
      <c r="C103" s="1575"/>
      <c r="D103" s="1575"/>
      <c r="E103" s="1639">
        <v>677126</v>
      </c>
      <c r="F103" s="1575"/>
      <c r="G103" s="1575"/>
      <c r="H103" s="1598"/>
      <c r="I103" s="1575"/>
      <c r="J103" s="1610"/>
      <c r="K103" s="1610"/>
    </row>
    <row r="104" spans="1:12" ht="12.75" customHeight="1" x14ac:dyDescent="0.2">
      <c r="A104" s="427" t="s">
        <v>825</v>
      </c>
      <c r="B104" s="429">
        <v>1991</v>
      </c>
      <c r="C104" s="1598">
        <v>1265</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189363</v>
      </c>
      <c r="D106" s="1598"/>
      <c r="E106" s="1574"/>
      <c r="F106" s="1574"/>
      <c r="G106" s="1574"/>
      <c r="H106" s="1574"/>
      <c r="I106" s="1617"/>
      <c r="J106" s="1574"/>
      <c r="K106" s="1574"/>
    </row>
    <row r="107" spans="1:12" ht="12.75" customHeight="1" x14ac:dyDescent="0.2">
      <c r="A107" s="427" t="s">
        <v>78</v>
      </c>
      <c r="B107" s="429">
        <v>1999</v>
      </c>
      <c r="C107" s="1632">
        <v>621</v>
      </c>
      <c r="D107" s="1573"/>
      <c r="E107" s="1573"/>
      <c r="F107" s="1573">
        <v>400</v>
      </c>
      <c r="G107" s="1573"/>
      <c r="H107" s="1573"/>
      <c r="I107" s="1573"/>
      <c r="J107" s="1574"/>
      <c r="K107" s="1573"/>
    </row>
    <row r="108" spans="1:12" ht="12.75" customHeight="1" thickBot="1" x14ac:dyDescent="0.25">
      <c r="A108" s="1406" t="s">
        <v>484</v>
      </c>
      <c r="B108" s="1408"/>
      <c r="C108" s="1633">
        <f>SUM(C95:C107)</f>
        <v>241872</v>
      </c>
      <c r="D108" s="1633">
        <f t="shared" ref="D108:K108" si="3">SUM(D95:D107)</f>
        <v>31521</v>
      </c>
      <c r="E108" s="1633">
        <f t="shared" si="3"/>
        <v>677126</v>
      </c>
      <c r="F108" s="1633">
        <f t="shared" si="3"/>
        <v>400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9484352</v>
      </c>
      <c r="D109" s="1641">
        <f t="shared" si="4"/>
        <v>1515944</v>
      </c>
      <c r="E109" s="1641">
        <f t="shared" si="4"/>
        <v>1593430</v>
      </c>
      <c r="F109" s="1641">
        <f t="shared" si="4"/>
        <v>531233</v>
      </c>
      <c r="G109" s="1641">
        <f t="shared" si="4"/>
        <v>339539</v>
      </c>
      <c r="H109" s="1641">
        <f t="shared" si="4"/>
        <v>0</v>
      </c>
      <c r="I109" s="1641">
        <f t="shared" si="4"/>
        <v>61602</v>
      </c>
      <c r="J109" s="1641">
        <f t="shared" si="4"/>
        <v>889009</v>
      </c>
      <c r="K109" s="1629">
        <f t="shared" si="4"/>
        <v>154844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19415</v>
      </c>
      <c r="D111" s="1586"/>
      <c r="E111" s="1640"/>
      <c r="F111" s="1586"/>
      <c r="G111" s="1586"/>
      <c r="H111" s="1640"/>
      <c r="I111" s="1575"/>
      <c r="J111" s="1575"/>
      <c r="K111" s="1575"/>
    </row>
    <row r="112" spans="1:12" ht="12.75" customHeight="1" x14ac:dyDescent="0.2">
      <c r="A112" s="427" t="s">
        <v>819</v>
      </c>
      <c r="B112" s="429">
        <v>2200</v>
      </c>
      <c r="C112" s="1632">
        <v>74295</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93710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1741399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1741399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v>3252</v>
      </c>
      <c r="G125" s="1575"/>
      <c r="H125" s="1575"/>
      <c r="I125" s="1575"/>
      <c r="J125" s="1575"/>
      <c r="K125" s="1575"/>
    </row>
    <row r="126" spans="1:11" ht="12.75" customHeight="1" x14ac:dyDescent="0.2">
      <c r="A126" s="427" t="s">
        <v>1429</v>
      </c>
      <c r="B126" s="478">
        <v>3105</v>
      </c>
      <c r="C126" s="1573">
        <v>10402</v>
      </c>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10435</v>
      </c>
      <c r="D132" s="1633">
        <f>SUM(D125:D131)</f>
        <v>0</v>
      </c>
      <c r="E132" s="1576" t="s">
        <v>1159</v>
      </c>
      <c r="F132" s="1633">
        <f>SUM(F125:F131)</f>
        <v>3252</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26769</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26769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842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16641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377042</v>
      </c>
      <c r="G152" s="1574"/>
      <c r="H152" s="1575"/>
      <c r="I152" s="1575"/>
      <c r="J152" s="1575"/>
      <c r="K152" s="1575"/>
    </row>
    <row r="153" spans="1:11" ht="12.75" customHeight="1" x14ac:dyDescent="0.2">
      <c r="A153" s="427" t="s">
        <v>1048</v>
      </c>
      <c r="B153" s="478">
        <v>3510</v>
      </c>
      <c r="C153" s="1632"/>
      <c r="D153" s="1573"/>
      <c r="E153" s="1640"/>
      <c r="F153" s="1573">
        <v>45633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422675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93882</v>
      </c>
      <c r="D159" s="1653"/>
      <c r="E159" s="1640"/>
      <c r="F159" s="1651">
        <v>25000</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5625</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154194</v>
      </c>
      <c r="D169" s="1658">
        <f t="shared" si="6"/>
        <v>0</v>
      </c>
      <c r="E169" s="1658">
        <f t="shared" si="6"/>
        <v>0</v>
      </c>
      <c r="F169" s="1658">
        <f t="shared" si="6"/>
        <v>450927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1895593</v>
      </c>
      <c r="D170" s="1641">
        <f t="shared" si="7"/>
        <v>0</v>
      </c>
      <c r="E170" s="1641">
        <f t="shared" si="7"/>
        <v>0</v>
      </c>
      <c r="F170" s="1641">
        <f t="shared" si="7"/>
        <v>450927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76133</v>
      </c>
      <c r="D191" s="1575"/>
      <c r="E191" s="1640"/>
      <c r="F191" s="1575"/>
      <c r="G191" s="1664"/>
      <c r="H191" s="1575"/>
      <c r="I191" s="1575"/>
      <c r="J191" s="1575"/>
      <c r="K191" s="1575"/>
    </row>
    <row r="192" spans="1:11" ht="12.75" customHeight="1" x14ac:dyDescent="0.2">
      <c r="A192" s="427" t="s">
        <v>1038</v>
      </c>
      <c r="B192" s="429">
        <v>4215</v>
      </c>
      <c r="C192" s="1632">
        <v>2844</v>
      </c>
      <c r="D192" s="1575"/>
      <c r="E192" s="1640"/>
      <c r="F192" s="1575"/>
      <c r="G192" s="1664"/>
      <c r="H192" s="1575"/>
      <c r="I192" s="1575"/>
      <c r="J192" s="1575"/>
      <c r="K192" s="1575"/>
    </row>
    <row r="193" spans="1:11" ht="12.75" customHeight="1" x14ac:dyDescent="0.2">
      <c r="A193" s="427" t="s">
        <v>1050</v>
      </c>
      <c r="B193" s="429">
        <v>4220</v>
      </c>
      <c r="C193" s="1632">
        <v>9970</v>
      </c>
      <c r="D193" s="1575"/>
      <c r="E193" s="1640"/>
      <c r="F193" s="1575"/>
      <c r="G193" s="1664"/>
      <c r="H193" s="1575"/>
      <c r="I193" s="1575"/>
      <c r="J193" s="1575"/>
      <c r="K193" s="1575"/>
    </row>
    <row r="194" spans="1:11" ht="12.75" customHeight="1" x14ac:dyDescent="0.2">
      <c r="A194" s="427" t="s">
        <v>1434</v>
      </c>
      <c r="B194" s="429">
        <v>4225</v>
      </c>
      <c r="C194" s="1632">
        <v>22511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111458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157954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7554</v>
      </c>
      <c r="D203" s="1573"/>
      <c r="E203" s="1575"/>
      <c r="F203" s="1573"/>
      <c r="G203" s="1573"/>
      <c r="H203" s="1575"/>
      <c r="I203" s="1575"/>
      <c r="J203" s="1575"/>
      <c r="K203" s="1575"/>
    </row>
    <row r="204" spans="1:11" ht="12.75" customHeight="1" thickBot="1" x14ac:dyDescent="0.25">
      <c r="A204" s="1406" t="s">
        <v>397</v>
      </c>
      <c r="B204" s="1407"/>
      <c r="C204" s="1633">
        <f>SUM(C200:C203)</f>
        <v>165508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v>17997</v>
      </c>
      <c r="D208" s="1573"/>
      <c r="E208" s="1575"/>
      <c r="F208" s="1573"/>
      <c r="G208" s="1573"/>
      <c r="H208" s="1575"/>
      <c r="I208" s="1575"/>
      <c r="J208" s="1575"/>
      <c r="K208" s="1575"/>
    </row>
    <row r="209" spans="1:11" ht="12.75" customHeight="1" thickBot="1" x14ac:dyDescent="0.25">
      <c r="A209" s="1406" t="s">
        <v>883</v>
      </c>
      <c r="B209" s="1407"/>
      <c r="C209" s="1633">
        <f>SUM(C206:C208)</f>
        <v>17997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119542</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119542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34330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1555</v>
      </c>
      <c r="D263" s="1651"/>
      <c r="E263" s="1575"/>
      <c r="F263" s="1651"/>
      <c r="G263" s="1651"/>
      <c r="H263" s="1575"/>
      <c r="I263" s="1575"/>
      <c r="J263" s="1575"/>
      <c r="K263" s="1575"/>
    </row>
    <row r="264" spans="1:11" ht="12.75" customHeight="1" thickTop="1" thickBot="1" x14ac:dyDescent="0.25">
      <c r="A264" s="427" t="s">
        <v>374</v>
      </c>
      <c r="B264" s="429">
        <v>4992</v>
      </c>
      <c r="C264" s="1650">
        <v>46504</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496894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496894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11970549</v>
      </c>
      <c r="D268" s="1641">
        <f t="shared" si="12"/>
        <v>1515944</v>
      </c>
      <c r="E268" s="1641">
        <f t="shared" si="12"/>
        <v>1593430</v>
      </c>
      <c r="F268" s="1641">
        <f t="shared" si="12"/>
        <v>982160</v>
      </c>
      <c r="G268" s="1641">
        <f t="shared" si="12"/>
        <v>339539</v>
      </c>
      <c r="H268" s="1641">
        <f t="shared" si="12"/>
        <v>0</v>
      </c>
      <c r="I268" s="1641">
        <f t="shared" si="12"/>
        <v>61602</v>
      </c>
      <c r="J268" s="1641">
        <f t="shared" si="12"/>
        <v>889009</v>
      </c>
      <c r="K268" s="1629">
        <f t="shared" si="12"/>
        <v>154844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26" sqref="T26"/>
      <selection pane="bottomLeft" activeCell="T26" sqref="T2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4788899</v>
      </c>
      <c r="D5" s="1573">
        <v>1101760</v>
      </c>
      <c r="E5" s="1573">
        <v>2776</v>
      </c>
      <c r="F5" s="1573">
        <v>64661</v>
      </c>
      <c r="G5" s="1573"/>
      <c r="H5" s="1573">
        <v>10186</v>
      </c>
      <c r="I5" s="1574"/>
      <c r="J5" s="1574">
        <v>132</v>
      </c>
      <c r="K5" s="1672">
        <f>SUM(C5:J5)</f>
        <v>5968414</v>
      </c>
      <c r="L5" s="1573">
        <v>6157675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77054</v>
      </c>
      <c r="D7" s="1574">
        <v>13381</v>
      </c>
      <c r="E7" s="1574"/>
      <c r="F7" s="1574">
        <v>630</v>
      </c>
      <c r="G7" s="1574"/>
      <c r="H7" s="1574"/>
      <c r="I7" s="1574"/>
      <c r="J7" s="1574"/>
      <c r="K7" s="1672">
        <f t="shared" ref="K7:K32" si="0">SUM(C7:J7)</f>
        <v>91065</v>
      </c>
      <c r="L7" s="1573">
        <v>90032</v>
      </c>
    </row>
    <row r="8" spans="1:14" x14ac:dyDescent="0.2">
      <c r="A8" s="1274" t="s">
        <v>163</v>
      </c>
      <c r="B8" s="503">
        <v>1200</v>
      </c>
      <c r="C8" s="1573">
        <v>589551</v>
      </c>
      <c r="D8" s="1573">
        <v>118433</v>
      </c>
      <c r="E8" s="1573">
        <v>6255</v>
      </c>
      <c r="F8" s="1573">
        <v>4080</v>
      </c>
      <c r="G8" s="1573"/>
      <c r="H8" s="1573"/>
      <c r="I8" s="1574"/>
      <c r="J8" s="1574"/>
      <c r="K8" s="1672">
        <f t="shared" si="0"/>
        <v>718319</v>
      </c>
      <c r="L8" s="1573">
        <v>733509</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61766</v>
      </c>
      <c r="D10" s="1573">
        <v>16607</v>
      </c>
      <c r="E10" s="1573"/>
      <c r="F10" s="1573"/>
      <c r="G10" s="1573"/>
      <c r="H10" s="1573"/>
      <c r="I10" s="1574"/>
      <c r="J10" s="1574"/>
      <c r="K10" s="1672">
        <f t="shared" si="0"/>
        <v>78373</v>
      </c>
      <c r="L10" s="1573">
        <v>78251</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294158</v>
      </c>
      <c r="D13" s="1573">
        <v>62209</v>
      </c>
      <c r="E13" s="1573">
        <v>650</v>
      </c>
      <c r="F13" s="1573">
        <v>8608</v>
      </c>
      <c r="G13" s="1573"/>
      <c r="H13" s="1573"/>
      <c r="I13" s="1574"/>
      <c r="J13" s="1574"/>
      <c r="K13" s="1672">
        <f t="shared" si="0"/>
        <v>365625</v>
      </c>
      <c r="L13" s="1573">
        <v>373192</v>
      </c>
    </row>
    <row r="14" spans="1:14" x14ac:dyDescent="0.2">
      <c r="A14" s="1274" t="s">
        <v>957</v>
      </c>
      <c r="B14" s="503">
        <v>1500</v>
      </c>
      <c r="C14" s="1573">
        <v>290731</v>
      </c>
      <c r="D14" s="1573">
        <v>33154</v>
      </c>
      <c r="E14" s="1573">
        <v>30202</v>
      </c>
      <c r="F14" s="1573">
        <v>5702</v>
      </c>
      <c r="G14" s="1573">
        <v>510</v>
      </c>
      <c r="H14" s="1573">
        <v>10389</v>
      </c>
      <c r="I14" s="1574"/>
      <c r="J14" s="1574"/>
      <c r="K14" s="1672">
        <f t="shared" si="0"/>
        <v>370688</v>
      </c>
      <c r="L14" s="1573">
        <v>400032</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v>76856</v>
      </c>
      <c r="D16" s="1573">
        <v>13933</v>
      </c>
      <c r="E16" s="1573"/>
      <c r="F16" s="1573">
        <v>267</v>
      </c>
      <c r="G16" s="1573"/>
      <c r="H16" s="1573"/>
      <c r="I16" s="1574"/>
      <c r="J16" s="1574"/>
      <c r="K16" s="1672">
        <f t="shared" si="0"/>
        <v>91056</v>
      </c>
      <c r="L16" s="1573">
        <v>91518</v>
      </c>
    </row>
    <row r="17" spans="1:12" x14ac:dyDescent="0.2">
      <c r="A17" s="1274" t="s">
        <v>719</v>
      </c>
      <c r="B17" s="503" t="s">
        <v>161</v>
      </c>
      <c r="C17" s="1574">
        <v>5860</v>
      </c>
      <c r="D17" s="1574">
        <v>610</v>
      </c>
      <c r="E17" s="1574"/>
      <c r="F17" s="1574">
        <v>452</v>
      </c>
      <c r="G17" s="1574"/>
      <c r="H17" s="1574"/>
      <c r="I17" s="1574"/>
      <c r="J17" s="1574"/>
      <c r="K17" s="1672">
        <f t="shared" si="0"/>
        <v>6922</v>
      </c>
      <c r="L17" s="1573">
        <v>5608</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6184875</v>
      </c>
      <c r="D33" s="1674">
        <f t="shared" ref="D33:L33" si="1">SUM(D5:D32)</f>
        <v>1360087</v>
      </c>
      <c r="E33" s="1674">
        <f t="shared" si="1"/>
        <v>39883</v>
      </c>
      <c r="F33" s="1674">
        <f t="shared" si="1"/>
        <v>84400</v>
      </c>
      <c r="G33" s="1674">
        <f t="shared" si="1"/>
        <v>510</v>
      </c>
      <c r="H33" s="1674">
        <f t="shared" si="1"/>
        <v>20575</v>
      </c>
      <c r="I33" s="1674">
        <f t="shared" si="1"/>
        <v>0</v>
      </c>
      <c r="J33" s="1674">
        <f t="shared" si="1"/>
        <v>132</v>
      </c>
      <c r="K33" s="1674">
        <f t="shared" si="1"/>
        <v>7690462</v>
      </c>
      <c r="L33" s="1674">
        <f t="shared" si="1"/>
        <v>7929817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195496</v>
      </c>
      <c r="D37" s="1573">
        <v>49660</v>
      </c>
      <c r="E37" s="1573">
        <v>463</v>
      </c>
      <c r="F37" s="1573">
        <v>1031</v>
      </c>
      <c r="G37" s="1573"/>
      <c r="H37" s="1573">
        <v>908</v>
      </c>
      <c r="I37" s="1574"/>
      <c r="J37" s="1574"/>
      <c r="K37" s="1672">
        <f t="shared" si="2"/>
        <v>247558</v>
      </c>
      <c r="L37" s="1573">
        <v>255920</v>
      </c>
    </row>
    <row r="38" spans="1:14" x14ac:dyDescent="0.2">
      <c r="A38" s="1274" t="s">
        <v>196</v>
      </c>
      <c r="B38" s="503">
        <v>2130</v>
      </c>
      <c r="C38" s="1573">
        <v>73791</v>
      </c>
      <c r="D38" s="1573">
        <v>13883</v>
      </c>
      <c r="E38" s="1573">
        <v>1009</v>
      </c>
      <c r="F38" s="1573">
        <v>1853</v>
      </c>
      <c r="G38" s="1573">
        <v>3029</v>
      </c>
      <c r="H38" s="1573"/>
      <c r="I38" s="1574"/>
      <c r="J38" s="1574"/>
      <c r="K38" s="1672">
        <f t="shared" si="2"/>
        <v>93565</v>
      </c>
      <c r="L38" s="1573">
        <v>91226</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269287</v>
      </c>
      <c r="D42" s="1674">
        <f t="shared" ref="D42:L42" si="3">SUM(D36:D41)</f>
        <v>63543</v>
      </c>
      <c r="E42" s="1674">
        <f t="shared" si="3"/>
        <v>1472</v>
      </c>
      <c r="F42" s="1674">
        <f t="shared" si="3"/>
        <v>2884</v>
      </c>
      <c r="G42" s="1674">
        <f t="shared" si="3"/>
        <v>3029</v>
      </c>
      <c r="H42" s="1674">
        <f t="shared" si="3"/>
        <v>908</v>
      </c>
      <c r="I42" s="1674">
        <f t="shared" si="3"/>
        <v>0</v>
      </c>
      <c r="J42" s="1674">
        <f t="shared" si="3"/>
        <v>0</v>
      </c>
      <c r="K42" s="1674">
        <f t="shared" si="3"/>
        <v>341123</v>
      </c>
      <c r="L42" s="1674">
        <f t="shared" si="3"/>
        <v>347146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v>155809</v>
      </c>
      <c r="D45" s="1573">
        <v>32500</v>
      </c>
      <c r="E45" s="1573"/>
      <c r="F45" s="1573">
        <v>5306</v>
      </c>
      <c r="G45" s="1573"/>
      <c r="H45" s="1573">
        <v>350</v>
      </c>
      <c r="I45" s="1574"/>
      <c r="J45" s="1574"/>
      <c r="K45" s="1678">
        <f>SUM(C45:J45)</f>
        <v>193965</v>
      </c>
      <c r="L45" s="1573">
        <v>194815</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155809</v>
      </c>
      <c r="D47" s="1674">
        <f t="shared" ref="D47:K47" si="4">SUM(D44:D46)</f>
        <v>32500</v>
      </c>
      <c r="E47" s="1674">
        <f t="shared" si="4"/>
        <v>0</v>
      </c>
      <c r="F47" s="1674">
        <f t="shared" si="4"/>
        <v>5306</v>
      </c>
      <c r="G47" s="1674">
        <f t="shared" si="4"/>
        <v>0</v>
      </c>
      <c r="H47" s="1674">
        <f t="shared" si="4"/>
        <v>350</v>
      </c>
      <c r="I47" s="1674">
        <f t="shared" si="4"/>
        <v>0</v>
      </c>
      <c r="J47" s="1674">
        <f t="shared" si="4"/>
        <v>0</v>
      </c>
      <c r="K47" s="1674">
        <f t="shared" si="4"/>
        <v>193965</v>
      </c>
      <c r="L47" s="1674">
        <f>SUM(L44:L46)</f>
        <v>194815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2400</v>
      </c>
      <c r="D49" s="1586"/>
      <c r="E49" s="1586">
        <v>22341</v>
      </c>
      <c r="F49" s="1586">
        <v>82</v>
      </c>
      <c r="G49" s="1586"/>
      <c r="H49" s="1586">
        <v>4144</v>
      </c>
      <c r="I49" s="1574"/>
      <c r="J49" s="1574"/>
      <c r="K49" s="1678">
        <f>SUM(C49:J49)</f>
        <v>28967</v>
      </c>
      <c r="L49" s="1586">
        <v>29113</v>
      </c>
    </row>
    <row r="50" spans="1:14" x14ac:dyDescent="0.2">
      <c r="A50" s="1274" t="s">
        <v>813</v>
      </c>
      <c r="B50" s="503">
        <v>2320</v>
      </c>
      <c r="C50" s="1573">
        <v>179382</v>
      </c>
      <c r="D50" s="1573">
        <v>50018</v>
      </c>
      <c r="E50" s="1573">
        <v>7092</v>
      </c>
      <c r="F50" s="1573">
        <v>51</v>
      </c>
      <c r="G50" s="1573"/>
      <c r="H50" s="1573">
        <v>2349</v>
      </c>
      <c r="I50" s="1574"/>
      <c r="J50" s="1574"/>
      <c r="K50" s="1678">
        <f>SUM(C50:J50)</f>
        <v>238892</v>
      </c>
      <c r="L50" s="1573">
        <v>235468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181782</v>
      </c>
      <c r="D53" s="1674">
        <f t="shared" ref="D53:L53" si="5">SUM(D49:D52)</f>
        <v>50018</v>
      </c>
      <c r="E53" s="1674">
        <f t="shared" si="5"/>
        <v>29433</v>
      </c>
      <c r="F53" s="1674">
        <f t="shared" si="5"/>
        <v>133</v>
      </c>
      <c r="G53" s="1674">
        <f t="shared" si="5"/>
        <v>0</v>
      </c>
      <c r="H53" s="1674">
        <f t="shared" si="5"/>
        <v>6493</v>
      </c>
      <c r="I53" s="1674">
        <f t="shared" si="5"/>
        <v>0</v>
      </c>
      <c r="J53" s="1674">
        <f t="shared" si="5"/>
        <v>0</v>
      </c>
      <c r="K53" s="1674">
        <f t="shared" si="5"/>
        <v>267859</v>
      </c>
      <c r="L53" s="1674">
        <f t="shared" si="5"/>
        <v>264581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563217</v>
      </c>
      <c r="D55" s="1586">
        <v>106452</v>
      </c>
      <c r="E55" s="1586">
        <v>3389</v>
      </c>
      <c r="F55" s="1586">
        <v>13620</v>
      </c>
      <c r="G55" s="1586"/>
      <c r="H55" s="1586">
        <v>2949</v>
      </c>
      <c r="I55" s="1574"/>
      <c r="J55" s="1574"/>
      <c r="K55" s="1678">
        <f>SUM(C55:J55)</f>
        <v>689627</v>
      </c>
      <c r="L55" s="1586">
        <v>699774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563217</v>
      </c>
      <c r="D57" s="1679">
        <f t="shared" ref="D57:K57" si="6">SUM(D55:D56)</f>
        <v>106452</v>
      </c>
      <c r="E57" s="1679">
        <f t="shared" si="6"/>
        <v>3389</v>
      </c>
      <c r="F57" s="1679">
        <f t="shared" si="6"/>
        <v>13620</v>
      </c>
      <c r="G57" s="1679">
        <f t="shared" si="6"/>
        <v>0</v>
      </c>
      <c r="H57" s="1679">
        <f t="shared" si="6"/>
        <v>2949</v>
      </c>
      <c r="I57" s="1679">
        <f t="shared" si="6"/>
        <v>0</v>
      </c>
      <c r="J57" s="1679">
        <f t="shared" si="6"/>
        <v>0</v>
      </c>
      <c r="K57" s="1679">
        <f t="shared" si="6"/>
        <v>689627</v>
      </c>
      <c r="L57" s="1674">
        <f>SUM(L55:L56)</f>
        <v>699774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30900</v>
      </c>
      <c r="D59" s="1586"/>
      <c r="E59" s="1586"/>
      <c r="F59" s="1586">
        <v>191</v>
      </c>
      <c r="G59" s="1586"/>
      <c r="H59" s="1586">
        <v>1201</v>
      </c>
      <c r="I59" s="1574"/>
      <c r="J59" s="1574"/>
      <c r="K59" s="1678">
        <f t="shared" ref="K59:K64" si="7">SUM(C59:J59)</f>
        <v>32292</v>
      </c>
      <c r="L59" s="1586">
        <v>34393</v>
      </c>
      <c r="M59" s="501"/>
      <c r="N59" s="501"/>
    </row>
    <row r="60" spans="1:14" s="321" customFormat="1" x14ac:dyDescent="0.2">
      <c r="A60" s="1274" t="s">
        <v>460</v>
      </c>
      <c r="B60" s="503">
        <v>2520</v>
      </c>
      <c r="C60" s="1573">
        <v>92320</v>
      </c>
      <c r="D60" s="1573">
        <v>13389</v>
      </c>
      <c r="E60" s="1573">
        <v>55998</v>
      </c>
      <c r="F60" s="1573">
        <v>12892</v>
      </c>
      <c r="G60" s="1573"/>
      <c r="H60" s="1573">
        <v>2752</v>
      </c>
      <c r="I60" s="1574"/>
      <c r="J60" s="1574"/>
      <c r="K60" s="1678">
        <f t="shared" si="7"/>
        <v>177351</v>
      </c>
      <c r="L60" s="1573">
        <v>173148</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222852</v>
      </c>
      <c r="D63" s="1573">
        <v>40151</v>
      </c>
      <c r="E63" s="1573"/>
      <c r="F63" s="1573">
        <v>246214</v>
      </c>
      <c r="G63" s="1573">
        <v>1961</v>
      </c>
      <c r="H63" s="1573">
        <v>4210</v>
      </c>
      <c r="I63" s="1574"/>
      <c r="J63" s="1574"/>
      <c r="K63" s="1678">
        <f t="shared" si="7"/>
        <v>515388</v>
      </c>
      <c r="L63" s="1573">
        <v>500473</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346072</v>
      </c>
      <c r="D65" s="1674">
        <f t="shared" ref="D65:L65" si="8">SUM(D59:D64)</f>
        <v>53540</v>
      </c>
      <c r="E65" s="1674">
        <f t="shared" si="8"/>
        <v>55998</v>
      </c>
      <c r="F65" s="1674">
        <f t="shared" si="8"/>
        <v>259297</v>
      </c>
      <c r="G65" s="1674">
        <f t="shared" si="8"/>
        <v>1961</v>
      </c>
      <c r="H65" s="1674">
        <f t="shared" si="8"/>
        <v>8163</v>
      </c>
      <c r="I65" s="1674">
        <f t="shared" si="8"/>
        <v>0</v>
      </c>
      <c r="J65" s="1674">
        <f t="shared" si="8"/>
        <v>0</v>
      </c>
      <c r="K65" s="1674">
        <f t="shared" si="8"/>
        <v>725031</v>
      </c>
      <c r="L65" s="1674">
        <f t="shared" si="8"/>
        <v>708014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156110</v>
      </c>
      <c r="D71" s="1573">
        <v>20843</v>
      </c>
      <c r="E71" s="1573">
        <v>114999</v>
      </c>
      <c r="F71" s="1573">
        <v>7471</v>
      </c>
      <c r="G71" s="1573">
        <v>24778</v>
      </c>
      <c r="H71" s="1573">
        <v>235</v>
      </c>
      <c r="I71" s="1574"/>
      <c r="J71" s="1574"/>
      <c r="K71" s="1678">
        <f>SUM(C71:J71)</f>
        <v>324436</v>
      </c>
      <c r="L71" s="1573">
        <v>286187</v>
      </c>
      <c r="M71" s="501"/>
      <c r="N71" s="501"/>
    </row>
    <row r="72" spans="1:14" s="321" customFormat="1" ht="12.75" customHeight="1" thickBot="1" x14ac:dyDescent="0.25">
      <c r="A72" s="1380" t="s">
        <v>37</v>
      </c>
      <c r="B72" s="1383" t="s">
        <v>36</v>
      </c>
      <c r="C72" s="1674">
        <f>SUM(C67:C71)</f>
        <v>156110</v>
      </c>
      <c r="D72" s="1674">
        <f t="shared" ref="D72:K72" si="9">SUM(D67:D71)</f>
        <v>20843</v>
      </c>
      <c r="E72" s="1674">
        <f t="shared" si="9"/>
        <v>114999</v>
      </c>
      <c r="F72" s="1674">
        <f t="shared" si="9"/>
        <v>7471</v>
      </c>
      <c r="G72" s="1674">
        <f t="shared" si="9"/>
        <v>24778</v>
      </c>
      <c r="H72" s="1674">
        <f t="shared" si="9"/>
        <v>235</v>
      </c>
      <c r="I72" s="1674">
        <f t="shared" si="9"/>
        <v>0</v>
      </c>
      <c r="J72" s="1674">
        <f t="shared" si="9"/>
        <v>0</v>
      </c>
      <c r="K72" s="1674">
        <f t="shared" si="9"/>
        <v>324436</v>
      </c>
      <c r="L72" s="1674">
        <f>SUM(L67:L71)</f>
        <v>286187</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1672277</v>
      </c>
      <c r="D74" s="1681">
        <f t="shared" ref="D74:K74" si="10">SUM(D42,D47,D53,D57,D65,D72,D73)</f>
        <v>326896</v>
      </c>
      <c r="E74" s="1681">
        <f t="shared" si="10"/>
        <v>205291</v>
      </c>
      <c r="F74" s="1681">
        <f t="shared" si="10"/>
        <v>288711</v>
      </c>
      <c r="G74" s="1681">
        <f t="shared" si="10"/>
        <v>29768</v>
      </c>
      <c r="H74" s="1681">
        <f t="shared" si="10"/>
        <v>19098</v>
      </c>
      <c r="I74" s="1681">
        <f t="shared" si="10"/>
        <v>0</v>
      </c>
      <c r="J74" s="1681">
        <f t="shared" si="10"/>
        <v>0</v>
      </c>
      <c r="K74" s="1681">
        <f t="shared" si="10"/>
        <v>2542041</v>
      </c>
      <c r="L74" s="1681">
        <f>SUM(L42,L47,L53,L57,L65,L72,L73)</f>
        <v>2500517</v>
      </c>
    </row>
    <row r="75" spans="1:14" s="254" customFormat="1" ht="15.75" customHeight="1" thickTop="1" thickBot="1" x14ac:dyDescent="0.25">
      <c r="A75" s="1348" t="s">
        <v>47</v>
      </c>
      <c r="B75" s="1349" t="s">
        <v>571</v>
      </c>
      <c r="C75" s="1649">
        <v>177682</v>
      </c>
      <c r="D75" s="1649">
        <v>13434</v>
      </c>
      <c r="E75" s="1649">
        <v>20344</v>
      </c>
      <c r="F75" s="1649">
        <v>25396</v>
      </c>
      <c r="G75" s="1649"/>
      <c r="H75" s="1649">
        <v>475</v>
      </c>
      <c r="I75" s="1627"/>
      <c r="J75" s="1627"/>
      <c r="K75" s="1674">
        <f>SUM(C75:J75)</f>
        <v>237331</v>
      </c>
      <c r="L75" s="1651">
        <v>240344</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412428</v>
      </c>
      <c r="I79" s="1582"/>
      <c r="J79" s="1582"/>
      <c r="K79" s="1672">
        <f t="shared" si="11"/>
        <v>412428</v>
      </c>
      <c r="L79" s="1573">
        <v>412428</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81038</v>
      </c>
      <c r="I81" s="1582"/>
      <c r="J81" s="1582"/>
      <c r="K81" s="1672">
        <f t="shared" si="11"/>
        <v>81038</v>
      </c>
      <c r="L81" s="1573">
        <v>81040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493466</v>
      </c>
      <c r="I84" s="1582"/>
      <c r="J84" s="1582"/>
      <c r="K84" s="1674">
        <f>SUM(K78:K83)</f>
        <v>493466</v>
      </c>
      <c r="L84" s="1674">
        <f>SUM(L78:L83)</f>
        <v>493468</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v>9137</v>
      </c>
      <c r="I99" s="1582"/>
      <c r="J99" s="1582"/>
      <c r="K99" s="1681">
        <f>SUM(E99,H99)</f>
        <v>9137</v>
      </c>
      <c r="L99" s="1626"/>
    </row>
    <row r="100" spans="1:14" ht="14.25" thickTop="1" thickBot="1" x14ac:dyDescent="0.25">
      <c r="A100" s="1386" t="s">
        <v>1469</v>
      </c>
      <c r="B100" s="1387">
        <v>4300</v>
      </c>
      <c r="C100" s="1673"/>
      <c r="D100" s="1673"/>
      <c r="E100" s="1681">
        <f>SUM(E93:E99)</f>
        <v>0</v>
      </c>
      <c r="F100" s="1673"/>
      <c r="G100" s="1673"/>
      <c r="H100" s="1681">
        <f>SUM(H93:H99)</f>
        <v>9137</v>
      </c>
      <c r="I100" s="1582"/>
      <c r="J100" s="1582"/>
      <c r="K100" s="1681">
        <f>SUM(K93:K99)</f>
        <v>9137</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502603</v>
      </c>
      <c r="I102" s="1582"/>
      <c r="J102" s="1582"/>
      <c r="K102" s="1681">
        <f>SUM(K84,K92,K100,K101)</f>
        <v>502603</v>
      </c>
      <c r="L102" s="1681">
        <f>SUM(L84,L92,L100,L101)</f>
        <v>493468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8034834</v>
      </c>
      <c r="D114" s="1674">
        <f t="shared" ref="D114:K114" si="13">SUM(D33,D74,D75,D102,D112,D113)</f>
        <v>1700417</v>
      </c>
      <c r="E114" s="1674">
        <f t="shared" si="13"/>
        <v>265518</v>
      </c>
      <c r="F114" s="1674">
        <f t="shared" si="13"/>
        <v>398507</v>
      </c>
      <c r="G114" s="1674">
        <f t="shared" si="13"/>
        <v>30278</v>
      </c>
      <c r="H114" s="1674">
        <f>SUM(H33,H74,H75,H102,H112,H113)</f>
        <v>542751</v>
      </c>
      <c r="I114" s="1674">
        <f t="shared" si="13"/>
        <v>0</v>
      </c>
      <c r="J114" s="1674">
        <f t="shared" si="13"/>
        <v>132</v>
      </c>
      <c r="K114" s="1674">
        <f t="shared" si="13"/>
        <v>10972437</v>
      </c>
      <c r="L114" s="1674">
        <f>SUM(L33,L74,L75,L102,L112,L113)</f>
        <v>11164146</v>
      </c>
    </row>
    <row r="115" spans="1:14" ht="13.5" thickTop="1" x14ac:dyDescent="0.2">
      <c r="A115" s="2286" t="s">
        <v>989</v>
      </c>
      <c r="B115" s="2287"/>
      <c r="C115" s="1675"/>
      <c r="D115" s="1675"/>
      <c r="E115" s="1675"/>
      <c r="F115" s="1675"/>
      <c r="G115" s="1675"/>
      <c r="H115" s="1675"/>
      <c r="I115" s="1675"/>
      <c r="J115" s="1675"/>
      <c r="K115" s="1689">
        <f>'Revenues 9-14'!C268-'Expenditures 15-22'!K114</f>
        <v>998112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427398</v>
      </c>
      <c r="D124" s="1573">
        <v>61447</v>
      </c>
      <c r="E124" s="1573">
        <v>240882</v>
      </c>
      <c r="F124" s="1573">
        <v>368986</v>
      </c>
      <c r="G124" s="1573">
        <v>2249719</v>
      </c>
      <c r="H124" s="1573">
        <v>199</v>
      </c>
      <c r="I124" s="1574"/>
      <c r="J124" s="1574">
        <v>4777</v>
      </c>
      <c r="K124" s="1674">
        <f>SUM(C124:J124)</f>
        <v>3353408</v>
      </c>
      <c r="L124" s="1573">
        <v>3337002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427398</v>
      </c>
      <c r="D127" s="1674">
        <f t="shared" ref="D127:L127" si="14">SUM(D122:D126)</f>
        <v>61447</v>
      </c>
      <c r="E127" s="1674">
        <f t="shared" si="14"/>
        <v>240882</v>
      </c>
      <c r="F127" s="1674">
        <f t="shared" si="14"/>
        <v>368986</v>
      </c>
      <c r="G127" s="1674">
        <f t="shared" si="14"/>
        <v>2249719</v>
      </c>
      <c r="H127" s="1674">
        <f t="shared" si="14"/>
        <v>199</v>
      </c>
      <c r="I127" s="1674">
        <f t="shared" si="14"/>
        <v>0</v>
      </c>
      <c r="J127" s="1674">
        <f t="shared" si="14"/>
        <v>4777</v>
      </c>
      <c r="K127" s="1674">
        <f t="shared" si="14"/>
        <v>3353408</v>
      </c>
      <c r="L127" s="1674">
        <f t="shared" si="14"/>
        <v>3337002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427398</v>
      </c>
      <c r="D129" s="1681">
        <f t="shared" ref="D129:L129" si="15">SUM(D120,D127,D128)</f>
        <v>61447</v>
      </c>
      <c r="E129" s="1681">
        <f t="shared" si="15"/>
        <v>240882</v>
      </c>
      <c r="F129" s="1681">
        <f t="shared" si="15"/>
        <v>368986</v>
      </c>
      <c r="G129" s="1681">
        <f t="shared" si="15"/>
        <v>2249719</v>
      </c>
      <c r="H129" s="1681">
        <f t="shared" si="15"/>
        <v>199</v>
      </c>
      <c r="I129" s="1681">
        <f t="shared" si="15"/>
        <v>0</v>
      </c>
      <c r="J129" s="1681">
        <f t="shared" si="15"/>
        <v>4777</v>
      </c>
      <c r="K129" s="1681">
        <f t="shared" si="15"/>
        <v>3353408</v>
      </c>
      <c r="L129" s="1681">
        <f t="shared" si="15"/>
        <v>3337002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v>10581</v>
      </c>
      <c r="I136" s="1582"/>
      <c r="J136" s="1673"/>
      <c r="K136" s="1678">
        <f>SUM(E136,H136)</f>
        <v>10581</v>
      </c>
      <c r="L136" s="1573">
        <v>10581</v>
      </c>
    </row>
    <row r="137" spans="1:14" ht="12.75" customHeight="1" thickBot="1" x14ac:dyDescent="0.25">
      <c r="A137" s="1380" t="s">
        <v>477</v>
      </c>
      <c r="B137" s="1385">
        <v>4100</v>
      </c>
      <c r="C137" s="1673"/>
      <c r="D137" s="1673"/>
      <c r="E137" s="1674">
        <f>SUM(E133:E136)</f>
        <v>0</v>
      </c>
      <c r="F137" s="1673"/>
      <c r="G137" s="1673"/>
      <c r="H137" s="1674">
        <f>SUM(H133:H136)</f>
        <v>10581</v>
      </c>
      <c r="I137" s="1582"/>
      <c r="J137" s="1673"/>
      <c r="K137" s="1674">
        <f>SUM(K133:K136)</f>
        <v>10581</v>
      </c>
      <c r="L137" s="1674">
        <f>SUM(L133:L136)</f>
        <v>10581</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10581</v>
      </c>
      <c r="I139" s="1582"/>
      <c r="J139" s="1673"/>
      <c r="K139" s="1678">
        <f>SUM(K137,K138)</f>
        <v>10581</v>
      </c>
      <c r="L139" s="1687">
        <f>SUM(L137,L138)</f>
        <v>10581</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427398</v>
      </c>
      <c r="D151" s="1674">
        <f t="shared" ref="D151:K151" si="16">SUM(D129,D130,D139,D149,D150)</f>
        <v>61447</v>
      </c>
      <c r="E151" s="1674">
        <f t="shared" si="16"/>
        <v>240882</v>
      </c>
      <c r="F151" s="1674">
        <f t="shared" si="16"/>
        <v>368986</v>
      </c>
      <c r="G151" s="1674">
        <f t="shared" si="16"/>
        <v>2249719</v>
      </c>
      <c r="H151" s="1674">
        <f t="shared" si="16"/>
        <v>10780</v>
      </c>
      <c r="I151" s="1674">
        <f t="shared" si="16"/>
        <v>0</v>
      </c>
      <c r="J151" s="1674">
        <f t="shared" si="16"/>
        <v>4777</v>
      </c>
      <c r="K151" s="1674">
        <f t="shared" si="16"/>
        <v>3363989</v>
      </c>
      <c r="L151" s="1674">
        <f>SUM(L129,L130,L139,L149,L150)</f>
        <v>3347583</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-1848045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246627</v>
      </c>
      <c r="I169" s="1673"/>
      <c r="J169" s="1673"/>
      <c r="K169" s="1672">
        <f>SUM(C169:H169)</f>
        <v>246627</v>
      </c>
      <c r="L169" s="1695">
        <v>810240</v>
      </c>
    </row>
    <row r="170" spans="1:14" ht="33.75" customHeight="1" x14ac:dyDescent="0.2">
      <c r="A170" s="543" t="s">
        <v>1651</v>
      </c>
      <c r="B170" s="545" t="s">
        <v>31</v>
      </c>
      <c r="C170" s="1673"/>
      <c r="D170" s="1673"/>
      <c r="E170" s="1673"/>
      <c r="F170" s="1673"/>
      <c r="G170" s="1673"/>
      <c r="H170" s="1646">
        <v>800000</v>
      </c>
      <c r="I170" s="1673"/>
      <c r="J170" s="1673"/>
      <c r="K170" s="1672">
        <f>SUM(C170:J170)</f>
        <v>800000</v>
      </c>
      <c r="L170" s="1646">
        <v>237150</v>
      </c>
    </row>
    <row r="171" spans="1:14" ht="15.75" customHeight="1" x14ac:dyDescent="0.2">
      <c r="A171" s="507" t="s">
        <v>761</v>
      </c>
      <c r="B171" s="546" t="s">
        <v>84</v>
      </c>
      <c r="C171" s="1673"/>
      <c r="D171" s="1673"/>
      <c r="E171" s="1573"/>
      <c r="F171" s="1673"/>
      <c r="G171" s="1673"/>
      <c r="H171" s="1646">
        <v>761</v>
      </c>
      <c r="I171" s="1582"/>
      <c r="J171" s="1673"/>
      <c r="K171" s="1672">
        <f>SUM(C171:J171)</f>
        <v>761</v>
      </c>
      <c r="L171" s="1646"/>
    </row>
    <row r="172" spans="1:14" ht="12.75" customHeight="1" thickBot="1" x14ac:dyDescent="0.25">
      <c r="A172" s="1380" t="s">
        <v>633</v>
      </c>
      <c r="B172" s="1381" t="s">
        <v>489</v>
      </c>
      <c r="C172" s="1673"/>
      <c r="D172" s="1673"/>
      <c r="E172" s="1681">
        <f>SUM(E168,E169,E170,E171)</f>
        <v>0</v>
      </c>
      <c r="F172" s="1673"/>
      <c r="G172" s="1673"/>
      <c r="H172" s="1681">
        <f>SUM(H168,H169,H170,H171)</f>
        <v>1047388</v>
      </c>
      <c r="I172" s="1684"/>
      <c r="J172" s="1673"/>
      <c r="K172" s="1681">
        <f>SUM(K168,K169,K170,K171)</f>
        <v>1047388</v>
      </c>
      <c r="L172" s="1681">
        <f>SUM(L168,L169,L170,L171)</f>
        <v>1047390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1047388</v>
      </c>
      <c r="I174" s="1684"/>
      <c r="J174" s="1673"/>
      <c r="K174" s="1681">
        <f>SUM(K160,K172,K173)</f>
        <v>1047388</v>
      </c>
      <c r="L174" s="1681">
        <f>SUM(L160,L172,L173)</f>
        <v>1047390</v>
      </c>
    </row>
    <row r="175" spans="1:14" ht="13.5" thickTop="1" x14ac:dyDescent="0.2">
      <c r="A175" s="2286" t="s">
        <v>989</v>
      </c>
      <c r="B175" s="2287"/>
      <c r="C175" s="1673"/>
      <c r="D175" s="1673"/>
      <c r="E175" s="1673"/>
      <c r="F175" s="1673"/>
      <c r="G175" s="1673"/>
      <c r="H175" s="1675"/>
      <c r="I175" s="1673"/>
      <c r="J175" s="1673"/>
      <c r="K175" s="1689">
        <f>'Revenues 9-14'!E268-'Expenditures 15-22'!K174</f>
        <v>546042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407435</v>
      </c>
      <c r="D182" s="1573">
        <v>47963</v>
      </c>
      <c r="E182" s="1573">
        <v>26214</v>
      </c>
      <c r="F182" s="1573">
        <v>108295</v>
      </c>
      <c r="G182" s="1573">
        <v>402530</v>
      </c>
      <c r="H182" s="1573">
        <v>457</v>
      </c>
      <c r="I182" s="1574"/>
      <c r="J182" s="1574">
        <v>3202</v>
      </c>
      <c r="K182" s="1672">
        <f>SUM(C182:J182)</f>
        <v>996096</v>
      </c>
      <c r="L182" s="1573">
        <v>993252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407435</v>
      </c>
      <c r="D184" s="1681">
        <f t="shared" ref="D184:J184" si="17">SUM(D180,D182,D183)</f>
        <v>47963</v>
      </c>
      <c r="E184" s="1681">
        <f t="shared" si="17"/>
        <v>26214</v>
      </c>
      <c r="F184" s="1681">
        <f t="shared" si="17"/>
        <v>108295</v>
      </c>
      <c r="G184" s="1681">
        <f t="shared" si="17"/>
        <v>402530</v>
      </c>
      <c r="H184" s="1681">
        <f t="shared" si="17"/>
        <v>457</v>
      </c>
      <c r="I184" s="1681">
        <f t="shared" si="17"/>
        <v>0</v>
      </c>
      <c r="J184" s="1681">
        <f t="shared" si="17"/>
        <v>3202</v>
      </c>
      <c r="K184" s="1681">
        <f>SUM(K180,K182,K183)</f>
        <v>996096</v>
      </c>
      <c r="L184" s="1681">
        <f>SUM(L180, L182:L183)</f>
        <v>993252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407435</v>
      </c>
      <c r="D210" s="1674">
        <f>SUM(D184,D185)</f>
        <v>47963</v>
      </c>
      <c r="E210" s="1674">
        <f>SUM(E184,E185,E196)</f>
        <v>26214</v>
      </c>
      <c r="F210" s="1674">
        <f>SUM(F184,F185)</f>
        <v>108295</v>
      </c>
      <c r="G210" s="1674">
        <f>SUM(G184,G185)</f>
        <v>402530</v>
      </c>
      <c r="H210" s="1674">
        <f>SUM(H184,H185,H196,H208,H209)</f>
        <v>457</v>
      </c>
      <c r="I210" s="1674">
        <f>SUM(I184,I185)</f>
        <v>0</v>
      </c>
      <c r="J210" s="1674">
        <f>SUM(J184,J185)</f>
        <v>3202</v>
      </c>
      <c r="K210" s="1672">
        <f>SUM(K184,K185,K196,K208,K209)</f>
        <v>996096</v>
      </c>
      <c r="L210" s="1674">
        <f>SUM(L184,L185,L196,L208,L209)</f>
        <v>993252</v>
      </c>
    </row>
    <row r="211" spans="1:14" ht="13.5" thickTop="1" x14ac:dyDescent="0.2">
      <c r="A211" s="2286" t="s">
        <v>989</v>
      </c>
      <c r="B211" s="2287"/>
      <c r="C211" s="1675"/>
      <c r="D211" s="1675"/>
      <c r="E211" s="1675"/>
      <c r="F211" s="1675"/>
      <c r="G211" s="1675"/>
      <c r="H211" s="1675"/>
      <c r="I211" s="1673"/>
      <c r="J211" s="1673"/>
      <c r="K211" s="1689">
        <f>'Revenues 9-14'!F268-'Expenditures 15-22'!K210</f>
        <v>-13936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70656</v>
      </c>
      <c r="E215" s="1673"/>
      <c r="F215" s="1673"/>
      <c r="G215" s="1673"/>
      <c r="H215" s="1673"/>
      <c r="I215" s="1673"/>
      <c r="J215" s="1673"/>
      <c r="K215" s="1672">
        <f>D215</f>
        <v>70656</v>
      </c>
      <c r="L215" s="1573">
        <v>71577</v>
      </c>
    </row>
    <row r="216" spans="1:14" x14ac:dyDescent="0.2">
      <c r="A216" s="1274" t="s">
        <v>162</v>
      </c>
      <c r="B216" s="503" t="s">
        <v>961</v>
      </c>
      <c r="C216" s="1673"/>
      <c r="D216" s="1574">
        <v>6255</v>
      </c>
      <c r="E216" s="1673"/>
      <c r="F216" s="1673"/>
      <c r="G216" s="1673"/>
      <c r="H216" s="1673"/>
      <c r="I216" s="1673"/>
      <c r="J216" s="1673"/>
      <c r="K216" s="1672">
        <f t="shared" ref="K216:K228" si="19">D216</f>
        <v>6255</v>
      </c>
      <c r="L216" s="1573">
        <v>1200</v>
      </c>
    </row>
    <row r="217" spans="1:14" x14ac:dyDescent="0.2">
      <c r="A217" s="1274" t="s">
        <v>163</v>
      </c>
      <c r="B217" s="503">
        <v>1200</v>
      </c>
      <c r="C217" s="1673"/>
      <c r="D217" s="1573">
        <v>64117</v>
      </c>
      <c r="E217" s="1673"/>
      <c r="F217" s="1673"/>
      <c r="G217" s="1673"/>
      <c r="H217" s="1673"/>
      <c r="I217" s="1673"/>
      <c r="J217" s="1673"/>
      <c r="K217" s="1672">
        <f t="shared" si="19"/>
        <v>64117</v>
      </c>
      <c r="L217" s="1573">
        <v>68658</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3673</v>
      </c>
      <c r="E219" s="1673"/>
      <c r="F219" s="1673"/>
      <c r="G219" s="1673"/>
      <c r="H219" s="1673"/>
      <c r="I219" s="1673"/>
      <c r="J219" s="1673"/>
      <c r="K219" s="1672">
        <f t="shared" si="19"/>
        <v>3673</v>
      </c>
      <c r="L219" s="1573">
        <v>4500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4183</v>
      </c>
      <c r="E222" s="1673"/>
      <c r="F222" s="1673"/>
      <c r="G222" s="1673"/>
      <c r="H222" s="1673"/>
      <c r="I222" s="1673"/>
      <c r="J222" s="1673"/>
      <c r="K222" s="1672">
        <f t="shared" si="19"/>
        <v>4183</v>
      </c>
      <c r="L222" s="1573">
        <v>4750</v>
      </c>
    </row>
    <row r="223" spans="1:14" x14ac:dyDescent="0.2">
      <c r="A223" s="1274" t="s">
        <v>957</v>
      </c>
      <c r="B223" s="503">
        <v>1500</v>
      </c>
      <c r="C223" s="1673"/>
      <c r="D223" s="1573">
        <v>11162</v>
      </c>
      <c r="E223" s="1673"/>
      <c r="F223" s="1673"/>
      <c r="G223" s="1673"/>
      <c r="H223" s="1673"/>
      <c r="I223" s="1673"/>
      <c r="J223" s="1673"/>
      <c r="K223" s="1672">
        <f t="shared" si="19"/>
        <v>11162</v>
      </c>
      <c r="L223" s="1573">
        <v>13480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v>1114</v>
      </c>
      <c r="E225" s="1673"/>
      <c r="F225" s="1673"/>
      <c r="G225" s="1673"/>
      <c r="H225" s="1673"/>
      <c r="I225" s="1673"/>
      <c r="J225" s="1673"/>
      <c r="K225" s="1672">
        <f t="shared" si="19"/>
        <v>1114</v>
      </c>
      <c r="L225" s="1573">
        <v>1500</v>
      </c>
    </row>
    <row r="226" spans="1:12" x14ac:dyDescent="0.2">
      <c r="A226" s="1274" t="s">
        <v>719</v>
      </c>
      <c r="B226" s="503" t="s">
        <v>161</v>
      </c>
      <c r="C226" s="1673"/>
      <c r="D226" s="1574">
        <v>85</v>
      </c>
      <c r="E226" s="1673"/>
      <c r="F226" s="1673"/>
      <c r="G226" s="1673"/>
      <c r="H226" s="1673"/>
      <c r="I226" s="1673"/>
      <c r="J226" s="1673"/>
      <c r="K226" s="1672">
        <f t="shared" si="19"/>
        <v>85</v>
      </c>
      <c r="L226" s="1573">
        <v>101</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161245</v>
      </c>
      <c r="E229" s="1673"/>
      <c r="F229" s="1673"/>
      <c r="G229" s="1673"/>
      <c r="H229" s="1673"/>
      <c r="I229" s="1673"/>
      <c r="J229" s="1673"/>
      <c r="K229" s="1674">
        <f>SUM(K215:K228)</f>
        <v>161245</v>
      </c>
      <c r="L229" s="1674">
        <f>SUM(L215:L228)</f>
        <v>165766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2749</v>
      </c>
      <c r="E233" s="1673"/>
      <c r="F233" s="1673"/>
      <c r="G233" s="1673"/>
      <c r="H233" s="1673"/>
      <c r="I233" s="1673"/>
      <c r="J233" s="1673"/>
      <c r="K233" s="1672">
        <f t="shared" si="20"/>
        <v>2749</v>
      </c>
      <c r="L233" s="1573">
        <v>3350</v>
      </c>
    </row>
    <row r="234" spans="1:12" x14ac:dyDescent="0.2">
      <c r="A234" s="1274" t="s">
        <v>196</v>
      </c>
      <c r="B234" s="503">
        <v>2130</v>
      </c>
      <c r="C234" s="1673"/>
      <c r="D234" s="1573">
        <v>5521</v>
      </c>
      <c r="E234" s="1673"/>
      <c r="F234" s="1673"/>
      <c r="G234" s="1673"/>
      <c r="H234" s="1673"/>
      <c r="I234" s="1673"/>
      <c r="J234" s="1673"/>
      <c r="K234" s="1672">
        <f t="shared" si="20"/>
        <v>5521</v>
      </c>
      <c r="L234" s="1573">
        <v>6000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8270</v>
      </c>
      <c r="E238" s="1673"/>
      <c r="F238" s="1673"/>
      <c r="G238" s="1673"/>
      <c r="H238" s="1673"/>
      <c r="I238" s="1673"/>
      <c r="J238" s="1673"/>
      <c r="K238" s="1674">
        <f>SUM(K232:K237)</f>
        <v>8270</v>
      </c>
      <c r="L238" s="1674">
        <f>SUM(L232:L237)</f>
        <v>9350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5469</v>
      </c>
      <c r="E241" s="1673"/>
      <c r="F241" s="1673"/>
      <c r="G241" s="1673"/>
      <c r="H241" s="1673"/>
      <c r="I241" s="1673"/>
      <c r="J241" s="1673"/>
      <c r="K241" s="1678">
        <f>D241</f>
        <v>5469</v>
      </c>
      <c r="L241" s="1573">
        <v>6200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5469</v>
      </c>
      <c r="E243" s="1673"/>
      <c r="F243" s="1673"/>
      <c r="G243" s="1673"/>
      <c r="H243" s="1673"/>
      <c r="I243" s="1673"/>
      <c r="J243" s="1673"/>
      <c r="K243" s="1674">
        <f>SUM(K240:K242)</f>
        <v>5469</v>
      </c>
      <c r="L243" s="1674">
        <f>SUM(L240:L242)</f>
        <v>6200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184</v>
      </c>
      <c r="E245" s="1673"/>
      <c r="F245" s="1673"/>
      <c r="G245" s="1673"/>
      <c r="H245" s="1673"/>
      <c r="I245" s="1673"/>
      <c r="J245" s="1673"/>
      <c r="K245" s="1678">
        <f>D245</f>
        <v>184</v>
      </c>
      <c r="L245" s="1586">
        <v>350</v>
      </c>
    </row>
    <row r="246" spans="1:12" x14ac:dyDescent="0.2">
      <c r="A246" s="1274" t="s">
        <v>813</v>
      </c>
      <c r="B246" s="503">
        <v>2320</v>
      </c>
      <c r="C246" s="1673"/>
      <c r="D246" s="1573">
        <v>8138</v>
      </c>
      <c r="E246" s="1673"/>
      <c r="F246" s="1673"/>
      <c r="G246" s="1673"/>
      <c r="H246" s="1673"/>
      <c r="I246" s="1673"/>
      <c r="J246" s="1673"/>
      <c r="K246" s="1678">
        <f t="shared" ref="K246:K256" si="21">D246</f>
        <v>8138</v>
      </c>
      <c r="L246" s="1573">
        <v>8400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4508</v>
      </c>
      <c r="E254" s="1673"/>
      <c r="F254" s="1673"/>
      <c r="G254" s="1673"/>
      <c r="H254" s="1673"/>
      <c r="I254" s="1673"/>
      <c r="J254" s="1673"/>
      <c r="K254" s="1678">
        <f t="shared" si="21"/>
        <v>4508</v>
      </c>
      <c r="L254" s="1573">
        <v>4440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12830</v>
      </c>
      <c r="E257" s="1673"/>
      <c r="F257" s="1673"/>
      <c r="G257" s="1673"/>
      <c r="H257" s="1673"/>
      <c r="I257" s="1673"/>
      <c r="J257" s="1673"/>
      <c r="K257" s="1674">
        <f>SUM(K245:K256)</f>
        <v>12830</v>
      </c>
      <c r="L257" s="1674">
        <f>SUM(L245:L256)</f>
        <v>13190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27963</v>
      </c>
      <c r="E259" s="1673"/>
      <c r="F259" s="1673"/>
      <c r="G259" s="1673"/>
      <c r="H259" s="1673"/>
      <c r="I259" s="1673"/>
      <c r="J259" s="1673"/>
      <c r="K259" s="1678">
        <f>D259</f>
        <v>27963</v>
      </c>
      <c r="L259" s="1586">
        <v>31000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27963</v>
      </c>
      <c r="E261" s="1673"/>
      <c r="F261" s="1673"/>
      <c r="G261" s="1673"/>
      <c r="H261" s="1673"/>
      <c r="I261" s="1673"/>
      <c r="J261" s="1673"/>
      <c r="K261" s="1674">
        <f>SUM(K259:K260)</f>
        <v>27963</v>
      </c>
      <c r="L261" s="1674">
        <f>SUM(L259:L260)</f>
        <v>31000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448</v>
      </c>
      <c r="E263" s="1673"/>
      <c r="F263" s="1673"/>
      <c r="G263" s="1673"/>
      <c r="H263" s="1673"/>
      <c r="I263" s="1673"/>
      <c r="J263" s="1673"/>
      <c r="K263" s="1678">
        <f>D263</f>
        <v>448</v>
      </c>
      <c r="L263" s="1586">
        <v>575</v>
      </c>
    </row>
    <row r="264" spans="1:14" x14ac:dyDescent="0.2">
      <c r="A264" s="1274" t="s">
        <v>460</v>
      </c>
      <c r="B264" s="559">
        <v>2520</v>
      </c>
      <c r="C264" s="1673"/>
      <c r="D264" s="1573">
        <v>15781</v>
      </c>
      <c r="E264" s="1673"/>
      <c r="F264" s="1673"/>
      <c r="G264" s="1673"/>
      <c r="H264" s="1673"/>
      <c r="I264" s="1673"/>
      <c r="J264" s="1673"/>
      <c r="K264" s="1678">
        <f t="shared" ref="K264:K269" si="22">D264</f>
        <v>15781</v>
      </c>
      <c r="L264" s="1573">
        <v>16950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68385</v>
      </c>
      <c r="E266" s="1673"/>
      <c r="F266" s="1673"/>
      <c r="G266" s="1673"/>
      <c r="H266" s="1673"/>
      <c r="I266" s="1673"/>
      <c r="J266" s="1673"/>
      <c r="K266" s="1678">
        <f t="shared" si="22"/>
        <v>68385</v>
      </c>
      <c r="L266" s="1573">
        <v>74326</v>
      </c>
    </row>
    <row r="267" spans="1:14" x14ac:dyDescent="0.2">
      <c r="A267" s="1274" t="s">
        <v>947</v>
      </c>
      <c r="B267" s="503">
        <v>2550</v>
      </c>
      <c r="C267" s="1673"/>
      <c r="D267" s="1573">
        <v>71263</v>
      </c>
      <c r="E267" s="1673"/>
      <c r="F267" s="1673"/>
      <c r="G267" s="1673"/>
      <c r="H267" s="1673"/>
      <c r="I267" s="1673"/>
      <c r="J267" s="1673"/>
      <c r="K267" s="1678">
        <f t="shared" si="22"/>
        <v>71263</v>
      </c>
      <c r="L267" s="1573">
        <v>75500</v>
      </c>
    </row>
    <row r="268" spans="1:14" x14ac:dyDescent="0.2">
      <c r="A268" s="1274" t="s">
        <v>100</v>
      </c>
      <c r="B268" s="503">
        <v>2560</v>
      </c>
      <c r="C268" s="1673"/>
      <c r="D268" s="1573">
        <v>37814</v>
      </c>
      <c r="E268" s="1673"/>
      <c r="F268" s="1673"/>
      <c r="G268" s="1673"/>
      <c r="H268" s="1673"/>
      <c r="I268" s="1673"/>
      <c r="J268" s="1673"/>
      <c r="K268" s="1678">
        <f t="shared" si="22"/>
        <v>37814</v>
      </c>
      <c r="L268" s="1573">
        <v>40150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193691</v>
      </c>
      <c r="E270" s="1673"/>
      <c r="F270" s="1673"/>
      <c r="G270" s="1673"/>
      <c r="H270" s="1673"/>
      <c r="I270" s="1673"/>
      <c r="J270" s="1673"/>
      <c r="K270" s="1674">
        <f>SUM(K263:K269)</f>
        <v>193691</v>
      </c>
      <c r="L270" s="1674">
        <f>SUM(L263:L269)</f>
        <v>207501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14868</v>
      </c>
      <c r="E276" s="1673"/>
      <c r="F276" s="1673"/>
      <c r="G276" s="1673"/>
      <c r="H276" s="1673"/>
      <c r="I276" s="1673"/>
      <c r="J276" s="1673"/>
      <c r="K276" s="1678">
        <f>D276</f>
        <v>14868</v>
      </c>
      <c r="L276" s="1573">
        <v>15800</v>
      </c>
    </row>
    <row r="277" spans="1:12" ht="12.75" customHeight="1" thickBot="1" x14ac:dyDescent="0.25">
      <c r="A277" s="1393" t="s">
        <v>37</v>
      </c>
      <c r="B277" s="1381" t="s">
        <v>36</v>
      </c>
      <c r="C277" s="1673"/>
      <c r="D277" s="1674">
        <f>SUM(D272:D276)</f>
        <v>14868</v>
      </c>
      <c r="E277" s="1673"/>
      <c r="F277" s="1673"/>
      <c r="G277" s="1673"/>
      <c r="H277" s="1673"/>
      <c r="I277" s="1673"/>
      <c r="J277" s="1673"/>
      <c r="K277" s="1674">
        <f>SUM(K272:K276)</f>
        <v>14868</v>
      </c>
      <c r="L277" s="1674">
        <f>SUM(L272:L276)</f>
        <v>15800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263091</v>
      </c>
      <c r="E279" s="1673"/>
      <c r="F279" s="1673"/>
      <c r="G279" s="1673"/>
      <c r="H279" s="1673"/>
      <c r="I279" s="1673"/>
      <c r="J279" s="1673"/>
      <c r="K279" s="1681">
        <f>SUM(K238,K243,K257,K261,K270,K277,K278)</f>
        <v>263091</v>
      </c>
      <c r="L279" s="1681">
        <f>SUM(L238,L243,L257,L261,L270,L277,L278)</f>
        <v>283041</v>
      </c>
    </row>
    <row r="280" spans="1:12" ht="15.75" customHeight="1" thickTop="1" thickBot="1" x14ac:dyDescent="0.25">
      <c r="A280" s="1362" t="s">
        <v>870</v>
      </c>
      <c r="B280" s="1351">
        <v>3000</v>
      </c>
      <c r="C280" s="1673"/>
      <c r="D280" s="1651">
        <v>18117</v>
      </c>
      <c r="E280" s="1673"/>
      <c r="F280" s="1673"/>
      <c r="G280" s="1673"/>
      <c r="H280" s="1673"/>
      <c r="I280" s="1673"/>
      <c r="J280" s="1673"/>
      <c r="K280" s="1687">
        <f>D280</f>
        <v>18117</v>
      </c>
      <c r="L280" s="1651">
        <v>20400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442453</v>
      </c>
      <c r="E295" s="1673"/>
      <c r="F295" s="1673"/>
      <c r="G295" s="1673"/>
      <c r="H295" s="1674">
        <f>H293</f>
        <v>0</v>
      </c>
      <c r="I295" s="1673"/>
      <c r="J295" s="1673"/>
      <c r="K295" s="1674">
        <f>SUM(K229,K279,K280,K285,K293,K294)</f>
        <v>442453</v>
      </c>
      <c r="L295" s="1674">
        <f>SUM(L229,L279,L280,L285,L293,L294)</f>
        <v>469207</v>
      </c>
    </row>
    <row r="296" spans="1:14" ht="13.5" thickTop="1" x14ac:dyDescent="0.2">
      <c r="A296" s="2286" t="s">
        <v>989</v>
      </c>
      <c r="B296" s="2287"/>
      <c r="C296" s="1673"/>
      <c r="D296" s="1675"/>
      <c r="E296" s="1673"/>
      <c r="F296" s="1673"/>
      <c r="G296" s="1673"/>
      <c r="H296" s="1707"/>
      <c r="I296" s="1673"/>
      <c r="J296" s="1673"/>
      <c r="K296" s="1689">
        <f>'Revenues 9-14'!G268-'Expenditures 15-22'!K295</f>
        <v>-102914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672736</v>
      </c>
      <c r="H301" s="1573"/>
      <c r="I301" s="1574"/>
      <c r="J301" s="1574"/>
      <c r="K301" s="1672">
        <f>SUM(C301:J301)</f>
        <v>672736</v>
      </c>
      <c r="L301" s="1574">
        <v>672737</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672736</v>
      </c>
      <c r="H303" s="1681">
        <f t="shared" si="23"/>
        <v>0</v>
      </c>
      <c r="I303" s="1681">
        <f t="shared" si="23"/>
        <v>0</v>
      </c>
      <c r="J303" s="1681">
        <f t="shared" si="23"/>
        <v>0</v>
      </c>
      <c r="K303" s="1681">
        <f t="shared" si="23"/>
        <v>672736</v>
      </c>
      <c r="L303" s="1681">
        <f t="shared" si="23"/>
        <v>672737</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672736</v>
      </c>
      <c r="H312" s="1674">
        <f>SUM(H303,H310)</f>
        <v>0</v>
      </c>
      <c r="I312" s="1674">
        <f>SUM(I303)</f>
        <v>0</v>
      </c>
      <c r="J312" s="1674">
        <f>SUM(J303)</f>
        <v>0</v>
      </c>
      <c r="K312" s="1674">
        <f>SUM(K303,K310,K311)</f>
        <v>672736</v>
      </c>
      <c r="L312" s="1674">
        <f>SUM(L303,L310,L311)</f>
        <v>672737</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-672736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51184</v>
      </c>
      <c r="F320" s="1574"/>
      <c r="G320" s="1574"/>
      <c r="H320" s="1574"/>
      <c r="I320" s="1574"/>
      <c r="J320" s="1574"/>
      <c r="K320" s="1672">
        <f t="shared" ref="K320:K327" si="24">SUM(C320:J320)</f>
        <v>51184</v>
      </c>
      <c r="L320" s="1574">
        <v>51185</v>
      </c>
      <c r="M320" s="539"/>
      <c r="N320" s="539"/>
    </row>
    <row r="321" spans="1:14" s="548" customFormat="1" x14ac:dyDescent="0.2">
      <c r="A321" s="1289" t="s">
        <v>297</v>
      </c>
      <c r="B321" s="567" t="s">
        <v>281</v>
      </c>
      <c r="C321" s="1574"/>
      <c r="D321" s="1574"/>
      <c r="E321" s="1574">
        <v>410</v>
      </c>
      <c r="F321" s="1574"/>
      <c r="G321" s="1574"/>
      <c r="H321" s="1574"/>
      <c r="I321" s="1574"/>
      <c r="J321" s="1574"/>
      <c r="K321" s="1672">
        <f t="shared" si="24"/>
        <v>410</v>
      </c>
      <c r="L321" s="1574">
        <v>410</v>
      </c>
      <c r="M321" s="539"/>
      <c r="N321" s="539"/>
    </row>
    <row r="322" spans="1:14" s="548" customFormat="1" x14ac:dyDescent="0.2">
      <c r="A322" s="1289" t="s">
        <v>236</v>
      </c>
      <c r="B322" s="567" t="s">
        <v>282</v>
      </c>
      <c r="C322" s="1574"/>
      <c r="D322" s="1574"/>
      <c r="E322" s="1574">
        <v>138760</v>
      </c>
      <c r="F322" s="1574"/>
      <c r="G322" s="1574"/>
      <c r="H322" s="1574"/>
      <c r="I322" s="1574"/>
      <c r="J322" s="1574"/>
      <c r="K322" s="1672">
        <f t="shared" si="24"/>
        <v>138760</v>
      </c>
      <c r="L322" s="1574">
        <v>138775</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327488</v>
      </c>
      <c r="D325" s="1574">
        <v>44073</v>
      </c>
      <c r="E325" s="1574">
        <v>44878</v>
      </c>
      <c r="F325" s="1574"/>
      <c r="G325" s="1574"/>
      <c r="H325" s="1574"/>
      <c r="I325" s="1574"/>
      <c r="J325" s="1574"/>
      <c r="K325" s="1672">
        <f t="shared" si="24"/>
        <v>416439</v>
      </c>
      <c r="L325" s="1574">
        <v>416442</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11958</v>
      </c>
      <c r="F327" s="1574"/>
      <c r="G327" s="1574"/>
      <c r="H327" s="1574"/>
      <c r="I327" s="1574"/>
      <c r="J327" s="1574"/>
      <c r="K327" s="1672">
        <f t="shared" si="24"/>
        <v>11958</v>
      </c>
      <c r="L327" s="1574">
        <v>11958</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327488</v>
      </c>
      <c r="D330" s="1674">
        <f t="shared" ref="D330:J330" si="25">SUM(D319:D329)</f>
        <v>44073</v>
      </c>
      <c r="E330" s="1674">
        <f t="shared" si="25"/>
        <v>247190</v>
      </c>
      <c r="F330" s="1674">
        <f t="shared" si="25"/>
        <v>0</v>
      </c>
      <c r="G330" s="1674">
        <f t="shared" si="25"/>
        <v>0</v>
      </c>
      <c r="H330" s="1674">
        <f t="shared" si="25"/>
        <v>0</v>
      </c>
      <c r="I330" s="1674">
        <f t="shared" si="25"/>
        <v>0</v>
      </c>
      <c r="J330" s="1674">
        <f t="shared" si="25"/>
        <v>0</v>
      </c>
      <c r="K330" s="1674">
        <f>SUM(K319:K329)</f>
        <v>618751</v>
      </c>
      <c r="L330" s="1674">
        <f>SUM(L319:L329)</f>
        <v>618770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327488</v>
      </c>
      <c r="D342" s="1674">
        <f>SUM(D330)</f>
        <v>44073</v>
      </c>
      <c r="E342" s="1674">
        <f>SUM(E330)</f>
        <v>247190</v>
      </c>
      <c r="F342" s="1674">
        <f>SUM(F330)</f>
        <v>0</v>
      </c>
      <c r="G342" s="1674">
        <f>SUM(G330)</f>
        <v>0</v>
      </c>
      <c r="H342" s="1674">
        <f>SUM(H330,H334,H340)</f>
        <v>0</v>
      </c>
      <c r="I342" s="1674">
        <f>SUM(I330)</f>
        <v>0</v>
      </c>
      <c r="J342" s="1674">
        <f>SUM(J330)</f>
        <v>0</v>
      </c>
      <c r="K342" s="1674">
        <f>SUM(K330,K334,K340)</f>
        <v>618751</v>
      </c>
      <c r="L342" s="1681">
        <f>SUM(L330,L334,L340,L341)</f>
        <v>618770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270258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154844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http://purl.org/dc/elements/1.1/"/>
    <ds:schemaRef ds:uri="4d435f69-8686-490b-bd6d-b153bf22ab50"/>
    <ds:schemaRef ds:uri="6ce3111e-7420-4802-b50a-75d4e9a0b980"/>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2020-10-30T20:35:25Z</cp:lastPrinted>
  <dcterms:created xsi:type="dcterms:W3CDTF">2003-10-29T19:06:34Z</dcterms:created>
  <dcterms:modified xsi:type="dcterms:W3CDTF">2020-11-18T13:41:08Z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