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8D627D1-D6DB-4151-B367-97038AD46706}"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Table of Contents - Excel" sheetId="188" r:id="rId21"/>
    <sheet name="Opinion, GAS Rept &amp; Notes - PDF" sheetId="129" r:id="rId22"/>
    <sheet name="Activity Funds - Excel" sheetId="187" r:id="rId23"/>
    <sheet name="DeficitAFRSum Calc 37" sheetId="146" r:id="rId24"/>
    <sheet name="AUDITCHECK" sheetId="36" r:id="rId25"/>
    <sheet name="AFR20" sheetId="106" state="hidden" r:id="rId26"/>
    <sheet name="Single Audit Cover" sheetId="169" r:id="rId27"/>
    <sheet name="Single Audit Checklist" sheetId="170" r:id="rId28"/>
    <sheet name="SEFA Reconcile" sheetId="171"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5" hidden="1">'AFR20'!$A$1:$F$7884</definedName>
    <definedName name="a" localSheetId="22">#REF!</definedName>
    <definedName name="a" localSheetId="20">#REF!</definedName>
    <definedName name="a">#REF!</definedName>
    <definedName name="AFAFDAF" localSheetId="20">#REF!</definedName>
    <definedName name="AFAFDAF">#REF!</definedName>
    <definedName name="AFDASFDAFDAFD" localSheetId="20">#REF!</definedName>
    <definedName name="AFDASFDAFDAFD">#REF!</definedName>
    <definedName name="b" localSheetId="20">#REF!</definedName>
    <definedName name="b">#REF!</definedName>
    <definedName name="d" localSheetId="20">#REF!</definedName>
    <definedName name="d">#REF!</definedName>
    <definedName name="dafd" localSheetId="20">#REF!</definedName>
    <definedName name="dafd">#REF!</definedName>
    <definedName name="E" localSheetId="20">#REF!</definedName>
    <definedName name="E">#REF!</definedName>
    <definedName name="FDAFDAFD" localSheetId="20">#REF!</definedName>
    <definedName name="FDAFDAFD">#REF!</definedName>
    <definedName name="_xlnm.Print_Area" localSheetId="29">' SEFA'!$B$1:$M$46</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7">'Single Audit Checklist'!$A$1:$D$124</definedName>
    <definedName name="_xlnm.Print_Area" localSheetId="26">'Single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7">'Single Audit Checklist'!$1:$4</definedName>
    <definedName name="SCHADDRS" localSheetId="29">#REF!</definedName>
    <definedName name="SCHADDRS" localSheetId="22">#REF!</definedName>
    <definedName name="SCHADDRS" localSheetId="14">#REF!</definedName>
    <definedName name="SCHADDRS" localSheetId="23">#REF!</definedName>
    <definedName name="SCHADDRS" localSheetId="4">#REF!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 localSheetId="20">#REF!</definedName>
    <definedName name="SCHADDRS">#REF!</definedName>
    <definedName name="SCHCTY" localSheetId="29">#REF!</definedName>
    <definedName name="SCHCTY" localSheetId="22">#REF!</definedName>
    <definedName name="SCHCTY" localSheetId="14">#REF!</definedName>
    <definedName name="SCHCTY" localSheetId="23">#REF!</definedName>
    <definedName name="SCHCTY" localSheetId="4">#REF!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 localSheetId="20">#REF!</definedName>
    <definedName name="SCHCTY">#REF!</definedName>
    <definedName name="SCHNMBR" localSheetId="29">#REF!</definedName>
    <definedName name="SCHNMBR" localSheetId="22">#REF!</definedName>
    <definedName name="SCHNMBR" localSheetId="14">#REF!</definedName>
    <definedName name="SCHNMBR" localSheetId="23">#REF!</definedName>
    <definedName name="SCHNMBR" localSheetId="4">#REF!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 localSheetId="20">#REF!</definedName>
    <definedName name="SCHNMBR">#REF!</definedName>
    <definedName name="SCHNME" localSheetId="29">#REF!</definedName>
    <definedName name="SCHNME" localSheetId="22">#REF!</definedName>
    <definedName name="SCHNME" localSheetId="14">#REF!</definedName>
    <definedName name="SCHNME" localSheetId="23">#REF!</definedName>
    <definedName name="SCHNME" localSheetId="4">#REF!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 localSheetId="20">#REF!</definedName>
    <definedName name="SCHNME">#REF!</definedName>
    <definedName name="SUPT" localSheetId="29">#REF!</definedName>
    <definedName name="SUPT" localSheetId="22">#REF!</definedName>
    <definedName name="SUPT" localSheetId="14">#REF!</definedName>
    <definedName name="SUPT" localSheetId="23">#REF!</definedName>
    <definedName name="SUPT" localSheetId="4">#REF!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 localSheetId="2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5" i="5" l="1"/>
  <c r="J5" i="5"/>
  <c r="D215" i="29" l="1"/>
  <c r="F182" i="29"/>
  <c r="E182" i="29"/>
  <c r="C182" i="29"/>
  <c r="F5" i="5"/>
  <c r="E5" i="5"/>
  <c r="F124" i="29"/>
  <c r="E124" i="29"/>
  <c r="C124" i="29"/>
  <c r="D5" i="5"/>
  <c r="D60" i="29"/>
  <c r="C107" i="5"/>
  <c r="C104" i="5"/>
  <c r="C39" i="3"/>
  <c r="C4" i="3"/>
  <c r="F5" i="29"/>
  <c r="D5" i="29"/>
  <c r="D10" i="29"/>
  <c r="E37" i="29"/>
  <c r="E45" i="29"/>
  <c r="E49" i="29"/>
  <c r="E55" i="29"/>
  <c r="E60" i="29"/>
  <c r="E63" i="29" l="1"/>
  <c r="D55" i="29"/>
  <c r="C55" i="29"/>
  <c r="D50" i="29"/>
  <c r="F49" i="29"/>
  <c r="F45" i="29"/>
  <c r="E44" i="29"/>
  <c r="C41" i="29"/>
  <c r="D37" i="29"/>
  <c r="D17" i="29"/>
  <c r="H14" i="29"/>
  <c r="F14" i="29"/>
  <c r="E14" i="29"/>
  <c r="D14" i="29"/>
  <c r="C14" i="29"/>
  <c r="F13" i="29"/>
  <c r="D13" i="29"/>
  <c r="C10" i="29"/>
  <c r="D8" i="29"/>
  <c r="C5" i="29"/>
  <c r="G7" i="29"/>
  <c r="F7" i="29"/>
  <c r="E7" i="29"/>
  <c r="D7" i="29"/>
  <c r="C7" i="29"/>
  <c r="H5" i="29"/>
  <c r="C168" i="5"/>
  <c r="C137" i="5"/>
  <c r="C84" i="5"/>
  <c r="C7" i="5"/>
  <c r="C5" i="5"/>
  <c r="C12" i="187" l="1"/>
  <c r="I12" i="187" s="1"/>
  <c r="I15" i="187" s="1"/>
  <c r="E12" i="187"/>
  <c r="E15" i="187" s="1"/>
  <c r="G12" i="187"/>
  <c r="G15" i="187" s="1"/>
  <c r="I13" i="187"/>
  <c r="I20" i="187"/>
  <c r="I74" i="187" s="1"/>
  <c r="I21" i="187"/>
  <c r="I22" i="187"/>
  <c r="I23" i="187"/>
  <c r="I24" i="187"/>
  <c r="I25" i="187"/>
  <c r="I26" i="187"/>
  <c r="I27" i="187"/>
  <c r="I28" i="187"/>
  <c r="I29" i="187"/>
  <c r="I30" i="187"/>
  <c r="I31" i="187"/>
  <c r="I32" i="187"/>
  <c r="I33" i="187"/>
  <c r="I34" i="187"/>
  <c r="I35" i="187"/>
  <c r="I36" i="187"/>
  <c r="I37" i="187"/>
  <c r="I38" i="187"/>
  <c r="I39" i="187"/>
  <c r="I40" i="187"/>
  <c r="I41" i="187"/>
  <c r="I42" i="187"/>
  <c r="I43" i="187"/>
  <c r="I44" i="187"/>
  <c r="I45" i="187"/>
  <c r="I46" i="187"/>
  <c r="I47" i="187"/>
  <c r="I48" i="187"/>
  <c r="I49" i="187"/>
  <c r="I50" i="187"/>
  <c r="I51" i="187"/>
  <c r="I52" i="187"/>
  <c r="I53" i="187"/>
  <c r="I54" i="187"/>
  <c r="I55" i="187"/>
  <c r="I56" i="187"/>
  <c r="I57" i="187"/>
  <c r="I58" i="187"/>
  <c r="I59" i="187"/>
  <c r="I60" i="187"/>
  <c r="I61" i="187"/>
  <c r="I62" i="187"/>
  <c r="I63" i="187"/>
  <c r="I64" i="187"/>
  <c r="I65" i="187"/>
  <c r="I66" i="187"/>
  <c r="I67" i="187"/>
  <c r="I68" i="187"/>
  <c r="I69" i="187"/>
  <c r="I70" i="187"/>
  <c r="I71" i="187"/>
  <c r="I72" i="187"/>
  <c r="C74" i="187"/>
  <c r="E74" i="187"/>
  <c r="G74" i="187"/>
  <c r="E12" i="11"/>
  <c r="C13" i="11"/>
  <c r="C12" i="11"/>
  <c r="H13" i="11"/>
  <c r="H12" i="11"/>
  <c r="D13" i="11"/>
  <c r="J31" i="8"/>
  <c r="C15" i="18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33" i="183" l="1"/>
  <c r="F32" i="183"/>
  <c r="F31" i="183"/>
  <c r="F30" i="183"/>
  <c r="F29" i="183"/>
  <c r="F28" i="183"/>
  <c r="F27" i="183"/>
  <c r="F26" i="183"/>
  <c r="F25" i="183"/>
  <c r="F24" i="183"/>
  <c r="F23" i="183"/>
  <c r="F22" i="183"/>
  <c r="F21" i="183"/>
  <c r="F20" i="183"/>
  <c r="F19"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90" i="28" l="1"/>
  <c r="J88" i="28"/>
  <c r="J85" i="28"/>
  <c r="B7819" i="106" l="1"/>
  <c r="D7819" i="106" s="1"/>
  <c r="B7818" i="106"/>
  <c r="D7818" i="106" s="1"/>
  <c r="D34" i="183" l="1"/>
  <c r="A15" i="183"/>
  <c r="D82" i="36" l="1"/>
  <c r="F34" i="183"/>
  <c r="E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H342" i="29" l="1"/>
  <c r="B7189" i="106"/>
  <c r="D7189" i="106" s="1"/>
  <c r="E64" i="184"/>
  <c r="N64" i="184" s="1"/>
  <c r="B7153" i="106"/>
  <c r="D7153" i="106" s="1"/>
  <c r="E60" i="184"/>
  <c r="N60" i="184" s="1"/>
  <c r="H12" i="184"/>
  <c r="I129" i="29"/>
  <c r="B7037" i="106" s="1"/>
  <c r="D7037" i="106" s="1"/>
  <c r="B7162" i="106"/>
  <c r="D7162" i="106" s="1"/>
  <c r="E61" i="184"/>
  <c r="N61" i="184" s="1"/>
  <c r="B7126" i="106"/>
  <c r="D7126" i="106" s="1"/>
  <c r="E57" i="184"/>
  <c r="F34" i="34"/>
  <c r="B7826" i="106" s="1"/>
  <c r="D7826" i="106" s="1"/>
  <c r="B7198" i="106"/>
  <c r="D7198" i="106" s="1"/>
  <c r="E65" i="184"/>
  <c r="N65" i="184" s="1"/>
  <c r="B7705" i="106"/>
  <c r="D7705" i="106" s="1"/>
  <c r="E67" i="184"/>
  <c r="N67" i="184" s="1"/>
  <c r="F77" i="4"/>
  <c r="B3255" i="106" s="1"/>
  <c r="D3255" i="106" s="1"/>
  <c r="B7696" i="106"/>
  <c r="D7696" i="106" s="1"/>
  <c r="E66" i="184"/>
  <c r="N66" i="184" s="1"/>
  <c r="B7171" i="106"/>
  <c r="D7171" i="106" s="1"/>
  <c r="E62" i="184"/>
  <c r="N62" i="184" s="1"/>
  <c r="B7135" i="106"/>
  <c r="D7135" i="106" s="1"/>
  <c r="E58" i="184"/>
  <c r="N58" i="184" s="1"/>
  <c r="G39" i="108"/>
  <c r="H365" i="29"/>
  <c r="B7242" i="106" s="1"/>
  <c r="D7242" i="106" s="1"/>
  <c r="H15" i="184"/>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42" i="29" l="1"/>
  <c r="F13" i="34" s="1"/>
  <c r="B6216" i="106"/>
  <c r="D6216" i="106" s="1"/>
  <c r="B1381" i="106"/>
  <c r="D1381" i="106" s="1"/>
  <c r="B5527" i="106"/>
  <c r="D5527" i="106" s="1"/>
  <c r="F41" i="108"/>
  <c r="G43" i="108" s="1"/>
  <c r="D44" i="36"/>
  <c r="N23" i="3"/>
  <c r="B284" i="106" s="1"/>
  <c r="D284" i="106" s="1"/>
  <c r="N57" i="184"/>
  <c r="N68" i="184" s="1"/>
  <c r="E68" i="184"/>
  <c r="E367" i="29"/>
  <c r="B3636" i="106" s="1"/>
  <c r="D3636" i="106" s="1"/>
  <c r="B3635" i="106"/>
  <c r="D3635" i="106" s="1"/>
  <c r="E19" i="184"/>
  <c r="B7220" i="106"/>
  <c r="D7220" i="106" s="1"/>
  <c r="F75" i="34"/>
  <c r="B7886" i="106" s="1"/>
  <c r="D7886" i="106" s="1"/>
  <c r="H19" i="184"/>
  <c r="L20" i="184" s="1"/>
  <c r="B7222" i="106"/>
  <c r="D7222" i="106" s="1"/>
  <c r="F76" i="34"/>
  <c r="B7887" i="106" s="1"/>
  <c r="D7887" i="106" s="1"/>
  <c r="L16" i="11"/>
  <c r="B2061" i="106" s="1"/>
  <c r="D2061"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F8" i="4" l="1"/>
  <c r="B2595" i="106" s="1"/>
  <c r="D2595" i="106" s="1"/>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<sst xmlns="http://schemas.openxmlformats.org/spreadsheetml/2006/main" count="5298" uniqueCount="2215">
  <si>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</si>
  <si>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</si>
  <si>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</si>
  <si>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</si>
  <si>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</si>
  <si>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</si>
  <si>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</si>
  <si>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</si>
  <si>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</si>
  <si>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</si>
  <si>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</si>
  <si>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</si>
  <si>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</si>
  <si>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</si>
  <si>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</si>
  <si>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</si>
  <si>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</si>
  <si>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</si>
  <si>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</si>
  <si>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</si>
  <si>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</si>
  <si>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</si>
  <si>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</si>
  <si>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</si>
  <si>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</si>
  <si>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</si>
  <si>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</si>
  <si>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</si>
  <si>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</si>
  <si>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</si>
  <si>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</si>
  <si>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</si>
  <si>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</si>
  <si>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</si>
  <si>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</si>
  <si>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</si>
  <si>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</si>
  <si>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</si>
  <si>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</si>
  <si>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</si>
  <si>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</si>
  <si>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</si>
  <si>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</si>
  <si>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</si>
  <si>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</si>
  <si>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</si>
  <si>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</si>
  <si>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</si>
  <si>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</si>
  <si>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</si>
  <si>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</si>
  <si>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</si>
  <si>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</si>
  <si>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</si>
  <si>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</si>
  <si>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</si>
  <si>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</si>
  <si>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</si>
  <si>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</si>
  <si>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</si>
  <si>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</si>
  <si>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</si>
  <si>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</si>
  <si>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</si>
  <si>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</si>
  <si>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</si>
  <si>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</si>
  <si>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</si>
  <si>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</si>
  <si>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</si>
  <si>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</si>
  <si>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</si>
  <si>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</si>
  <si>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</si>
  <si>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</si>
  <si>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</si>
  <si>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</si>
  <si>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</si>
  <si>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</si>
  <si>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</si>
  <si>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</si>
  <si>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</si>
  <si>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</si>
  <si>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</si>
  <si>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</si>
  <si>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</si>
  <si>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</si>
  <si>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</si>
  <si>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</si>
  <si>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</si>
  <si>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</si>
  <si>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</si>
  <si>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</si>
  <si>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</si>
  <si>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</si>
  <si>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</si>
  <si>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</si>
  <si>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</si>
  <si>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</si>
  <si>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</si>
  <si>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</si>
  <si>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</si>
  <si>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</si>
  <si>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</si>
  <si>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</si>
  <si>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</si>
  <si>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</si>
  <si>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</si>
  <si>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</si>
  <si>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</si>
  <si>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</si>
  <si>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</si>
  <si>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</si>
  <si>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</si>
  <si>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</si>
  <si>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</si>
  <si>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</si>
  <si>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</si>
  <si>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</si>
  <si>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</si>
  <si>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</si>
  <si>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</si>
  <si>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</si>
  <si>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</si>
  <si>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</si>
  <si>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</si>
  <si>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</si>
  <si>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</si>
  <si>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</si>
  <si>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</si>
  <si>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</si>
  <si>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</si>
  <si>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</si>
  <si>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</si>
  <si>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</si>
  <si>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</si>
  <si>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</si>
  <si>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</si>
  <si>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</si>
  <si>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</si>
  <si>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</si>
  <si>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</si>
  <si>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</si>
  <si>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</si>
  <si>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</si>
  <si>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</si>
  <si>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</si>
  <si>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</si>
  <si>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</si>
  <si>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</si>
  <si>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</si>
  <si>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</si>
  <si>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</si>
  <si>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</si>
  <si>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</si>
  <si>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</si>
  <si>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</si>
  <si>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</si>
  <si>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</si>
  <si>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</si>
  <si>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</si>
  <si>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</si>
  <si>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</si>
  <si>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</si>
  <si>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</si>
  <si>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</si>
  <si>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</si>
  <si>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</si>
  <si>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</si>
  <si>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</si>
  <si>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</si>
  <si>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</si>
  <si>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</si>
  <si>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</si>
  <si>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</si>
  <si>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</si>
  <si>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</si>
  <si>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</si>
  <si>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</si>
  <si>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</si>
  <si>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</si>
  <si>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</si>
  <si>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</si>
  <si>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</si>
  <si>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</si>
  <si>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</si>
  <si>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</si>
  <si>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</si>
  <si>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</si>
  <si>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</si>
  <si>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</si>
  <si>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</si>
  <si>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</si>
  <si>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</si>
  <si>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</si>
  <si>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</si>
  <si>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</si>
  <si>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</si>
  <si>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</si>
  <si>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</si>
  <si>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</si>
  <si>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</si>
  <si>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</si>
  <si>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</si>
  <si>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</si>
  <si>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</si>
  <si>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</si>
  <si>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</si>
  <si>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</si>
  <si>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</si>
  <si>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</si>
  <si>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</si>
  <si>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</si>
  <si>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</si>
  <si>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</si>
  <si>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</si>
  <si>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</si>
  <si>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</si>
  <si>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</si>
  <si>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</si>
  <si>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</si>
  <si>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</si>
  <si>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</si>
  <si>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</si>
  <si>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</si>
  <si>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</si>
  <si>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</si>
  <si>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</si>
  <si>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</si>
  <si>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</si>
  <si>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</si>
  <si>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</si>
  <si>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</si>
  <si>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</si>
  <si>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</si>
  <si>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</si>
  <si>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</si>
  <si>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</si>
  <si>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</si>
  <si>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</si>
  <si>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</si>
  <si>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</si>
  <si>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</si>
  <si>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</si>
  <si>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</si>
  <si>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</si>
  <si>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</si>
  <si>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</si>
  <si>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</si>
  <si>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</si>
  <si>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</si>
  <si>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</si>
  <si>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</si>
  <si>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</si>
  <si>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</si>
  <si>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</si>
  <si>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</si>
  <si>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</si>
  <si>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</si>
  <si>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</si>
  <si>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</si>
  <si>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</si>
  <si>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</si>
  <si>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</si>
  <si>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</si>
  <si>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</si>
  <si>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</si>
  <si>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</si>
  <si>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</si>
  <si>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</si>
  <si>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</si>
  <si>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</si>
  <si>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</si>
  <si>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</si>
  <si>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</si>
  <si>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</si>
  <si>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</si>
  <si>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</si>
  <si>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</si>
  <si>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</si>
  <si>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</si>
  <si>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</si>
  <si>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</si>
  <si>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</si>
  <si>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</si>
  <si>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</si>
  <si>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</si>
  <si>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</si>
  <si>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</si>
  <si>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</si>
  <si>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</si>
  <si>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</si>
  <si>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</si>
  <si>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</si>
  <si>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</si>
  <si>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</si>
  <si>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</si>
  <si>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</si>
  <si>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</si>
  <si>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</si>
  <si>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</si>
  <si>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</si>
  <si>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</si>
  <si>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</si>
  <si>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</si>
  <si>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</si>
  <si>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</si>
  <si>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</si>
  <si>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</si>
  <si>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</si>
  <si>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</si>
  <si>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</si>
  <si>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</si>
  <si>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</si>
  <si>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</si>
  <si>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</si>
  <si>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</si>
  <si>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</si>
  <si>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</si>
  <si>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</si>
  <si>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</si>
  <si>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</si>
  <si>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</si>
  <si>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</si>
  <si>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</si>
  <si>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</si>
  <si>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</si>
  <si>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</si>
  <si>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</si>
  <si>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</si>
  <si>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</si>
  <si>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</si>
  <si>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</si>
  <si>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</si>
  <si>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</si>
  <si>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</si>
  <si>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</si>
  <si>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</si>
  <si>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</si>
  <si>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</si>
  <si>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</si>
  <si>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</si>
  <si>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</si>
  <si>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</si>
  <si>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</si>
  <si>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</si>
  <si>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</si>
  <si>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</si>
  <si>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</si>
  <si>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</si>
  <si>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</si>
  <si>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</si>
  <si>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</si>
  <si>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</si>
  <si>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</si>
  <si>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</si>
  <si>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</si>
  <si>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</si>
  <si>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</si>
  <si>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</si>
  <si>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</si>
  <si>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</si>
  <si>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</si>
  <si>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</si>
  <si>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</si>
  <si>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</si>
  <si>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</si>
  <si>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</si>
  <si>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</si>
  <si>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</si>
  <si>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</si>
  <si>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</si>
  <si>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</si>
  <si>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</si>
  <si>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</si>
  <si>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</si>
  <si>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</si>
  <si>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</si>
  <si>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</si>
  <si>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</si>
  <si>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</si>
  <si>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</si>
  <si>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</si>
  <si>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</si>
  <si>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</si>
  <si>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</si>
  <si>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</si>
  <si>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</si>
  <si>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</si>
  <si>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</si>
  <si>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</si>
  <si>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</si>
  <si>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</si>
  <si>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</si>
  <si>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</si>
  <si>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</si>
  <si>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</si>
  <si>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</si>
  <si>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</si>
  <si>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</si>
  <si>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</si>
  <si>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</si>
  <si>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</si>
  <si>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</si>
  <si>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</si>
  <si>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</si>
  <si>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</si>
  <si>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</si>
  <si>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</si>
  <si>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</si>
  <si>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</si>
  <si>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</si>
  <si>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</si>
  <si>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</si>
  <si>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</si>
  <si>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</si>
  <si>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</si>
  <si>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</si>
  <si>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</si>
  <si>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</si>
  <si>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</si>
  <si>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</si>
  <si>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</si>
  <si>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</si>
  <si>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</si>
  <si>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</si>
  <si>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</si>
  <si>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</si>
  <si>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</si>
  <si>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</si>
  <si>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</si>
  <si>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</si>
  <si>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</si>
  <si>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</si>
  <si>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</si>
  <si>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</si>
  <si>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</si>
  <si>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</si>
  <si>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</si>
  <si>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</si>
  <si>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</si>
  <si>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</si>
  <si>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</si>
  <si>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</si>
  <si>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</si>
  <si>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</si>
  <si>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</si>
  <si>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</si>
  <si>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</si>
  <si>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</si>
  <si>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</si>
  <si>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</si>
  <si>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</si>
  <si>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</si>
  <si>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</si>
  <si>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</si>
  <si>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</si>
  <si>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</si>
  <si>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</si>
  <si>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</si>
  <si>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</si>
  <si>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</si>
  <si>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</si>
  <si>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</si>
  <si>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</si>
  <si>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</si>
  <si>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</si>
  <si>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</si>
  <si>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</si>
  <si>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</si>
  <si>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</si>
  <si>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</si>
  <si>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</si>
  <si>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</si>
  <si>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</si>
  <si>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</si>
  <si>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</si>
  <si>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</si>
  <si>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</si>
  <si>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</si>
  <si>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</si>
  <si>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</si>
  <si>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</si>
  <si>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</si>
  <si>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</si>
  <si>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</si>
  <si>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</si>
  <si>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</si>
  <si>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</si>
  <si>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</si>
  <si>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</si>
  <si>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</si>
  <si>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</si>
  <si>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</si>
  <si>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</si>
  <si>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</si>
  <si>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</si>
  <si>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</si>
  <si>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</si>
  <si>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</si>
  <si>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</si>
  <si>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</si>
  <si>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</si>
  <si>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</si>
  <si>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</si>
  <si>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</si>
  <si>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</si>
  <si>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</si>
  <si>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</si>
  <si>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</si>
  <si>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</si>
  <si>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</si>
  <si>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</si>
  <si>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</si>
  <si>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</si>
  <si>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</si>
  <si>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</si>
  <si>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</si>
  <si>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</si>
  <si>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</si>
  <si>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</si>
  <si>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</si>
  <si>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</si>
  <si>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</si>
  <si>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</si>
  <si>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</si>
  <si>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</si>
  <si>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</si>
  <si>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</si>
  <si>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</si>
  <si>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</si>
  <si>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</si>
  <si>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</si>
  <si>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</si>
  <si>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</si>
  <si>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</si>
  <si>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</si>
  <si>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</si>
  <si>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</si>
  <si>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</si>
  <si>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</si>
  <si>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</si>
  <si>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</si>
  <si>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</si>
  <si>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</si>
  <si>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</si>
  <si>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</si>
  <si>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</si>
  <si>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</si>
  <si>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</si>
  <si>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</si>
  <si>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</si>
  <si>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</si>
  <si>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</si>
  <si>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</si>
  <si>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</si>
  <si>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</si>
  <si>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</si>
  <si>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</si>
  <si>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</si>
  <si>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</si>
  <si>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</si>
  <si>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</si>
  <si>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</si>
  <si>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</si>
  <si>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</si>
  <si>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</si>
  <si>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</si>
  <si>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</si>
  <si>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</si>
  <si>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</si>
  <si>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</si>
  <si>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</si>
  <si>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</si>
  <si>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</si>
  <si>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</si>
  <si>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</si>
  <si>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</si>
  <si>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</si>
  <si>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</si>
  <si>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</si>
  <si>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</si>
  <si>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</si>
  <si>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</si>
  <si>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</si>
  <si>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</si>
  <si>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</si>
  <si>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</si>
  <si>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</si>
  <si>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</si>
  <si>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</si>
  <si>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</si>
  <si>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</si>
  <si>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</si>
  <si>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</si>
  <si>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</si>
  <si>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</si>
  <si>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</si>
  <si>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</si>
  <si>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</si>
  <si>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</si>
  <si>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</si>
  <si>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</si>
  <si>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</si>
  <si>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</si>
  <si>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</si>
  <si>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</si>
  <si>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</si>
  <si>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</si>
  <si>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</si>
  <si>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</si>
  <si>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</si>
  <si>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</si>
  <si>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</si>
  <si>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</si>
  <si>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</si>
  <si>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</si>
  <si>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</si>
  <si>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</si>
  <si>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</si>
  <si>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</si>
  <si>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</si>
  <si>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</si>
  <si>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</si>
  <si>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</si>
  <si>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</si>
  <si>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</si>
  <si>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</si>
  <si>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</si>
  <si>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</si>
  <si>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</si>
  <si>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</si>
  <si>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</si>
  <si>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</si>
  <si>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</si>
  <si>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</si>
  <si>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</si>
  <si>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</si>
  <si>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</si>
  <si>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</si>
  <si>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</si>
  <si>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</si>
  <si>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</si>
  <si>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</si>
  <si>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</si>
  <si>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</si>
  <si>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</si>
  <si>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</si>
  <si>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</si>
  <si>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</si>
  <si>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</si>
  <si>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</si>
  <si>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</si>
  <si>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</si>
  <si>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</si>
  <si>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</si>
  <si>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</si>
  <si>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</si>
  <si>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</si>
  <si>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</si>
  <si>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</si>
  <si>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</si>
  <si>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</si>
  <si>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</si>
  <si>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</si>
  <si>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</si>
  <si>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</si>
  <si>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</si>
  <si>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</si>
  <si>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</si>
  <si>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</si>
  <si>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</si>
  <si>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</si>
  <si>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</si>
  <si>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</si>
  <si>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</si>
  <si>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</si>
  <si>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</si>
  <si>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</si>
  <si>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</si>
  <si>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</si>
  <si>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</si>
  <si>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</si>
  <si>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</si>
  <si>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</si>
  <si>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</si>
  <si>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</si>
  <si>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</si>
  <si>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</si>
  <si>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</si>
  <si>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</si>
  <si>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</si>
  <si>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</si>
  <si>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</si>
  <si>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</si>
  <si>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</si>
  <si>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</si>
  <si>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</si>
  <si>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</si>
  <si>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</si>
  <si>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</si>
  <si>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</si>
  <si>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</si>
  <si>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</si>
  <si>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</si>
  <si>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</si>
  <si>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</si>
  <si>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</si>
  <si>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</si>
  <si>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</si>
  <si>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</si>
  <si>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</si>
  <si>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</si>
  <si>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</si>
  <si>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</si>
  <si>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</si>
  <si>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</si>
  <si>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</si>
  <si>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</si>
  <si>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</si>
  <si>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</si>
  <si>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</si>
  <si>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</si>
  <si>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</si>
  <si>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</si>
  <si>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</si>
  <si>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</si>
  <si>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</si>
  <si>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</si>
  <si>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</si>
  <si>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</si>
  <si>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</si>
  <si>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</si>
  <si>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</si>
  <si>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</si>
  <si>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</si>
  <si>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</si>
  <si>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</si>
  <si>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</si>
  <si>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</si>
  <si>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</si>
  <si>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</si>
  <si>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</si>
  <si>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</si>
  <si>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</si>
  <si>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</si>
  <si>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</si>
  <si>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</si>
  <si>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</si>
  <si>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</si>
  <si>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</si>
  <si>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</si>
  <si>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</si>
  <si>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</si>
  <si>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</si>
  <si>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</si>
  <si>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</si>
  <si>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</si>
  <si>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</si>
  <si>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</si>
  <si>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</si>
  <si>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</si>
  <si>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</si>
  <si>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</si>
  <si>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</si>
  <si>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</si>
  <si>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</si>
  <si>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</si>
  <si>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</si>
  <si>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</si>
  <si>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</si>
  <si>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</si>
  <si>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</si>
  <si>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</si>
  <si>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</si>
  <si>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</si>
  <si>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</si>
  <si>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</si>
  <si>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</si>
  <si>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</si>
  <si>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</si>
  <si>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</si>
  <si>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</si>
  <si>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</si>
  <si>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</si>
  <si>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</si>
  <si>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</si>
  <si>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</si>
  <si>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</si>
  <si>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</si>
  <si>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</si>
  <si>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</si>
  <si>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</si>
  <si>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</si>
  <si>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</si>
  <si>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</si>
  <si>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</si>
  <si>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</si>
  <si>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</si>
  <si>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</si>
  <si>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</si>
  <si>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</si>
  <si>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</si>
  <si>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</si>
  <si>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</si>
  <si>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</si>
  <si>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</si>
  <si>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</si>
  <si>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</si>
  <si>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</si>
  <si>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</si>
  <si>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</si>
  <si>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</si>
  <si>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</si>
  <si>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</si>
  <si>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</si>
  <si>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</si>
  <si>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</si>
  <si>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</si>
  <si>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</si>
  <si>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</si>
  <si>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</si>
  <si>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</si>
  <si>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</si>
  <si>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</si>
  <si>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</si>
  <si>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</si>
  <si>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</si>
  <si>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</si>
  <si>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</si>
  <si>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</si>
  <si>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</si>
  <si>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</si>
  <si>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</si>
  <si>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</si>
  <si>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</si>
  <si>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</si>
  <si>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</si>
  <si>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</si>
  <si>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</si>
  <si>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</si>
  <si>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</si>
  <si>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</si>
  <si>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</si>
  <si>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</si>
  <si>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</si>
  <si>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</si>
  <si>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</si>
  <si>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</si>
  <si>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</si>
  <si>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</si>
  <si>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</si>
  <si>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</si>
  <si>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</si>
  <si>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</si>
  <si>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</si>
  <si>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</si>
  <si>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</si>
  <si>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</si>
  <si>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</si>
  <si>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</si>
  <si>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</si>
  <si>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</si>
  <si>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</si>
  <si>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</si>
  <si>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</si>
  <si>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</si>
  <si>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</si>
  <si>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</si>
  <si>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</si>
  <si>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</si>
  <si>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</si>
  <si>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</si>
  <si>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</si>
  <si>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</si>
  <si>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</si>
  <si>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</si>
  <si>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</si>
  <si>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</si>
  <si>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</si>
  <si>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</si>
  <si>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</si>
  <si>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</si>
  <si>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</si>
  <si>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</si>
  <si>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</si>
  <si>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</si>
  <si>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</si>
  <si>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</si>
  <si>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</si>
  <si>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</si>
  <si>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</si>
  <si>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</si>
  <si>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</si>
  <si>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</si>
  <si>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</si>
  <si>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</si>
  <si>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</si>
  <si>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</si>
  <si>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</si>
  <si>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</si>
  <si>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</si>
  <si>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</si>
  <si>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</si>
  <si>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</si>
  <si>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</si>
  <si>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</si>
  <si>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</si>
  <si>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</si>
  <si>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</si>
  <si>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</si>
  <si>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</si>
  <si>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</si>
  <si>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</si>
  <si>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</si>
  <si>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</si>
  <si>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</si>
  <si>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</si>
  <si>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</si>
  <si>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</si>
  <si>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</si>
  <si>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</si>
  <si>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</si>
  <si>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</si>
  <si>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</si>
  <si>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</si>
  <si>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</si>
  <si>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</si>
  <si>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</si>
  <si>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</si>
  <si>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</si>
  <si>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</si>
  <si>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</si>
  <si>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</si>
  <si>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</si>
  <si>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</si>
  <si>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</si>
  <si>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</si>
  <si>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</si>
  <si>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</si>
  <si>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</si>
  <si>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</si>
  <si>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</si>
  <si>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</si>
  <si>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</si>
  <si>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</si>
  <si>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</si>
  <si>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</si>
  <si>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</si>
  <si>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</si>
  <si>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</si>
  <si>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</si>
  <si>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</si>
  <si>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</si>
  <si>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</si>
  <si>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</si>
  <si>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</si>
  <si>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</si>
  <si>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</si>
  <si>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</si>
  <si>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</si>
  <si>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</si>
  <si>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</si>
  <si>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</si>
  <si>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</si>
  <si>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</si>
  <si>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</si>
  <si>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</si>
  <si>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</si>
  <si>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</si>
  <si>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</si>
  <si>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</si>
  <si>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</si>
  <si>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</si>
  <si>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</si>
  <si>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</si>
  <si>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</si>
  <si>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</si>
  <si>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</si>
  <si>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</si>
  <si>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</si>
  <si>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</si>
  <si>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</si>
  <si>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</si>
  <si>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</si>
  <si>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</si>
  <si>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</si>
  <si>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</si>
  <si>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</si>
  <si>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</si>
  <si>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</si>
  <si>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</si>
  <si>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</si>
  <si>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</si>
  <si>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</si>
  <si>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</si>
  <si>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</si>
  <si>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</si>
  <si>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</si>
  <si>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</si>
  <si>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</si>
  <si>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</si>
  <si>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</si>
  <si>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</si>
  <si>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</si>
  <si>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</si>
  <si>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</si>
  <si>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</si>
  <si>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</si>
  <si>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</si>
  <si>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</si>
  <si>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</si>
  <si>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</si>
  <si>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</si>
  <si>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</si>
  <si>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</si>
  <si>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</si>
  <si>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</si>
  <si>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</si>
  <si>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</si>
  <si>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</si>
  <si>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</si>
  <si>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</si>
  <si>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</si>
  <si>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</si>
  <si>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</si>
  <si>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</si>
  <si>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</si>
  <si>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</si>
  <si>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</si>
  <si>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</si>
  <si>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</si>
  <si>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</si>
  <si>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</si>
  <si>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</si>
  <si>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</si>
  <si>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</si>
  <si>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</si>
  <si>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</si>
  <si>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</si>
  <si>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</si>
  <si>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</si>
  <si>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</si>
  <si>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</si>
  <si>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</si>
  <si>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</si>
  <si>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</si>
  <si>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</si>
  <si>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</si>
  <si>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</si>
  <si>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</si>
  <si>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</si>
  <si>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</si>
  <si>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</si>
  <si>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</si>
  <si>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</si>
  <si>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</si>
  <si>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</si>
  <si>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</si>
  <si>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</si>
  <si>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</si>
  <si>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</si>
  <si>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</si>
  <si>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</si>
  <si>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</si>
  <si>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</si>
  <si>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</si>
  <si>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</si>
  <si>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</si>
  <si>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</si>
  <si>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</si>
  <si>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</si>
  <si>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</si>
  <si>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</si>
  <si>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</si>
  <si>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</si>
  <si>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</si>
  <si>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</si>
  <si>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</si>
  <si>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</si>
  <si>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</si>
  <si>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</si>
  <si>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</si>
  <si>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</si>
  <si>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</si>
  <si>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</si>
  <si>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</si>
  <si>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</si>
  <si>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</si>
  <si>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</si>
  <si>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</si>
  <si>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</si>
  <si>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</si>
  <si>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</si>
  <si>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</si>
  <si>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</si>
  <si>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</si>
  <si>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</si>
  <si>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</si>
  <si>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</si>
  <si>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</si>
  <si>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</si>
  <si>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</si>
  <si>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</si>
  <si>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</si>
  <si>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</si>
  <si>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</si>
  <si>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</si>
  <si>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</si>
  <si>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</si>
  <si>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</si>
  <si>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</si>
  <si>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</si>
  <si>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</si>
  <si>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</si>
  <si>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</si>
  <si>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</si>
  <si>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</si>
  <si>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</si>
  <si>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</si>
  <si>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</si>
  <si>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</si>
  <si>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</si>
  <si>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</si>
  <si>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</si>
  <si>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</si>
  <si>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</si>
  <si>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</si>
  <si>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</si>
  <si>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</si>
  <si>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</si>
  <si>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</si>
  <si>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</si>
  <si>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</si>
  <si>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</si>
  <si>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</si>
  <si>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</si>
  <si>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</si>
  <si>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</si>
  <si>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</si>
  <si>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</si>
  <si>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</si>
  <si>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</si>
  <si>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</si>
  <si>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</si>
  <si>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</si>
  <si>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</si>
  <si>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</si>
  <si>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</si>
  <si>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</si>
  <si>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</si>
  <si>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</si>
  <si>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</si>
  <si>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</si>
  <si>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</si>
  <si>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</si>
  <si>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</si>
  <si>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</si>
  <si>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</si>
  <si>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</si>
  <si>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</si>
  <si>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</si>
  <si>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</si>
  <si>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</si>
  <si>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</si>
  <si>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</si>
  <si>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</si>
  <si>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</si>
  <si>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</si>
  <si>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</si>
  <si>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</si>
  <si>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</si>
  <si>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</si>
  <si>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</si>
  <si>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</si>
  <si>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</si>
  <si>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</si>
  <si>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</si>
  <si>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</si>
  <si>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</si>
  <si>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</si>
  <si>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</si>
  <si>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</si>
  <si>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</si>
  <si>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</si>
  <si>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</si>
  <si>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</si>
  <si>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</si>
  <si>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</si>
  <si>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</si>
  <si>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</si>
  <si>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</si>
  <si>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</si>
  <si>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</si>
  <si>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</si>
  <si>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</si>
  <si>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</si>
  <si>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</si>
  <si>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</si>
  <si>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</si>
  <si>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</si>
  <si>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</si>
  <si>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</si>
  <si>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</si>
  <si>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</si>
  <si>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</si>
  <si>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</si>
  <si>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</si>
  <si>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</si>
  <si>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</si>
  <si>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</si>
  <si>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</si>
  <si>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</si>
  <si>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</si>
  <si>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</si>
  <si>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</si>
  <si>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</si>
  <si>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</si>
  <si>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</si>
  <si>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</si>
  <si>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</si>
  <si>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</si>
  <si>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</si>
  <si>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</si>
  <si>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</si>
  <si>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</si>
  <si>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</si>
  <si>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</si>
  <si>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</si>
  <si>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</si>
  <si>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</si>
  <si>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</si>
  <si>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</si>
  <si>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</si>
  <si>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</si>
  <si>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</si>
  <si>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</si>
  <si>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</si>
  <si>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</si>
  <si>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</si>
  <si>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</si>
  <si>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</si>
  <si>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</si>
  <si>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</si>
  <si>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</si>
  <si>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</si>
  <si>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</si>
  <si>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</si>
  <si>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</si>
  <si>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</si>
  <si>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</si>
  <si>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</si>
  <si>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</si>
  <si>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</si>
  <si>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</si>
  <si>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</si>
  <si>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</si>
  <si>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</si>
  <si>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</si>
  <si>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</si>
  <si>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</si>
  <si>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</si>
  <si>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</si>
  <si>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</si>
  <si>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</si>
  <si>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</si>
  <si>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</si>
  <si>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</si>
  <si>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</si>
  <si>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</si>
  <si>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</si>
  <si>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</si>
  <si>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</si>
  <si>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</si>
  <si>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</si>
  <si>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</si>
  <si>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</si>
  <si>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</si>
  <si>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</si>
  <si>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</si>
  <si>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</si>
  <si>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</si>
  <si>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</si>
  <si>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</si>
  <si>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</si>
  <si>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</si>
  <si>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</si>
  <si>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</si>
  <si>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</si>
  <si>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</si>
  <si>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</si>
  <si>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</si>
  <si>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</si>
  <si>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</si>
  <si>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</si>
  <si>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</si>
  <si>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</si>
  <si>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</si>
  <si>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</si>
  <si>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</si>
  <si>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</si>
  <si>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</si>
  <si>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</si>
  <si>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</si>
  <si>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</si>
  <si>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</si>
  <si>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</si>
  <si>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</si>
  <si>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</si>
  <si>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</si>
  <si>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</si>
  <si>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</si>
  <si>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</si>
  <si>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</si>
  <si>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</si>
  <si>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</si>
  <si>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</si>
  <si>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</si>
  <si>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</si>
  <si>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</si>
  <si>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</si>
  <si>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</si>
  <si>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</si>
  <si>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</si>
  <si>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</si>
  <si>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</si>
  <si>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</si>
  <si>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</si>
  <si>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</si>
  <si>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</si>
  <si>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</si>
  <si>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</si>
  <si>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</si>
  <si>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</si>
  <si>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</si>
  <si>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</si>
  <si>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</si>
  <si>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</si>
  <si>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</si>
  <si>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</si>
  <si>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</si>
  <si>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</si>
  <si>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</si>
  <si>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</si>
  <si>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</si>
  <si>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</si>
  <si>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</si>
  <si>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</si>
  <si>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</si>
  <si>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</si>
  <si>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</si>
  <si>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</si>
  <si>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</si>
  <si>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</si>
  <si>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</si>
  <si>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</si>
  <si>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</si>
  <si>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</si>
  <si>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</si>
  <si>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</si>
  <si>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</si>
  <si>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</si>
  <si>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</si>
  <si>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</si>
  <si>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</si>
  <si>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</si>
  <si>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</si>
  <si>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</si>
  <si>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</si>
  <si>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</si>
  <si>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</si>
  <si>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</si>
  <si>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</si>
  <si>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</si>
  <si>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</si>
  <si>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</si>
  <si>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</si>
  <si>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</si>
  <si>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</si>
  <si>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</si>
  <si>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</si>
  <si>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</si>
  <si>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</si>
  <si>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</si>
  <si>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</si>
  <si>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</si>
  <si>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</si>
  <si>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</si>
  <si>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</si>
  <si>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</si>
  <si>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</si>
  <si>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</si>
  <si>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</si>
  <si>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</si>
  <si>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</si>
  <si>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</si>
  <si>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</si>
  <si>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</si>
  <si>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</si>
  <si>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</si>
  <si>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</si>
  <si>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</si>
  <si>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</si>
  <si>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</si>
  <si>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</si>
  <si>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</si>
  <si>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</si>
  <si>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</si>
  <si>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</si>
  <si>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</si>
  <si>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</si>
  <si>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</si>
  <si>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</si>
  <si>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</si>
  <si>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</si>
  <si>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</si>
  <si>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</si>
  <si>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</si>
  <si>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</si>
  <si>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</si>
  <si>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</si>
  <si>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</si>
  <si>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</si>
  <si>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</si>
  <si>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</si>
  <si>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</si>
  <si>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</si>
  <si>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</si>
  <si>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</si>
  <si>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</si>
  <si>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</si>
  <si>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</si>
  <si>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</si>
  <si>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</si>
  <si>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</si>
  <si>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</si>
  <si>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</si>
  <si>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</si>
  <si>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</si>
  <si>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</si>
  <si>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</si>
  <si>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</si>
  <si>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</si>
  <si>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</si>
  <si>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</si>
  <si>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</si>
  <si>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</si>
  <si>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</si>
  <si>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</si>
  <si>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</si>
  <si>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</si>
  <si>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</si>
  <si>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</si>
  <si>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</si>
  <si>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</si>
  <si>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</si>
  <si>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</si>
  <si>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</si>
  <si>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</si>
  <si>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</si>
  <si>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</si>
  <si>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</si>
  <si>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</si>
  <si>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</si>
  <si>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</si>
  <si>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</si>
  <si>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</si>
  <si>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</si>
  <si>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</si>
  <si>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</si>
  <si>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</si>
  <si>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</si>
  <si>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</si>
  <si>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</si>
  <si>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</si>
  <si>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</si>
  <si>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</si>
  <si>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</si>
  <si>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</si>
  <si>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</si>
  <si>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</si>
  <si>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</si>
  <si>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</si>
  <si>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</si>
  <si>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</si>
  <si>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</si>
  <si>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</si>
  <si>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</si>
  <si>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</si>
  <si>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</si>
  <si>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</si>
  <si>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</si>
  <si>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</si>
  <si>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</si>
  <si>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</si>
  <si>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</si>
  <si>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</si>
  <si>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</si>
  <si>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</si>
  <si>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</si>
  <si>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</si>
  <si>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</si>
  <si>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</si>
  <si>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</si>
  <si>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</si>
  <si>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</si>
  <si>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</si>
  <si>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</si>
  <si>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</si>
  <si>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</si>
  <si>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</si>
  <si>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</si>
  <si>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</si>
  <si>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</si>
  <si>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</si>
  <si>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</si>
  <si>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</si>
  <si>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</si>
  <si>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</si>
  <si>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</si>
  <si>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</si>
  <si>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</si>
  <si>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</si>
  <si>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</si>
  <si>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</si>
  <si>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</si>
  <si>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</si>
  <si>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</si>
  <si>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</si>
  <si>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</si>
  <si>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</si>
  <si>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</si>
  <si>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</si>
  <si>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</si>
  <si>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</si>
  <si>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</si>
  <si>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</si>
  <si>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</si>
  <si>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</si>
  <si>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</si>
  <si>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</si>
  <si>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</si>
  <si>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</si>
  <si>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</si>
  <si>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</si>
  <si>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</si>
  <si>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</si>
  <si>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</si>
  <si>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</si>
  <si>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</si>
  <si>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</si>
  <si>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</si>
  <si>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</si>
  <si>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</si>
  <si>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</si>
  <si>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</si>
  <si>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</si>
  <si>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</si>
  <si>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</si>
  <si>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</si>
  <si>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</si>
  <si>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</si>
  <si>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</si>
  <si>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</si>
  <si>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</si>
  <si>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</si>
  <si>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</si>
  <si>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</si>
  <si>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</si>
  <si>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</si>
  <si>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</si>
  <si>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</si>
  <si>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</si>
  <si>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</si>
  <si>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</si>
  <si>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</si>
  <si>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</si>
  <si>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</si>
  <si>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</si>
  <si>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</si>
  <si>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</si>
  <si>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</si>
  <si>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</si>
  <si>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</si>
  <si>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</si>
  <si>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</si>
  <si>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</si>
  <si>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</si>
  <si>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</si>
  <si>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</si>
  <si>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</si>
  <si>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</si>
  <si>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</si>
  <si>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</si>
  <si>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</si>
  <si>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</si>
  <si>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</si>
  <si>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</si>
  <si>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</si>
  <si>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</si>
  <si>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</si>
  <si>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</si>
  <si>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</si>
  <si>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</si>
  <si>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</si>
  <si>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</si>
  <si>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</si>
  <si>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</si>
  <si>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</si>
  <si>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</si>
  <si>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</si>
  <si>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</si>
  <si>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</si>
  <si>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</si>
  <si>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</si>
  <si>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</si>
  <si>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</si>
  <si>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</si>
  <si>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</si>
  <si>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</si>
  <si>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</si>
  <si>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</si>
  <si>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</si>
  <si>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</si>
  <si>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</si>
  <si>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</si>
  <si>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</si>
  <si>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</si>
  <si>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</si>
  <si>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</si>
  <si>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</si>
  <si>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</si>
  <si>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</si>
  <si>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</si>
  <si>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</si>
  <si>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</si>
  <si>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</si>
  <si>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</si>
  <si>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</si>
  <si>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</si>
  <si>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</si>
  <si>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</si>
  <si>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</si>
  <si>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</si>
  <si>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</si>
  <si>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</si>
  <si>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</si>
  <si>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</si>
  <si>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</si>
  <si>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</si>
  <si>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</si>
  <si>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</si>
  <si>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</si>
  <si>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</si>
  <si>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</si>
  <si>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</si>
  <si>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</si>
  <si>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</si>
  <si>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</si>
  <si>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</si>
  <si>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</si>
  <si>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</si>
  <si>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</si>
  <si>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</si>
  <si>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</si>
  <si>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</si>
  <si>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</si>
  <si>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</si>
  <si>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</si>
  <si>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</si>
  <si>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</si>
  <si>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</si>
  <si>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</si>
  <si>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</si>
  <si>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</si>
  <si>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</si>
  <si>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</si>
  <si>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</si>
  <si>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</si>
  <si>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</si>
  <si>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</si>
  <si>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</si>
  <si>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</si>
  <si>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</si>
  <si>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</si>
  <si>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</si>
  <si>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</si>
  <si>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</si>
  <si>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</si>
  <si>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</si>
  <si>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</si>
  <si>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</si>
  <si>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</si>
  <si>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</si>
  <si>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</si>
  <si>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</si>
  <si>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</si>
  <si>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</si>
  <si>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</si>
  <si>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</si>
  <si>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</si>
  <si>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</si>
  <si>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</si>
  <si>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</si>
  <si>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</si>
  <si>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</si>
  <si>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</si>
  <si>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</si>
  <si>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</si>
  <si>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</si>
  <si>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</si>
  <si>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</si>
  <si>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</si>
  <si>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</si>
  <si>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</si>
  <si>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</si>
  <si>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</si>
  <si>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</si>
  <si>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</si>
  <si>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</si>
  <si>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</si>
  <si>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</si>
  <si>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</si>
  <si>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</si>
  <si>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</si>
  <si>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</si>
  <si>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</si>
  <si>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</si>
  <si>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</si>
  <si>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</si>
  <si>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</si>
  <si>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</si>
  <si>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</si>
  <si>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</si>
  <si>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</si>
  <si>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</si>
  <si>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</si>
  <si>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</si>
  <si>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</si>
  <si>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</si>
  <si>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</si>
  <si>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</si>
  <si>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</si>
  <si>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</si>
  <si>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</si>
  <si>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</si>
  <si>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</si>
  <si>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</si>
  <si>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</si>
  <si>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</si>
  <si>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</si>
  <si>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</si>
  <si>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</si>
  <si>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</si>
  <si>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</si>
  <si>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</si>
  <si>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</si>
  <si>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</si>
  <si>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</si>
  <si>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</si>
  <si>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</si>
  <si>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</si>
  <si>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</si>
  <si>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</si>
  <si>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</si>
  <si>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</si>
  <si>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</si>
  <si>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</si>
  <si>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</si>
  <si>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</si>
  <si>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</si>
  <si>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</si>
  <si>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</si>
  <si>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</si>
  <si>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</si>
  <si>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</si>
  <si>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</si>
  <si>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</si>
  <si>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</si>
  <si>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</si>
  <si>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</si>
  <si>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</si>
  <si>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</si>
  <si>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</si>
  <si>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</si>
  <si>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</si>
  <si>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</si>
  <si>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</si>
  <si>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</si>
  <si>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</si>
  <si>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</si>
  <si>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</si>
  <si>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</si>
  <si>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</si>
  <si>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</si>
  <si>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</si>
  <si>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</si>
  <si>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</si>
  <si>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</si>
  <si>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</si>
  <si>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</si>
  <si>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</si>
  <si>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</si>
  <si>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</si>
  <si>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</si>
  <si>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</si>
  <si>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</si>
  <si>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</si>
  <si>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</si>
  <si>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</si>
  <si>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</si>
  <si>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</si>
  <si>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</si>
  <si>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</si>
  <si>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</si>
  <si>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</si>
  <si>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</si>
  <si>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</si>
  <si>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</si>
  <si>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</si>
  <si>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</si>
  <si>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</si>
  <si>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</si>
  <si>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</si>
  <si>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</si>
  <si>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</si>
  <si>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</si>
  <si>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</si>
  <si>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</si>
  <si>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</si>
  <si>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</si>
  <si>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</si>
  <si>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</si>
  <si>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</si>
  <si>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</si>
  <si>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</si>
  <si>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</si>
  <si>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</si>
  <si>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</si>
  <si>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</si>
  <si>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</si>
  <si>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</si>
  <si>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</si>
  <si>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</si>
  <si>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</si>
  <si>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</si>
  <si>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</si>
  <si>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</si>
  <si>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</si>
  <si>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</si>
  <si>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</si>
  <si>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</si>
  <si>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</si>
  <si>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</si>
  <si>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</si>
  <si>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</si>
  <si>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</si>
  <si>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</si>
  <si>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</si>
  <si>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</si>
  <si>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</si>
  <si>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</si>
  <si>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</si>
  <si>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</si>
  <si>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</si>
  <si>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</si>
  <si>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</si>
  <si>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</si>
  <si>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</si>
  <si>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</si>
  <si>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</si>
  <si>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</si>
  <si>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</si>
  <si>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</si>
  <si>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</si>
  <si>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</si>
  <si>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</si>
  <si>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</si>
  <si>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</si>
  <si>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</si>
  <si>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</si>
  <si>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</si>
  <si>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</si>
  <si>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</si>
  <si>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</si>
  <si>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</si>
  <si>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</si>
  <si>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</si>
  <si>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</si>
  <si>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</si>
  <si>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</si>
  <si>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</si>
  <si>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</si>
  <si>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</si>
  <si>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</si>
  <si>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</si>
  <si>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</si>
  <si>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</si>
  <si>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</si>
  <si>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</si>
  <si>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</si>
  <si>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</si>
  <si>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</si>
  <si>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</si>
  <si>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</si>
  <si>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</si>
  <si>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</si>
  <si>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</si>
  <si>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</si>
  <si>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</si>
  <si>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</si>
  <si>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</si>
  <si>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</si>
  <si>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</si>
  <si>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</si>
  <si>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</si>
  <si>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</si>
  <si>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</si>
  <si>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</si>
  <si>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</si>
  <si>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</si>
  <si>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</si>
  <si>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</si>
  <si>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</si>
  <si>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</si>
  <si>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</si>
  <si>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</si>
  <si>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</si>
  <si>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</si>
  <si>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</si>
  <si>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</si>
  <si>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</si>
  <si>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</si>
  <si>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</si>
  <si>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</si>
  <si>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</si>
  <si>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</si>
  <si>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</si>
  <si>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</si>
  <si>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</si>
  <si>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</si>
  <si>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</si>
  <si>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</si>
  <si>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</si>
  <si>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</si>
  <si>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</si>
  <si>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</si>
  <si>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</si>
  <si>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</si>
  <si>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</si>
  <si>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</si>
  <si>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</si>
  <si>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</si>
  <si>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</si>
  <si>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</si>
  <si>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</si>
  <si>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</si>
  <si>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</si>
  <si>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</si>
  <si>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</si>
  <si>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</si>
  <si>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</si>
  <si>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</si>
  <si>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</si>
  <si>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</si>
  <si>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</si>
  <si>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</si>
  <si>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</si>
  <si>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</si>
  <si>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</si>
  <si>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</si>
  <si>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</si>
  <si>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</si>
  <si>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</si>
  <si>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</si>
  <si>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</si>
  <si>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</si>
  <si>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</si>
  <si>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</si>
  <si>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</si>
  <si>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</si>
  <si>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</si>
  <si>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</si>
  <si>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</si>
  <si>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</si>
  <si>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</si>
  <si>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</si>
  <si>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</si>
  <si>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</si>
  <si>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</si>
  <si>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</si>
  <si>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</si>
  <si>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</si>
  <si>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</si>
  <si>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</si>
  <si>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</si>
  <si>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</si>
  <si>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</si>
  <si>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</si>
  <si>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</si>
  <si>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</si>
  <si>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</si>
  <si>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</si>
  <si>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</si>
  <si>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</si>
  <si>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</si>
  <si>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</si>
  <si>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</si>
  <si>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</si>
  <si>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</si>
  <si>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</si>
  <si>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</si>
  <si>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</si>
  <si>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</si>
  <si>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</si>
  <si>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</si>
  <si>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</si>
  <si>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</si>
  <si>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</si>
  <si>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</si>
  <si>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</si>
  <si>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</si>
  <si>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</si>
  <si>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</si>
  <si>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</si>
  <si>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</si>
  <si>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</si>
  <si>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</si>
  <si>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</si>
  <si>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</si>
  <si>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</si>
  <si>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</si>
  <si>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</si>
  <si>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</si>
  <si>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</si>
  <si>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</si>
  <si>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</si>
  <si>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</si>
  <si>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</si>
  <si>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</si>
  <si>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</si>
  <si>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</si>
  <si>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</si>
  <si>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</si>
  <si>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</si>
  <si>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</si>
  <si>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</si>
  <si>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</si>
  <si>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</si>
  <si>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</si>
  <si>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</si>
  <si>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LMHN, Ltd.</t>
  </si>
  <si>
    <t>M. Adam Mathias</t>
  </si>
  <si>
    <t>900 N Webster St - PO Box 87</t>
  </si>
  <si>
    <t>Taylorville</t>
  </si>
  <si>
    <t>IL</t>
  </si>
  <si>
    <t>217-824-9661</t>
  </si>
  <si>
    <t>217-824-2415</t>
  </si>
  <si>
    <t>066-003847</t>
  </si>
  <si>
    <t>11/30/2021</t>
  </si>
  <si>
    <t>lmhncpas@outlook.com</t>
  </si>
  <si>
    <t>x</t>
  </si>
  <si>
    <t xml:space="preserve">   at the top left or top right hand corner of each AFR page.</t>
  </si>
  <si>
    <t>Note - the page numbers referred to above correlate to the page numbering system that ISBE utilizes on their AFR, located</t>
  </si>
  <si>
    <t>Sangamon</t>
  </si>
  <si>
    <t>PO Box 290</t>
  </si>
  <si>
    <t>Buffalo</t>
  </si>
  <si>
    <t>ccolmone@tricityschools.org</t>
  </si>
  <si>
    <t>Chad Colmone</t>
  </si>
  <si>
    <t>217-364-4811</t>
  </si>
  <si>
    <t>217-364-4896</t>
  </si>
  <si>
    <t>Limited School Bonds</t>
  </si>
  <si>
    <t>General Obligation Limited School Bonds</t>
  </si>
  <si>
    <t>4,1</t>
  </si>
  <si>
    <t>TOTAL LIABILITIES</t>
  </si>
  <si>
    <t xml:space="preserve">   TCPVG</t>
  </si>
  <si>
    <t xml:space="preserve">   Student Donations</t>
  </si>
  <si>
    <t xml:space="preserve">   Spanish</t>
  </si>
  <si>
    <t xml:space="preserve">   Sophomores</t>
  </si>
  <si>
    <t xml:space="preserve">   Siders Scholarship</t>
  </si>
  <si>
    <t xml:space="preserve">   Seniors 2020</t>
  </si>
  <si>
    <t xml:space="preserve">   SEMA</t>
  </si>
  <si>
    <t xml:space="preserve">   Pepsi</t>
  </si>
  <si>
    <t xml:space="preserve">   PE</t>
  </si>
  <si>
    <t xml:space="preserve">   National Honors Society</t>
  </si>
  <si>
    <t xml:space="preserve">   Musical</t>
  </si>
  <si>
    <t xml:space="preserve">   Madrigals</t>
  </si>
  <si>
    <t xml:space="preserve">   Literary</t>
  </si>
  <si>
    <t xml:space="preserve">   Library</t>
  </si>
  <si>
    <t xml:space="preserve">   Juniors</t>
  </si>
  <si>
    <t xml:space="preserve">   JH Scholastic Bowl</t>
  </si>
  <si>
    <t xml:space="preserve">   Junior High/High School Pepsi</t>
  </si>
  <si>
    <t xml:space="preserve">   JH Volleyball</t>
  </si>
  <si>
    <t xml:space="preserve">   Junior High Track</t>
  </si>
  <si>
    <t xml:space="preserve">   Junior High Student Council</t>
  </si>
  <si>
    <t xml:space="preserve">   JH Softball</t>
  </si>
  <si>
    <t xml:space="preserve">   Junior High Girls Basketball</t>
  </si>
  <si>
    <t xml:space="preserve">   Junior High Cheer</t>
  </si>
  <si>
    <t xml:space="preserve">   JB Boys Basketball</t>
  </si>
  <si>
    <t xml:space="preserve">   JH Baseball</t>
  </si>
  <si>
    <t xml:space="preserve">   Interest</t>
  </si>
  <si>
    <t xml:space="preserve">   High School Yearbook</t>
  </si>
  <si>
    <t xml:space="preserve">   HS Volleyball</t>
  </si>
  <si>
    <t xml:space="preserve">   HS Student Council</t>
  </si>
  <si>
    <t xml:space="preserve">   HS Softball</t>
  </si>
  <si>
    <t xml:space="preserve">   HS Scholastic Bowl</t>
  </si>
  <si>
    <t xml:space="preserve">   High School Girls Basketball</t>
  </si>
  <si>
    <t xml:space="preserve">   High School Cheer</t>
  </si>
  <si>
    <t xml:space="preserve">   HS Boys Basketball</t>
  </si>
  <si>
    <t xml:space="preserve">   HS Baseball </t>
  </si>
  <si>
    <t xml:space="preserve">   General Junior High / High School</t>
  </si>
  <si>
    <t xml:space="preserve">   General Elementary</t>
  </si>
  <si>
    <t xml:space="preserve">   Freshman</t>
  </si>
  <si>
    <t xml:space="preserve">   Field Trip</t>
  </si>
  <si>
    <t xml:space="preserve">   FFA</t>
  </si>
  <si>
    <t xml:space="preserve">   Elementary Yearbook</t>
  </si>
  <si>
    <t xml:space="preserve">   Elementary Supply</t>
  </si>
  <si>
    <t xml:space="preserve">   Elementary Student Council</t>
  </si>
  <si>
    <t xml:space="preserve">   Elementary Pepsi</t>
  </si>
  <si>
    <t xml:space="preserve">   Elementary Fund</t>
  </si>
  <si>
    <t xml:space="preserve">   Elementary Bookfair</t>
  </si>
  <si>
    <t xml:space="preserve">   Drama</t>
  </si>
  <si>
    <t xml:space="preserve">   Credit Recovery</t>
  </si>
  <si>
    <t xml:space="preserve">   Bookfair Snacks</t>
  </si>
  <si>
    <t xml:space="preserve">   Bass Fishing</t>
  </si>
  <si>
    <t xml:space="preserve">   Band/Choir</t>
  </si>
  <si>
    <t xml:space="preserve">   Art</t>
  </si>
  <si>
    <t xml:space="preserve">   AD Fund</t>
  </si>
  <si>
    <t>Amounts Due to Organizations:</t>
  </si>
  <si>
    <t>LIABILITIES</t>
  </si>
  <si>
    <t>TOTAL ASSETS</t>
  </si>
  <si>
    <t>Cash</t>
  </si>
  <si>
    <t>ASSETS</t>
  </si>
  <si>
    <t>June 30, 2020</t>
  </si>
  <si>
    <t>Disbursements</t>
  </si>
  <si>
    <t>Receipts</t>
  </si>
  <si>
    <t>July 1, 2019</t>
  </si>
  <si>
    <t>Balance</t>
  </si>
  <si>
    <t>FOR THE FISCAL YEAR ENDED JUNE 30, 2020</t>
  </si>
  <si>
    <t>ACTIVITY FUNDS</t>
  </si>
  <si>
    <t>SCHEDULE OF CASH RECEIPTS AND DISBURSEMENTS</t>
  </si>
  <si>
    <t>TRI-CITY COMMUNITY UNIT SCHOOL DISTRICT NO. 1</t>
  </si>
  <si>
    <t>Prairie State Insurance Cooperative</t>
  </si>
  <si>
    <t>Sangamon Area Special Education District</t>
  </si>
  <si>
    <t>Capital Area Career Center</t>
  </si>
  <si>
    <t>Sports with Sangamon Valley</t>
  </si>
  <si>
    <t>Page 11, Account 1999, Educational Fund - $4,800 represents miscellaneous revenues.</t>
  </si>
  <si>
    <t>Page 12, Account 3999, Educational Fund - $16,590 represents a state e-rate grant for $15,840 and a state library grant for $750.</t>
  </si>
  <si>
    <t>Page 13, Account 4399, Educational Fund - $141,152 represents federal Title I school improvement grant revenues (code 4331).</t>
  </si>
  <si>
    <t>none</t>
  </si>
  <si>
    <t>Pages</t>
  </si>
  <si>
    <t>Independent Auditor's Report</t>
  </si>
  <si>
    <t>1-3</t>
  </si>
  <si>
    <t>Independent Auditor's Report on Internal Control Over Financial Reporting and on</t>
  </si>
  <si>
    <t xml:space="preserve">   Compliance and Other Matters Based on an Audit of Financial Statements</t>
  </si>
  <si>
    <r>
      <t xml:space="preserve">   Performed in Accordance with </t>
    </r>
    <r>
      <rPr>
        <u/>
        <sz val="13"/>
        <rFont val="Times New Roman"/>
        <family val="1"/>
      </rPr>
      <t>Government Auditing Standards</t>
    </r>
  </si>
  <si>
    <t>Basic Financial Statements:</t>
  </si>
  <si>
    <t>Statement of Assets and Liabilities Arising from Cash Transactions / Statement</t>
  </si>
  <si>
    <t xml:space="preserve">   of Position (All Funds)</t>
  </si>
  <si>
    <t>Statement of Revenues Received / Revenues, Expenditures Disbursed / Expenditures,</t>
  </si>
  <si>
    <t xml:space="preserve">  Other Sources (Uses) and Changes in Fund Balance (All Funds)</t>
  </si>
  <si>
    <t>Statement of Revenues Received / Revenues (All Funds)</t>
  </si>
  <si>
    <t>Statement of Expenditures Disbursed / Expenditures, Budget to Actual (All Funds)</t>
  </si>
  <si>
    <t>Notes to Financial Statements</t>
  </si>
  <si>
    <t>Supplementary Schedules:</t>
  </si>
  <si>
    <t>Schedule of Ad Valorem Tax Receipts</t>
  </si>
  <si>
    <t>43</t>
  </si>
  <si>
    <t>Schedule of Short Term Debt and Long Term Debt</t>
  </si>
  <si>
    <t>44</t>
  </si>
  <si>
    <t>Schedule of Restricted Local Tax Levies and Tort Immunity Expenditures</t>
  </si>
  <si>
    <t>45</t>
  </si>
  <si>
    <t>Estimated Indirect Cost Data</t>
  </si>
  <si>
    <t>46</t>
  </si>
  <si>
    <t>Statistical Section:</t>
  </si>
  <si>
    <t>Schedule of Capital Outlay and Depreciation</t>
  </si>
  <si>
    <t>Estimated Operating Expenditures Per Pupil and Per Capita Tuition Charge</t>
  </si>
  <si>
    <t>TABLE OF CONTENTS (CONTINUED)</t>
  </si>
  <si>
    <t>Other Schedules and Itemizations:</t>
  </si>
  <si>
    <t>Itemization Schedule</t>
  </si>
  <si>
    <t>50</t>
  </si>
  <si>
    <t>Reference Page</t>
  </si>
  <si>
    <t>Auditor's Questionnaire</t>
  </si>
  <si>
    <t>Financial Profile Information</t>
  </si>
  <si>
    <t>Schedule of Cash Receipts and Disbursements - Activity Funds</t>
  </si>
  <si>
    <t>Limitation of Administrative Costs Worksheet</t>
  </si>
  <si>
    <t>Current Year Payment on Contracts for Indirect Cost Rate Computation</t>
  </si>
  <si>
    <t>58</t>
  </si>
  <si>
    <t>Report on Shared Services or Outsourcing</t>
  </si>
  <si>
    <t>59</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</si>
  <si>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</si>
  <si>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</si>
  <si>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</si>
  <si>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</si>
  <si>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</si>
  <si>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2020</t>
  </si>
  <si>
    <t xml:space="preserve">   Computation 2019-2020</t>
  </si>
  <si>
    <t>4-5</t>
  </si>
  <si>
    <t>6-7</t>
  </si>
  <si>
    <t>8-9</t>
  </si>
  <si>
    <t>10-15</t>
  </si>
  <si>
    <t>16-23</t>
  </si>
  <si>
    <t>24-41</t>
  </si>
  <si>
    <t>42</t>
  </si>
  <si>
    <t>47-48</t>
  </si>
  <si>
    <t>49</t>
  </si>
  <si>
    <t>51-52</t>
  </si>
  <si>
    <t>53-54</t>
  </si>
  <si>
    <t>55</t>
  </si>
  <si>
    <t>56-57</t>
  </si>
  <si>
    <t>Page 15, Account 2190, Salaries - $247,174 represents special needs teacher aide salaries.</t>
  </si>
  <si>
    <t>Page 18, Account 5400, Other Objects - $803 represents bond agent fees.</t>
  </si>
  <si>
    <t>Page 20, Account 2190, Employee Benefits - $47,979 represents special needs teacher aide employee benefits.</t>
  </si>
  <si>
    <t>Page 11, Account 3299, Educational Fund - $892 represents miscellaneous state ag grant revenues.</t>
  </si>
  <si>
    <t>Page 15, Account 2190, Employee Benefits - $36,103 represents special needs teacher aid employee benefits.</t>
  </si>
  <si>
    <t xml:space="preserve">  Tri City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</si>
</sst>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3">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44" fontId="144" fillId="0" borderId="0" applyFont="0" applyFill="0" applyBorder="0" applyAlignment="0" applyProtection="0"/>
    <xf numFmtId="44" fontId="11" fillId="0" borderId="0" applyFont="0" applyFill="0" applyBorder="0" applyAlignment="0" applyProtection="0"/>
  </cellStyleXfs>
  <cellXfs count="265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46" fillId="0" borderId="0" xfId="0" applyFont="1"/>
    <xf numFmtId="185" fontId="46" fillId="0" borderId="196" xfId="22" applyNumberFormat="1" applyFont="1" applyBorder="1" applyAlignment="1">
      <alignment horizontal="right"/>
    </xf>
    <xf numFmtId="185" fontId="46" fillId="0" borderId="0" xfId="22" applyNumberFormat="1" applyFont="1" applyAlignment="1">
      <alignment horizontal="right"/>
    </xf>
    <xf numFmtId="0" fontId="46" fillId="0" borderId="0" xfId="0" applyFont="1" applyAlignment="1">
      <alignment horizontal="right"/>
    </xf>
    <xf numFmtId="186" fontId="46" fillId="0" borderId="78" xfId="1" applyNumberFormat="1" applyFont="1" applyBorder="1" applyAlignment="1">
      <alignment horizontal="right"/>
    </xf>
    <xf numFmtId="186" fontId="46" fillId="0" borderId="0" xfId="1" applyNumberFormat="1" applyFont="1" applyAlignment="1">
      <alignment horizontal="right"/>
    </xf>
    <xf numFmtId="186" fontId="46" fillId="0" borderId="0" xfId="1" applyNumberFormat="1" applyFont="1" applyBorder="1" applyAlignment="1">
      <alignment horizontal="right"/>
    </xf>
    <xf numFmtId="185" fontId="46" fillId="0" borderId="0" xfId="22" applyNumberFormat="1" applyFont="1" applyBorder="1" applyAlignment="1">
      <alignment horizontal="right"/>
    </xf>
    <xf numFmtId="185" fontId="46" fillId="0" borderId="196" xfId="21" applyNumberFormat="1" applyFont="1" applyBorder="1" applyAlignment="1">
      <alignment horizontal="right"/>
    </xf>
    <xf numFmtId="185" fontId="46" fillId="0" borderId="0" xfId="21" applyNumberFormat="1" applyFont="1" applyAlignment="1">
      <alignment horizontal="right"/>
    </xf>
    <xf numFmtId="185" fontId="46" fillId="0" borderId="0" xfId="0" applyNumberFormat="1" applyFont="1"/>
    <xf numFmtId="15" fontId="46" fillId="0" borderId="78" xfId="0" quotePrefix="1" applyNumberFormat="1" applyFont="1" applyBorder="1" applyAlignment="1">
      <alignment horizontal="center"/>
    </xf>
    <xf numFmtId="0" fontId="46" fillId="0" borderId="0" xfId="0" applyFont="1" applyAlignment="1">
      <alignment horizontal="center"/>
    </xf>
    <xf numFmtId="0" fontId="46" fillId="0" borderId="78" xfId="0" applyFont="1" applyBorder="1" applyAlignment="1">
      <alignment horizontal="center"/>
    </xf>
    <xf numFmtId="0" fontId="2" fillId="0" borderId="155" xfId="19" applyFont="1" applyBorder="1" applyAlignment="1" applyProtection="1">
      <alignment horizontal="left" vertical="top" wrapText="1"/>
      <protection locked="0"/>
    </xf>
    <xf numFmtId="0" fontId="46" fillId="0" borderId="0" xfId="3" applyFont="1"/>
    <xf numFmtId="0" fontId="146" fillId="0" borderId="0" xfId="3" applyFont="1" applyAlignment="1">
      <alignment horizontal="center"/>
    </xf>
    <xf numFmtId="0" fontId="145" fillId="0" borderId="0" xfId="3" applyFont="1" applyAlignment="1">
      <alignment horizontal="center"/>
    </xf>
    <xf numFmtId="0" fontId="147" fillId="0" borderId="0" xfId="3" applyFont="1" applyAlignment="1">
      <alignment horizontal="center"/>
    </xf>
    <xf numFmtId="16" fontId="148" fillId="0" borderId="0" xfId="3" applyNumberFormat="1" applyFont="1" applyAlignment="1">
      <alignment horizontal="center"/>
    </xf>
    <xf numFmtId="0" fontId="149" fillId="0" borderId="0" xfId="3" applyFont="1" applyAlignment="1">
      <alignment horizontal="left"/>
    </xf>
    <xf numFmtId="16" fontId="149" fillId="0" borderId="0" xfId="3" quotePrefix="1" applyNumberFormat="1" applyFont="1" applyAlignment="1">
      <alignment horizontal="center"/>
    </xf>
    <xf numFmtId="0" fontId="149" fillId="0" borderId="0" xfId="3" applyFont="1"/>
    <xf numFmtId="0" fontId="148" fillId="0" borderId="0" xfId="3" applyFont="1" applyAlignment="1">
      <alignment horizontal="left"/>
    </xf>
    <xf numFmtId="0" fontId="149" fillId="0" borderId="0" xfId="3" quotePrefix="1" applyFont="1"/>
    <xf numFmtId="0" fontId="149" fillId="0" borderId="0" xfId="3" applyFont="1" applyAlignment="1">
      <alignment horizontal="center"/>
    </xf>
    <xf numFmtId="0" fontId="149" fillId="0" borderId="0" xfId="3" quotePrefix="1" applyFont="1" applyAlignment="1">
      <alignment horizontal="center"/>
    </xf>
    <xf numFmtId="0" fontId="150" fillId="0" borderId="0" xfId="3" applyFont="1"/>
    <xf numFmtId="0" fontId="150" fillId="0" borderId="0" xfId="3" applyFont="1" applyAlignment="1">
      <alignment horizontal="center"/>
    </xf>
    <xf numFmtId="0" fontId="151" fillId="0" borderId="0" xfId="3" applyFont="1"/>
    <xf numFmtId="0" fontId="151" fillId="0" borderId="0" xfId="3" applyFont="1" applyAlignment="1">
      <alignment horizontal="center"/>
    </xf>
    <xf numFmtId="0" fontId="152" fillId="0" borderId="0" xfId="3" applyFont="1"/>
    <xf numFmtId="0" fontId="46" fillId="0" borderId="0" xfId="3" applyFont="1" applyAlignment="1">
      <alignment horizont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quotePrefix="1"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146" fillId="0" borderId="0" xfId="3" applyFont="1" applyAlignment="1">
      <alignment horizontal="center"/>
    </xf>
    <xf numFmtId="0" fontId="145" fillId="0" borderId="0" xfId="3" applyFont="1" applyAlignment="1">
      <alignment horizontal="center"/>
    </xf>
    <xf numFmtId="0" fontId="84" fillId="0" borderId="0" xfId="0" applyFont="1" applyAlignment="1">
      <alignment vertical="top" wrapText="1"/>
    </xf>
    <xf numFmtId="0" fontId="46" fillId="0" borderId="0" xfId="0" applyFont="1" applyAlignment="1">
      <alignment horizontal="center"/>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3">
    <cellStyle name="Comma" xfId="1" builtinId="3"/>
    <cellStyle name="Currency" xfId="21" builtinId="4"/>
    <cellStyle name="Currency 2" xfId="22" xr:uid="{4C7BCD31-AA60-4572-9EEA-17914F82CBAE}"/>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914400</xdr:colOff>
          <xdr:row>17</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8.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115" zoomScaleNormal="115"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1">
        <f>+'AFR20'!E4</f>
        <v>44119</v>
      </c>
      <c r="C1" s="2151"/>
      <c r="D1" s="2152"/>
      <c r="I1" s="2110" t="s">
        <v>402</v>
      </c>
      <c r="J1" s="2111"/>
      <c r="K1" s="2111"/>
      <c r="L1" s="2111"/>
      <c r="M1" s="2111"/>
      <c r="N1" s="2111"/>
      <c r="O1" s="2111"/>
      <c r="P1" s="2111"/>
      <c r="Q1" s="2111"/>
      <c r="R1" s="2111"/>
      <c r="S1" s="2111"/>
    </row>
    <row r="2" spans="1:32" ht="12" customHeight="1" x14ac:dyDescent="0.2">
      <c r="A2" s="1831" t="str">
        <f>"Due to ISBE on "</f>
        <v xml:space="preserve">Due to ISBE on </v>
      </c>
      <c r="B2" s="2153">
        <f>+'AFR20'!F4</f>
        <v>44151</v>
      </c>
      <c r="C2" s="2153"/>
      <c r="D2" s="2154"/>
      <c r="I2" s="2112" t="s">
        <v>2003</v>
      </c>
      <c r="J2" s="2111"/>
      <c r="K2" s="2111"/>
      <c r="L2" s="2111"/>
      <c r="M2" s="2111"/>
      <c r="N2" s="2111"/>
      <c r="O2" s="2111"/>
      <c r="P2" s="2111"/>
      <c r="Q2" s="2111"/>
      <c r="R2" s="2111"/>
      <c r="S2" s="2111"/>
    </row>
    <row r="3" spans="1:32" ht="12" customHeight="1" x14ac:dyDescent="0.2">
      <c r="A3" s="1834" t="str">
        <f>"SD/JA"&amp;MID('AFR20'!E2,3,2)</f>
        <v>SD/JA20</v>
      </c>
      <c r="B3" s="151"/>
      <c r="C3" s="151"/>
      <c r="D3" s="152"/>
      <c r="I3" s="2112" t="s">
        <v>52</v>
      </c>
      <c r="J3" s="2111"/>
      <c r="K3" s="2111"/>
      <c r="L3" s="2111"/>
      <c r="M3" s="2111"/>
      <c r="N3" s="2111"/>
      <c r="O3" s="2111"/>
      <c r="P3" s="2111"/>
      <c r="Q3" s="2111"/>
      <c r="R3" s="2111"/>
      <c r="S3" s="2111"/>
    </row>
    <row r="4" spans="1:32" ht="12" customHeight="1" x14ac:dyDescent="0.2">
      <c r="A4" s="37"/>
      <c r="I4" s="2112" t="s">
        <v>521</v>
      </c>
      <c r="J4" s="2111"/>
      <c r="K4" s="2111"/>
      <c r="L4" s="2111"/>
      <c r="M4" s="2111"/>
      <c r="N4" s="2111"/>
      <c r="O4" s="2111"/>
      <c r="P4" s="2111"/>
      <c r="Q4" s="2111"/>
      <c r="R4" s="2111"/>
      <c r="S4" s="2111"/>
    </row>
    <row r="5" spans="1:32" ht="14.1" customHeight="1" x14ac:dyDescent="0.2">
      <c r="B5" s="101" t="s">
        <v>2061</v>
      </c>
      <c r="C5" s="26" t="s">
        <v>904</v>
      </c>
      <c r="D5" s="81"/>
      <c r="E5" s="81"/>
      <c r="H5" s="38"/>
      <c r="I5" s="2120" t="s">
        <v>675</v>
      </c>
      <c r="J5" s="2119"/>
      <c r="K5" s="2119"/>
      <c r="L5" s="2119"/>
      <c r="M5" s="2119"/>
      <c r="N5" s="2119"/>
      <c r="O5" s="2119"/>
      <c r="P5" s="2119"/>
      <c r="Q5" s="2119"/>
      <c r="R5" s="2119"/>
      <c r="S5" s="2119"/>
      <c r="AF5" s="1827"/>
    </row>
    <row r="6" spans="1:32" ht="14.1" customHeight="1" x14ac:dyDescent="0.2">
      <c r="B6" s="101"/>
      <c r="C6" s="26" t="s">
        <v>905</v>
      </c>
      <c r="D6" s="81"/>
      <c r="E6" s="81"/>
      <c r="I6" s="2118" t="s">
        <v>877</v>
      </c>
      <c r="J6" s="2119"/>
      <c r="K6" s="2119"/>
      <c r="L6" s="2119"/>
      <c r="M6" s="2119"/>
      <c r="N6" s="2119"/>
      <c r="O6" s="2119"/>
      <c r="P6" s="2119"/>
      <c r="Q6" s="2119"/>
      <c r="R6" s="2119"/>
      <c r="S6" s="2119"/>
    </row>
    <row r="7" spans="1:32" ht="12.2" customHeight="1" x14ac:dyDescent="0.2">
      <c r="I7" s="2113" t="str">
        <f>"June 30, "&amp;'AFR20'!E2</f>
        <v>June 30, 2020</v>
      </c>
      <c r="J7" s="2114"/>
      <c r="K7" s="2114"/>
      <c r="L7" s="2114"/>
      <c r="M7" s="2114"/>
      <c r="N7" s="2114"/>
      <c r="O7" s="2114"/>
      <c r="P7" s="2114"/>
      <c r="Q7" s="2114"/>
      <c r="R7" s="2114"/>
      <c r="S7" s="211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5" t="s">
        <v>669</v>
      </c>
      <c r="J9" s="2116"/>
      <c r="K9" s="2116"/>
      <c r="L9" s="2116"/>
      <c r="M9" s="2116"/>
      <c r="N9" s="2116"/>
      <c r="O9" s="2116"/>
      <c r="P9" s="2116"/>
      <c r="Q9" s="2116"/>
      <c r="R9" s="2116"/>
      <c r="S9" s="2117"/>
      <c r="T9" s="2168" t="s">
        <v>530</v>
      </c>
      <c r="U9" s="2169"/>
      <c r="V9" s="2169"/>
      <c r="W9" s="2169"/>
      <c r="X9" s="2169"/>
      <c r="Y9" s="2169"/>
      <c r="Z9" s="2169"/>
      <c r="AA9" s="2170"/>
    </row>
    <row r="10" spans="1:32" ht="13.5" customHeight="1" x14ac:dyDescent="0.2">
      <c r="A10" s="2175" t="s">
        <v>670</v>
      </c>
      <c r="B10" s="2176"/>
      <c r="C10" s="2176"/>
      <c r="D10" s="2176"/>
      <c r="E10" s="2176"/>
      <c r="F10" s="2176"/>
      <c r="G10" s="2176"/>
      <c r="H10" s="2177"/>
      <c r="I10" s="29"/>
      <c r="J10" s="30"/>
      <c r="K10" s="28"/>
      <c r="R10" s="30"/>
      <c r="S10" s="30"/>
      <c r="T10" s="2171"/>
      <c r="U10" s="2119"/>
      <c r="V10" s="2119"/>
      <c r="W10" s="2119"/>
      <c r="X10" s="2119"/>
      <c r="Y10" s="2119"/>
      <c r="Z10" s="2119"/>
      <c r="AA10" s="2125"/>
    </row>
    <row r="11" spans="1:32" ht="14.25" customHeight="1" x14ac:dyDescent="0.2">
      <c r="A11" s="2178" t="s">
        <v>949</v>
      </c>
      <c r="B11" s="2179"/>
      <c r="C11" s="2179"/>
      <c r="D11" s="2179"/>
      <c r="E11" s="2179"/>
      <c r="F11" s="2179"/>
      <c r="G11" s="2179"/>
      <c r="H11" s="2180"/>
      <c r="I11" s="27"/>
      <c r="J11" s="71"/>
      <c r="K11" s="27"/>
      <c r="O11" s="144" t="s">
        <v>2061</v>
      </c>
      <c r="P11" s="97" t="s">
        <v>199</v>
      </c>
      <c r="Q11" s="30"/>
      <c r="R11" s="28"/>
      <c r="S11" s="27"/>
      <c r="T11" s="2172"/>
      <c r="U11" s="2173"/>
      <c r="V11" s="2173"/>
      <c r="W11" s="2173"/>
      <c r="X11" s="2173"/>
      <c r="Y11" s="2173"/>
      <c r="Z11" s="2173"/>
      <c r="AA11" s="21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1">
        <v>51084001026</v>
      </c>
      <c r="B13" s="2132"/>
      <c r="C13" s="2132"/>
      <c r="D13" s="2132"/>
      <c r="E13" s="2132"/>
      <c r="F13" s="2132"/>
      <c r="G13" s="2132"/>
      <c r="H13" s="2133"/>
      <c r="I13" s="31"/>
      <c r="J13" s="30"/>
      <c r="K13" s="28"/>
      <c r="L13" s="30"/>
      <c r="M13" s="30"/>
      <c r="N13" s="30"/>
      <c r="O13" s="30"/>
      <c r="P13" s="30"/>
      <c r="Q13" s="30"/>
      <c r="R13" s="30"/>
      <c r="S13" s="30"/>
      <c r="T13" s="2137" t="s">
        <v>2051</v>
      </c>
      <c r="U13" s="2138"/>
      <c r="V13" s="2138"/>
      <c r="W13" s="2138"/>
      <c r="X13" s="2138"/>
      <c r="Y13" s="2139"/>
      <c r="Z13" s="2139"/>
      <c r="AA13" s="214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4" t="s">
        <v>2064</v>
      </c>
      <c r="B15" s="2135"/>
      <c r="C15" s="2135"/>
      <c r="D15" s="2135"/>
      <c r="E15" s="2135"/>
      <c r="F15" s="2135"/>
      <c r="G15" s="2135"/>
      <c r="H15" s="2136"/>
      <c r="T15" s="2141" t="s">
        <v>2052</v>
      </c>
      <c r="U15" s="2098"/>
      <c r="V15" s="2098"/>
      <c r="W15" s="2098"/>
      <c r="X15" s="2098"/>
      <c r="Y15" s="2142"/>
      <c r="Z15" s="2142"/>
      <c r="AA15" s="214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04" t="s">
        <v>2214</v>
      </c>
      <c r="B17" s="2105"/>
      <c r="C17" s="2105"/>
      <c r="D17" s="2105"/>
      <c r="E17" s="2105"/>
      <c r="F17" s="2105"/>
      <c r="G17" s="2105"/>
      <c r="H17" s="2130"/>
      <c r="T17" s="2148" t="s">
        <v>2053</v>
      </c>
      <c r="U17" s="2149"/>
      <c r="V17" s="2149"/>
      <c r="W17" s="2149"/>
      <c r="X17" s="2149"/>
      <c r="Y17" s="2149"/>
      <c r="Z17" s="2149"/>
      <c r="AA17" s="2150"/>
    </row>
    <row r="18" spans="1:27" ht="13.5" customHeight="1" x14ac:dyDescent="0.2">
      <c r="A18" s="82" t="s">
        <v>527</v>
      </c>
      <c r="B18" s="73"/>
      <c r="C18" s="69"/>
      <c r="D18" s="73"/>
      <c r="E18" s="73"/>
      <c r="F18" s="73"/>
      <c r="G18" s="73"/>
      <c r="H18" s="53"/>
      <c r="I18" s="2129" t="s">
        <v>671</v>
      </c>
      <c r="J18" s="2080"/>
      <c r="K18" s="2080"/>
      <c r="L18" s="2080"/>
      <c r="M18" s="2080"/>
      <c r="N18" s="2080"/>
      <c r="O18" s="2080"/>
      <c r="P18" s="2080"/>
      <c r="Q18" s="2080"/>
      <c r="R18" s="2080"/>
      <c r="S18" s="2081"/>
      <c r="T18" s="82" t="s">
        <v>706</v>
      </c>
      <c r="U18" s="48"/>
      <c r="V18" s="69"/>
      <c r="W18" s="47"/>
      <c r="X18" s="82" t="s">
        <v>264</v>
      </c>
      <c r="Y18" s="78"/>
      <c r="Z18" s="154" t="s">
        <v>672</v>
      </c>
      <c r="AA18" s="44"/>
    </row>
    <row r="19" spans="1:27" ht="13.5" customHeight="1" x14ac:dyDescent="0.2">
      <c r="A19" s="2134" t="s">
        <v>2065</v>
      </c>
      <c r="B19" s="2090"/>
      <c r="C19" s="2090"/>
      <c r="D19" s="2090"/>
      <c r="E19" s="2090"/>
      <c r="F19" s="2090"/>
      <c r="G19" s="2090"/>
      <c r="H19" s="2070"/>
      <c r="I19" s="30"/>
      <c r="J19" s="96"/>
      <c r="K19" s="40"/>
      <c r="L19" s="38"/>
      <c r="M19" s="109" t="s">
        <v>312</v>
      </c>
      <c r="P19" s="27"/>
      <c r="Q19" s="27"/>
      <c r="R19" s="27"/>
      <c r="S19" s="31"/>
      <c r="T19" s="2134" t="s">
        <v>2054</v>
      </c>
      <c r="U19" s="2069"/>
      <c r="V19" s="2069"/>
      <c r="W19" s="2070"/>
      <c r="X19" s="2146" t="s">
        <v>2055</v>
      </c>
      <c r="Y19" s="2147"/>
      <c r="Z19" s="2144">
        <v>62568</v>
      </c>
      <c r="AA19" s="214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8" t="s">
        <v>2066</v>
      </c>
      <c r="B21" s="2069"/>
      <c r="C21" s="2069"/>
      <c r="D21" s="2069"/>
      <c r="E21" s="2069"/>
      <c r="F21" s="2069"/>
      <c r="G21" s="2069"/>
      <c r="H21" s="2070"/>
      <c r="I21" s="2124" t="s">
        <v>673</v>
      </c>
      <c r="J21" s="2119"/>
      <c r="K21" s="2119"/>
      <c r="L21" s="2119"/>
      <c r="M21" s="2119"/>
      <c r="N21" s="2119"/>
      <c r="O21" s="2119"/>
      <c r="P21" s="2119"/>
      <c r="Q21" s="2119"/>
      <c r="R21" s="2119"/>
      <c r="S21" s="2125"/>
      <c r="T21" s="2159" t="s">
        <v>2056</v>
      </c>
      <c r="U21" s="2160"/>
      <c r="V21" s="2160"/>
      <c r="W21" s="2160"/>
      <c r="X21" s="2165" t="s">
        <v>2057</v>
      </c>
      <c r="Y21" s="2166"/>
      <c r="Z21" s="2166"/>
      <c r="AA21" s="2167"/>
    </row>
    <row r="22" spans="1:27" ht="13.5" customHeight="1" x14ac:dyDescent="0.2">
      <c r="A22" s="84" t="s">
        <v>528</v>
      </c>
      <c r="B22" s="56"/>
      <c r="C22" s="56"/>
      <c r="D22" s="56"/>
      <c r="E22" s="56"/>
      <c r="F22" s="56"/>
      <c r="G22" s="56"/>
      <c r="H22" s="57"/>
      <c r="I22" s="2126" t="s">
        <v>1412</v>
      </c>
      <c r="J22" s="2127"/>
      <c r="K22" s="2127"/>
      <c r="L22" s="2127"/>
      <c r="M22" s="2127"/>
      <c r="N22" s="2127"/>
      <c r="O22" s="2127"/>
      <c r="P22" s="2127"/>
      <c r="Q22" s="2127"/>
      <c r="R22" s="2127"/>
      <c r="S22" s="2128"/>
      <c r="T22" s="82" t="s">
        <v>1499</v>
      </c>
      <c r="U22" s="48"/>
      <c r="V22" s="69"/>
      <c r="W22" s="48"/>
      <c r="X22" s="155" t="s">
        <v>1307</v>
      </c>
      <c r="Z22" s="43"/>
      <c r="AA22" s="44"/>
    </row>
    <row r="23" spans="1:27" ht="13.5" customHeight="1" x14ac:dyDescent="0.2">
      <c r="A23" s="2121" t="s">
        <v>2067</v>
      </c>
      <c r="B23" s="2122"/>
      <c r="C23" s="2122"/>
      <c r="D23" s="2122"/>
      <c r="E23" s="2122"/>
      <c r="F23" s="2122"/>
      <c r="G23" s="2122"/>
      <c r="H23" s="2123"/>
      <c r="T23" s="2104" t="s">
        <v>2058</v>
      </c>
      <c r="U23" s="2158"/>
      <c r="V23" s="2158"/>
      <c r="W23" s="2158"/>
      <c r="X23" s="2162" t="s">
        <v>2059</v>
      </c>
      <c r="Y23" s="2163"/>
      <c r="Z23" s="2163"/>
      <c r="AA23" s="2164"/>
    </row>
    <row r="24" spans="1:27" ht="14.1" customHeight="1" x14ac:dyDescent="0.2">
      <c r="A24" s="85" t="s">
        <v>672</v>
      </c>
      <c r="B24" s="46"/>
      <c r="C24" s="46"/>
      <c r="D24" s="46"/>
      <c r="E24" s="46"/>
      <c r="F24" s="46"/>
      <c r="G24" s="46"/>
      <c r="H24" s="58"/>
      <c r="J24" s="2091">
        <f>IF(B5="x",IF(AUDITCHECK!D29="AFR form Incomplete.","",IF(AUDITCHECK!D29="Deficit reduction plan is required.","School District must complete a deficit reduction plan in the 2020-2021 Budget",)),"")</f>
        <v>0</v>
      </c>
      <c r="K24" s="2091"/>
      <c r="L24" s="2091"/>
      <c r="M24" s="2091"/>
      <c r="N24" s="2091"/>
      <c r="O24" s="2091"/>
      <c r="P24" s="2091"/>
      <c r="Q24" s="2091"/>
      <c r="R24" s="2091"/>
      <c r="S24" s="2092"/>
      <c r="T24" s="102" t="s">
        <v>528</v>
      </c>
      <c r="U24" s="103"/>
      <c r="V24" s="103"/>
      <c r="W24" s="103"/>
      <c r="X24" s="104"/>
      <c r="Y24" s="104"/>
      <c r="Z24" s="104"/>
      <c r="AA24" s="105"/>
    </row>
    <row r="25" spans="1:27" ht="14.1" customHeight="1" x14ac:dyDescent="0.2">
      <c r="A25" s="2068">
        <v>62515</v>
      </c>
      <c r="B25" s="2069"/>
      <c r="C25" s="2069"/>
      <c r="D25" s="2069"/>
      <c r="E25" s="2069"/>
      <c r="F25" s="2069"/>
      <c r="G25" s="2069"/>
      <c r="H25" s="2070"/>
      <c r="I25" s="110"/>
      <c r="J25" s="2093"/>
      <c r="K25" s="2093"/>
      <c r="L25" s="2093"/>
      <c r="M25" s="2093"/>
      <c r="N25" s="2093"/>
      <c r="O25" s="2093"/>
      <c r="P25" s="2093"/>
      <c r="Q25" s="2093"/>
      <c r="R25" s="2093"/>
      <c r="S25" s="2094"/>
      <c r="T25" s="2155" t="s">
        <v>2060</v>
      </c>
      <c r="U25" s="2156"/>
      <c r="V25" s="2156"/>
      <c r="W25" s="2156"/>
      <c r="X25" s="2156"/>
      <c r="Y25" s="2156"/>
      <c r="Z25" s="2156"/>
      <c r="AA25" s="215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9" t="s">
        <v>1494</v>
      </c>
      <c r="J27" s="2080"/>
      <c r="K27" s="2080"/>
      <c r="L27" s="2080"/>
      <c r="M27" s="2080"/>
      <c r="N27" s="2080"/>
      <c r="O27" s="2080"/>
      <c r="P27" s="2080"/>
      <c r="Q27" s="2080"/>
      <c r="R27" s="2080"/>
      <c r="S27" s="208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2061</v>
      </c>
      <c r="M29" s="40" t="s">
        <v>99</v>
      </c>
      <c r="N29" s="32" t="s">
        <v>1506</v>
      </c>
      <c r="O29" s="32"/>
      <c r="P29" s="32"/>
      <c r="Q29" s="32"/>
      <c r="R29" s="32"/>
      <c r="S29" s="120"/>
      <c r="T29" s="6"/>
      <c r="U29" s="6"/>
      <c r="V29" s="6"/>
      <c r="W29" s="6"/>
      <c r="X29" s="6"/>
      <c r="Y29" s="6"/>
      <c r="Z29" s="6"/>
      <c r="AA29" s="129"/>
    </row>
    <row r="30" spans="1:27" ht="13.5" customHeight="1" x14ac:dyDescent="0.2">
      <c r="A30" s="149"/>
      <c r="B30" s="133" t="s">
        <v>2061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0"/>
      <c r="Q35" s="2069"/>
      <c r="R35" s="206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04" t="s">
        <v>2068</v>
      </c>
      <c r="B38" s="2105"/>
      <c r="C38" s="2105"/>
      <c r="D38" s="2105"/>
      <c r="E38" s="2105"/>
      <c r="F38" s="2069"/>
      <c r="G38" s="2069"/>
      <c r="H38" s="2070"/>
      <c r="I38" s="2097"/>
      <c r="J38" s="2098"/>
      <c r="K38" s="2098"/>
      <c r="L38" s="2098"/>
      <c r="M38" s="2098"/>
      <c r="N38" s="2098"/>
      <c r="O38" s="2098"/>
      <c r="P38" s="2099"/>
      <c r="Q38" s="2099"/>
      <c r="R38" s="2099"/>
      <c r="S38" s="2100"/>
      <c r="T38" s="2141"/>
      <c r="U38" s="2098"/>
      <c r="V38" s="2098"/>
      <c r="W38" s="2098"/>
      <c r="X38" s="2099"/>
      <c r="Y38" s="2099"/>
      <c r="Z38" s="2099"/>
      <c r="AA38" s="2100"/>
    </row>
    <row r="39" spans="1:27" ht="12" customHeight="1" x14ac:dyDescent="0.2">
      <c r="A39" s="2074" t="s">
        <v>528</v>
      </c>
      <c r="B39" s="2075"/>
      <c r="C39" s="69"/>
      <c r="D39" s="66"/>
      <c r="E39" s="66"/>
      <c r="F39" s="76"/>
      <c r="G39" s="66"/>
      <c r="H39" s="53"/>
      <c r="I39" s="2074" t="s">
        <v>528</v>
      </c>
      <c r="J39" s="2075"/>
      <c r="K39" s="2075"/>
      <c r="L39" s="2075"/>
      <c r="M39" s="2075"/>
      <c r="N39" s="64"/>
      <c r="O39" s="69"/>
      <c r="P39" s="69"/>
      <c r="Q39" s="75"/>
      <c r="R39" s="69"/>
      <c r="S39" s="53"/>
      <c r="T39" s="69" t="s">
        <v>528</v>
      </c>
      <c r="U39" s="48"/>
      <c r="V39" s="69"/>
      <c r="W39" s="47"/>
      <c r="X39" s="75"/>
      <c r="Y39" s="43"/>
      <c r="Z39" s="43"/>
      <c r="AA39" s="44"/>
    </row>
    <row r="40" spans="1:27" ht="13.5" customHeight="1" x14ac:dyDescent="0.2">
      <c r="A40" s="2082" t="s">
        <v>2067</v>
      </c>
      <c r="B40" s="2083"/>
      <c r="C40" s="2084"/>
      <c r="D40" s="2084"/>
      <c r="E40" s="2084"/>
      <c r="F40" s="2085"/>
      <c r="G40" s="2085"/>
      <c r="H40" s="2086"/>
      <c r="I40" s="2107"/>
      <c r="J40" s="2108"/>
      <c r="K40" s="2108"/>
      <c r="L40" s="2108"/>
      <c r="M40" s="2108"/>
      <c r="N40" s="2108"/>
      <c r="O40" s="2108"/>
      <c r="P40" s="2108"/>
      <c r="Q40" s="2108"/>
      <c r="R40" s="2108"/>
      <c r="S40" s="2109"/>
      <c r="T40" s="2107"/>
      <c r="U40" s="2161"/>
      <c r="V40" s="2108"/>
      <c r="W40" s="2108"/>
      <c r="X40" s="2108"/>
      <c r="Y40" s="2108"/>
      <c r="Z40" s="2108"/>
      <c r="AA40" s="210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6" t="s">
        <v>2069</v>
      </c>
      <c r="B42" s="2088"/>
      <c r="C42" s="2089"/>
      <c r="D42" s="2087" t="s">
        <v>2070</v>
      </c>
      <c r="E42" s="2088"/>
      <c r="F42" s="2088"/>
      <c r="G42" s="2088"/>
      <c r="H42" s="2089"/>
      <c r="I42" s="2071"/>
      <c r="J42" s="2072"/>
      <c r="K42" s="2072"/>
      <c r="L42" s="2072"/>
      <c r="M42" s="2072"/>
      <c r="N42" s="2072"/>
      <c r="O42" s="2073"/>
      <c r="P42" s="2106"/>
      <c r="Q42" s="2072"/>
      <c r="R42" s="2072"/>
      <c r="S42" s="2073"/>
      <c r="T42" s="2071"/>
      <c r="U42" s="2072"/>
      <c r="V42" s="2072"/>
      <c r="W42" s="2073"/>
      <c r="X42" s="2106"/>
      <c r="Y42" s="2072"/>
      <c r="Z42" s="2072"/>
      <c r="AA42" s="207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01"/>
      <c r="B44" s="2102"/>
      <c r="C44" s="2102"/>
      <c r="D44" s="2102"/>
      <c r="E44" s="2102"/>
      <c r="F44" s="2102"/>
      <c r="G44" s="2102"/>
      <c r="H44" s="2103"/>
      <c r="I44" s="2076"/>
      <c r="J44" s="2077"/>
      <c r="K44" s="2077"/>
      <c r="L44" s="2077"/>
      <c r="M44" s="2077"/>
      <c r="N44" s="2077"/>
      <c r="O44" s="2077"/>
      <c r="P44" s="2077"/>
      <c r="Q44" s="2077"/>
      <c r="R44" s="2077"/>
      <c r="S44" s="2078"/>
      <c r="T44" s="2076"/>
      <c r="U44" s="2095"/>
      <c r="V44" s="2095"/>
      <c r="W44" s="2095"/>
      <c r="X44" s="2095"/>
      <c r="Y44" s="2095"/>
      <c r="Z44" s="2077"/>
      <c r="AA44" s="207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5" right="0.5" top="1"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C13" sqref="C1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20"/>
      <c r="B3" s="1294"/>
      <c r="C3" s="1295"/>
      <c r="D3" s="1296" t="s">
        <v>254</v>
      </c>
      <c r="E3" s="1295"/>
      <c r="F3" s="1296" t="s">
        <v>255</v>
      </c>
    </row>
    <row r="4" spans="1:8" ht="13.7" customHeight="1" x14ac:dyDescent="0.2">
      <c r="A4" s="579" t="s">
        <v>1145</v>
      </c>
      <c r="B4" s="1721">
        <f>'Revenues 9-14'!C5</f>
        <v>2154409</v>
      </c>
      <c r="C4" s="1722">
        <v>1088867</v>
      </c>
      <c r="D4" s="1723">
        <f>B4-C4</f>
        <v>1065542</v>
      </c>
      <c r="E4" s="1722">
        <v>2502664</v>
      </c>
      <c r="F4" s="1723">
        <f>E4-C4</f>
        <v>1413797</v>
      </c>
    </row>
    <row r="5" spans="1:8" ht="13.7" customHeight="1" x14ac:dyDescent="0.2">
      <c r="A5" s="579" t="s">
        <v>865</v>
      </c>
      <c r="B5" s="1724">
        <f>'Revenues 9-14'!D5</f>
        <v>277374</v>
      </c>
      <c r="C5" s="1664">
        <v>140205</v>
      </c>
      <c r="D5" s="1725">
        <f t="shared" ref="D5:D18" si="0">B5-C5</f>
        <v>137169</v>
      </c>
      <c r="E5" s="1664">
        <v>322250</v>
      </c>
      <c r="F5" s="1725">
        <f>E5-C5</f>
        <v>182045</v>
      </c>
    </row>
    <row r="6" spans="1:8" ht="13.7" customHeight="1" x14ac:dyDescent="0.2">
      <c r="A6" s="579" t="s">
        <v>408</v>
      </c>
      <c r="B6" s="1724">
        <f>'Revenues 9-14'!E5</f>
        <v>536047</v>
      </c>
      <c r="C6" s="1664">
        <v>267216</v>
      </c>
      <c r="D6" s="1725">
        <f t="shared" si="0"/>
        <v>268831</v>
      </c>
      <c r="E6" s="1664">
        <v>614173</v>
      </c>
      <c r="F6" s="1725">
        <f t="shared" ref="F6:F18" si="1">E6-C6</f>
        <v>346957</v>
      </c>
    </row>
    <row r="7" spans="1:8" ht="13.7" customHeight="1" x14ac:dyDescent="0.2">
      <c r="A7" s="579" t="s">
        <v>154</v>
      </c>
      <c r="B7" s="1724">
        <f>'Revenues 9-14'!F5</f>
        <v>184929</v>
      </c>
      <c r="C7" s="1664">
        <v>93470</v>
      </c>
      <c r="D7" s="1725">
        <f t="shared" si="0"/>
        <v>91459</v>
      </c>
      <c r="E7" s="1664">
        <v>214833</v>
      </c>
      <c r="F7" s="1725">
        <f t="shared" si="1"/>
        <v>121363</v>
      </c>
    </row>
    <row r="8" spans="1:8" ht="13.7" customHeight="1" x14ac:dyDescent="0.2">
      <c r="A8" s="579" t="s">
        <v>1169</v>
      </c>
      <c r="B8" s="1724">
        <f>'Revenues 9-14'!G5</f>
        <v>56671</v>
      </c>
      <c r="C8" s="1664">
        <v>28645</v>
      </c>
      <c r="D8" s="1725">
        <f t="shared" si="0"/>
        <v>28026</v>
      </c>
      <c r="E8" s="1664">
        <v>65839</v>
      </c>
      <c r="F8" s="1725">
        <f t="shared" si="1"/>
        <v>37194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18548</v>
      </c>
      <c r="C10" s="1664">
        <v>9370</v>
      </c>
      <c r="D10" s="1725">
        <f t="shared" si="0"/>
        <v>9178</v>
      </c>
      <c r="E10" s="1664">
        <v>21536</v>
      </c>
      <c r="F10" s="1725">
        <f t="shared" si="1"/>
        <v>12166</v>
      </c>
    </row>
    <row r="11" spans="1:8" x14ac:dyDescent="0.2">
      <c r="A11" s="579" t="s">
        <v>406</v>
      </c>
      <c r="B11" s="1724">
        <f>'Revenues 9-14'!J5</f>
        <v>89493</v>
      </c>
      <c r="C11" s="1664">
        <v>45244</v>
      </c>
      <c r="D11" s="1725">
        <f t="shared" si="0"/>
        <v>44249</v>
      </c>
      <c r="E11" s="1664">
        <v>103988</v>
      </c>
      <c r="F11" s="1725">
        <f t="shared" si="1"/>
        <v>58744</v>
      </c>
    </row>
    <row r="12" spans="1:8" ht="13.7" customHeight="1" x14ac:dyDescent="0.2">
      <c r="A12" s="579" t="s">
        <v>156</v>
      </c>
      <c r="B12" s="1724">
        <f>'Revenues 9-14'!K5</f>
        <v>43346</v>
      </c>
      <c r="C12" s="1664">
        <v>21914</v>
      </c>
      <c r="D12" s="1725">
        <f t="shared" si="0"/>
        <v>21432</v>
      </c>
      <c r="E12" s="1664">
        <v>50368</v>
      </c>
      <c r="F12" s="1725">
        <f t="shared" si="1"/>
        <v>28454</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30887</v>
      </c>
      <c r="C14" s="1664">
        <v>15642</v>
      </c>
      <c r="D14" s="1725">
        <f t="shared" si="0"/>
        <v>15245</v>
      </c>
      <c r="E14" s="1664">
        <v>35952</v>
      </c>
      <c r="F14" s="1725">
        <f t="shared" si="1"/>
        <v>20310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56671</v>
      </c>
      <c r="C16" s="1664">
        <v>28645</v>
      </c>
      <c r="D16" s="1725">
        <f t="shared" si="0"/>
        <v>28026</v>
      </c>
      <c r="E16" s="1664">
        <v>65839</v>
      </c>
      <c r="F16" s="1725">
        <f t="shared" si="1"/>
        <v>37194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3448375</v>
      </c>
      <c r="C19" s="1726">
        <f>SUM(C4:C18)</f>
        <v>1739218</v>
      </c>
      <c r="D19" s="1726">
        <f>SUM(D4:D18)</f>
        <v>1709157</v>
      </c>
      <c r="E19" s="1726">
        <f>SUM(E4:E18)</f>
        <v>3997442</v>
      </c>
      <c r="F19" s="1726">
        <f>SUM(F4:F18)</f>
        <v>2258224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orizontalCentered="1" headings="1" gridLinesSet="0"/>
  <pageMargins left="0.5" right="0.5" top="1.25" bottom="0.75" header="1" footer="0.5"/>
  <pageSetup scale="97" firstPageNumber="23"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1" t="s">
        <v>625</v>
      </c>
      <c r="B1" s="2339"/>
      <c r="C1" s="585"/>
    </row>
    <row r="2" spans="1:7" ht="33.75" x14ac:dyDescent="0.2">
      <c r="A2" s="2346" t="s">
        <v>1779</v>
      </c>
      <c r="B2" s="234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48" t="s">
        <v>1104</v>
      </c>
      <c r="B3" s="2349"/>
      <c r="C3" s="2342"/>
      <c r="D3" s="2343"/>
      <c r="E3" s="2343"/>
      <c r="F3" s="2344"/>
    </row>
    <row r="4" spans="1:7" ht="12.75" customHeight="1" thickBot="1" x14ac:dyDescent="0.25">
      <c r="A4" s="2336" t="s">
        <v>626</v>
      </c>
      <c r="B4" s="2337"/>
      <c r="C4" s="1656"/>
      <c r="D4" s="1656"/>
      <c r="E4" s="1656"/>
      <c r="F4" s="1732">
        <f>SUM(C4+D4)-E4</f>
        <v>0</v>
      </c>
    </row>
    <row r="5" spans="1:7" ht="15.75" customHeight="1" thickTop="1" x14ac:dyDescent="0.2">
      <c r="A5" s="2340" t="s">
        <v>1101</v>
      </c>
      <c r="B5" s="2335"/>
      <c r="C5" s="2329"/>
      <c r="D5" s="2330"/>
      <c r="E5" s="2330"/>
      <c r="F5" s="233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32" t="s">
        <v>627</v>
      </c>
      <c r="B15" s="2333"/>
      <c r="C15" s="1732">
        <f>SUM(C6:C14)</f>
        <v>0</v>
      </c>
      <c r="D15" s="1732">
        <f>SUM(D6:D14)</f>
        <v>0</v>
      </c>
      <c r="E15" s="1732">
        <f>SUM(E6:E14)</f>
        <v>0</v>
      </c>
      <c r="F15" s="1732">
        <f>SUM(F6:F14)</f>
        <v>0</v>
      </c>
      <c r="G15" s="473"/>
    </row>
    <row r="16" spans="1:7" s="197" customFormat="1" ht="15.75" customHeight="1" thickTop="1" x14ac:dyDescent="0.2">
      <c r="A16" s="2345" t="s">
        <v>1102</v>
      </c>
      <c r="B16" s="2335"/>
      <c r="C16" s="2329"/>
      <c r="D16" s="2330"/>
      <c r="E16" s="2330"/>
      <c r="F16" s="2331"/>
    </row>
    <row r="17" spans="1:11" ht="12.75" customHeight="1" thickBot="1" x14ac:dyDescent="0.25">
      <c r="A17" s="2327" t="s">
        <v>64</v>
      </c>
      <c r="B17" s="2328"/>
      <c r="C17" s="1733"/>
      <c r="D17" s="1664"/>
      <c r="E17" s="1733"/>
      <c r="F17" s="1732">
        <f>SUM(C17+D17)-E17</f>
        <v>0</v>
      </c>
    </row>
    <row r="18" spans="1:11" ht="12.75" customHeight="1" thickTop="1" thickBot="1" x14ac:dyDescent="0.25">
      <c r="A18" s="2327" t="s">
        <v>6</v>
      </c>
      <c r="B18" s="2328"/>
      <c r="C18" s="1733"/>
      <c r="D18" s="1664"/>
      <c r="E18" s="1733"/>
      <c r="F18" s="1732">
        <f>SUM(C18+D18)-E18</f>
        <v>0</v>
      </c>
    </row>
    <row r="19" spans="1:11" ht="12.75" customHeight="1" thickTop="1" thickBot="1" x14ac:dyDescent="0.25">
      <c r="A19" s="2327" t="s">
        <v>385</v>
      </c>
      <c r="B19" s="2328"/>
      <c r="C19" s="1733"/>
      <c r="D19" s="1664"/>
      <c r="E19" s="1733"/>
      <c r="F19" s="1732">
        <f>SUM(C19+D19)-E19</f>
        <v>0</v>
      </c>
    </row>
    <row r="20" spans="1:11" ht="12.75" customHeight="1" thickTop="1" thickBot="1" x14ac:dyDescent="0.25">
      <c r="A20" s="2327" t="s">
        <v>445</v>
      </c>
      <c r="B20" s="2328"/>
      <c r="C20" s="1733"/>
      <c r="D20" s="1664"/>
      <c r="E20" s="1733"/>
      <c r="F20" s="1732">
        <f>SUM(C20+D20)-E20</f>
        <v>0</v>
      </c>
    </row>
    <row r="21" spans="1:11" ht="14.25" thickTop="1" thickBot="1" x14ac:dyDescent="0.25">
      <c r="A21" s="2332" t="s">
        <v>628</v>
      </c>
      <c r="B21" s="2333"/>
      <c r="C21" s="1732">
        <f>SUM(C17:C20)</f>
        <v>0</v>
      </c>
      <c r="D21" s="1732">
        <f>SUM(D17:D20)</f>
        <v>0</v>
      </c>
      <c r="E21" s="1732">
        <f>SUM(E17:E20)</f>
        <v>0</v>
      </c>
      <c r="F21" s="1732">
        <f>SUM(F17:F20)</f>
        <v>0</v>
      </c>
      <c r="G21" s="473"/>
    </row>
    <row r="22" spans="1:11" ht="15.75" customHeight="1" thickTop="1" x14ac:dyDescent="0.2">
      <c r="A22" s="2334" t="s">
        <v>1103</v>
      </c>
      <c r="B22" s="2335"/>
      <c r="C22" s="2329"/>
      <c r="D22" s="2330"/>
      <c r="E22" s="2330"/>
      <c r="F22" s="2331"/>
    </row>
    <row r="23" spans="1:11" ht="13.5" thickBot="1" x14ac:dyDescent="0.25">
      <c r="A23" s="2336" t="s">
        <v>629</v>
      </c>
      <c r="B23" s="2337"/>
      <c r="C23" s="1656"/>
      <c r="D23" s="1656"/>
      <c r="E23" s="1656"/>
      <c r="F23" s="1732">
        <f>SUM(C23+D23)-E23</f>
        <v>0</v>
      </c>
      <c r="G23" s="473"/>
    </row>
    <row r="24" spans="1:11" ht="15.75" customHeight="1" thickTop="1" x14ac:dyDescent="0.2">
      <c r="A24" s="2334" t="s">
        <v>2006</v>
      </c>
      <c r="B24" s="2335"/>
      <c r="C24" s="2329"/>
      <c r="D24" s="2330"/>
      <c r="E24" s="2330"/>
      <c r="F24" s="2331"/>
    </row>
    <row r="25" spans="1:11" ht="13.5" thickBot="1" x14ac:dyDescent="0.25">
      <c r="A25" s="2336" t="s">
        <v>2007</v>
      </c>
      <c r="B25" s="2337"/>
      <c r="C25" s="1656"/>
      <c r="D25" s="1656"/>
      <c r="E25" s="1656"/>
      <c r="F25" s="1732">
        <f>SUM(C25+D25)-E25</f>
        <v>0</v>
      </c>
      <c r="G25" s="473"/>
    </row>
    <row r="26" spans="1:11" ht="15.75" customHeight="1" thickTop="1" x14ac:dyDescent="0.2">
      <c r="A26" s="2340" t="s">
        <v>652</v>
      </c>
      <c r="B26" s="2335"/>
      <c r="C26" s="589"/>
      <c r="D26" s="589"/>
      <c r="E26" s="589"/>
      <c r="F26" s="590"/>
    </row>
    <row r="27" spans="1:11" ht="13.5" thickBot="1" x14ac:dyDescent="0.25">
      <c r="A27" s="2332" t="s">
        <v>1061</v>
      </c>
      <c r="B27" s="2333"/>
      <c r="C27" s="1664"/>
      <c r="D27" s="1664"/>
      <c r="E27" s="1664"/>
      <c r="F27" s="1732">
        <f>SUM(C27+D27)-E27</f>
        <v>0</v>
      </c>
      <c r="G27" s="473"/>
    </row>
    <row r="28" spans="1:11" ht="7.5" customHeight="1" thickTop="1" x14ac:dyDescent="0.2">
      <c r="A28" s="489"/>
    </row>
    <row r="29" spans="1:11" ht="23.25" customHeight="1" x14ac:dyDescent="0.2">
      <c r="A29" s="2338" t="s">
        <v>578</v>
      </c>
      <c r="B29" s="233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2071</v>
      </c>
      <c r="B31" s="595">
        <v>39695</v>
      </c>
      <c r="C31" s="1734">
        <v>1795000</v>
      </c>
      <c r="D31" s="1735">
        <v>3</v>
      </c>
      <c r="E31" s="1734">
        <v>840000</v>
      </c>
      <c r="F31" s="1734"/>
      <c r="G31" s="1734"/>
      <c r="H31" s="1734">
        <v>270000</v>
      </c>
      <c r="I31" s="1736">
        <f>((E31+F31)-H31)+G31</f>
        <v>570000</v>
      </c>
      <c r="J31" s="1734">
        <f>570000-291231</f>
        <v>278769</v>
      </c>
      <c r="K31" s="596"/>
    </row>
    <row r="32" spans="1:11" ht="12" customHeight="1" x14ac:dyDescent="0.2">
      <c r="A32" s="594" t="s">
        <v>2072</v>
      </c>
      <c r="B32" s="595">
        <v>42192</v>
      </c>
      <c r="C32" s="1734">
        <v>3710000</v>
      </c>
      <c r="D32" s="1735" t="s">
        <v>2073</v>
      </c>
      <c r="E32" s="1734">
        <v>3290000</v>
      </c>
      <c r="F32" s="1734"/>
      <c r="G32" s="1734"/>
      <c r="H32" s="1734">
        <v>195000</v>
      </c>
      <c r="I32" s="1736">
        <f>((E32+F32)-H32)+G32</f>
        <v>3095000</v>
      </c>
      <c r="J32" s="1734">
        <v>3095000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5505000</v>
      </c>
      <c r="D49" s="1742"/>
      <c r="E49" s="1736">
        <f t="shared" ref="E49:J49" si="2">SUM(E31:E48)</f>
        <v>4130000</v>
      </c>
      <c r="F49" s="1736">
        <f t="shared" si="2"/>
        <v>0</v>
      </c>
      <c r="G49" s="1736">
        <f t="shared" si="2"/>
        <v>0</v>
      </c>
      <c r="H49" s="1736">
        <f t="shared" si="2"/>
        <v>465000</v>
      </c>
      <c r="I49" s="1736">
        <f t="shared" si="2"/>
        <v>3665000</v>
      </c>
      <c r="J49" s="1736">
        <f t="shared" si="2"/>
        <v>3373769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21" t="s">
        <v>580</v>
      </c>
      <c r="C52" s="2322"/>
      <c r="D52" s="2322"/>
      <c r="E52" s="603" t="s">
        <v>840</v>
      </c>
      <c r="F52" s="2323"/>
      <c r="G52" s="2324"/>
      <c r="H52" s="596"/>
      <c r="I52" s="596"/>
      <c r="J52" s="600"/>
    </row>
    <row r="53" spans="1:11" ht="11.25" customHeight="1" x14ac:dyDescent="0.2">
      <c r="A53" s="604" t="s">
        <v>907</v>
      </c>
      <c r="B53" s="605" t="s">
        <v>945</v>
      </c>
      <c r="C53" s="600"/>
      <c r="D53" s="597"/>
      <c r="E53" s="603" t="s">
        <v>494</v>
      </c>
      <c r="F53" s="2325"/>
      <c r="G53" s="2326"/>
      <c r="H53" s="596"/>
      <c r="I53" s="596"/>
      <c r="J53" s="600"/>
    </row>
    <row r="54" spans="1:11" ht="11.25" customHeight="1" x14ac:dyDescent="0.2">
      <c r="A54" s="606" t="s">
        <v>908</v>
      </c>
      <c r="B54" s="601" t="s">
        <v>946</v>
      </c>
      <c r="C54" s="600"/>
      <c r="D54" s="597"/>
      <c r="E54" s="603" t="s">
        <v>495</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5" top="1.25" bottom="0.75" header="1" footer="0.5"/>
  <pageSetup scale="65" firstPageNumber="24"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topLeftCell="A1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851</v>
      </c>
      <c r="B1" s="2351"/>
      <c r="C1" s="2351"/>
      <c r="D1" s="2351"/>
      <c r="E1" s="2351"/>
      <c r="F1" s="2351"/>
      <c r="G1" s="2352"/>
      <c r="H1" s="1298"/>
      <c r="I1" s="614"/>
      <c r="J1" s="400"/>
    </row>
    <row r="2" spans="1:11" ht="26.25" x14ac:dyDescent="0.2">
      <c r="A2" s="2369" t="s">
        <v>1658</v>
      </c>
      <c r="B2" s="2370"/>
      <c r="C2" s="2370"/>
      <c r="D2" s="2370"/>
      <c r="E2" s="2371"/>
      <c r="F2" s="615" t="s">
        <v>898</v>
      </c>
      <c r="G2" s="616" t="s">
        <v>1655</v>
      </c>
      <c r="H2" s="616" t="s">
        <v>407</v>
      </c>
      <c r="I2" s="616" t="s">
        <v>1148</v>
      </c>
      <c r="J2" s="616" t="s">
        <v>1789</v>
      </c>
      <c r="K2" s="616" t="s">
        <v>137</v>
      </c>
    </row>
    <row r="3" spans="1:11" x14ac:dyDescent="0.2">
      <c r="A3" s="2372" t="str">
        <f>"Cash Basis Fund Balance as of July 1, "&amp;'AFR20'!E2-1</f>
        <v>Cash Basis Fund Balance as of July 1, 2019</v>
      </c>
      <c r="B3" s="2373"/>
      <c r="C3" s="2373"/>
      <c r="D3" s="2373"/>
      <c r="E3" s="2374"/>
      <c r="F3" s="617"/>
      <c r="G3" s="1744"/>
      <c r="H3" s="1744"/>
      <c r="I3" s="1744"/>
      <c r="J3" s="1745"/>
      <c r="K3" s="1745"/>
    </row>
    <row r="4" spans="1:11" x14ac:dyDescent="0.2">
      <c r="A4" s="2375" t="s">
        <v>366</v>
      </c>
      <c r="B4" s="2376"/>
      <c r="C4" s="2376"/>
      <c r="D4" s="2376"/>
      <c r="E4" s="2322"/>
      <c r="F4" s="620"/>
      <c r="G4" s="1746"/>
      <c r="H4" s="1747"/>
      <c r="I4" s="1746"/>
      <c r="J4" s="1748"/>
      <c r="K4" s="1748"/>
    </row>
    <row r="5" spans="1:11" x14ac:dyDescent="0.2">
      <c r="A5" s="2353" t="s">
        <v>1060</v>
      </c>
      <c r="B5" s="2354"/>
      <c r="C5" s="2354"/>
      <c r="D5" s="2354"/>
      <c r="E5" s="2355"/>
      <c r="F5" s="622" t="s">
        <v>843</v>
      </c>
      <c r="G5" s="1749"/>
      <c r="H5" s="1744">
        <v>30887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7855</v>
      </c>
    </row>
    <row r="8" spans="1:11" x14ac:dyDescent="0.2">
      <c r="A8" s="629" t="s">
        <v>342</v>
      </c>
      <c r="B8" s="630"/>
      <c r="C8" s="630"/>
      <c r="D8" s="630"/>
      <c r="E8" s="631"/>
      <c r="F8" s="622" t="s">
        <v>846</v>
      </c>
      <c r="G8" s="1753"/>
      <c r="H8" s="1753"/>
      <c r="I8" s="1753"/>
      <c r="J8" s="1745">
        <v>297167</v>
      </c>
      <c r="K8" s="1748"/>
    </row>
    <row r="9" spans="1:11" x14ac:dyDescent="0.2">
      <c r="A9" s="629" t="s">
        <v>137</v>
      </c>
      <c r="B9" s="630"/>
      <c r="C9" s="630"/>
      <c r="D9" s="630"/>
      <c r="E9" s="631"/>
      <c r="F9" s="628" t="s">
        <v>848</v>
      </c>
      <c r="G9" s="1753"/>
      <c r="H9" s="1749"/>
      <c r="I9" s="1749"/>
      <c r="J9" s="1752"/>
      <c r="K9" s="1745">
        <v>4756</v>
      </c>
    </row>
    <row r="10" spans="1:11" x14ac:dyDescent="0.2">
      <c r="A10" s="2353" t="s">
        <v>1790</v>
      </c>
      <c r="B10" s="2354"/>
      <c r="C10" s="2354"/>
      <c r="D10" s="2354"/>
      <c r="E10" s="2356"/>
      <c r="F10" s="633" t="s">
        <v>857</v>
      </c>
      <c r="G10" s="1753"/>
      <c r="H10" s="1754"/>
      <c r="I10" s="1744"/>
      <c r="J10" s="1745"/>
      <c r="K10" s="1745"/>
    </row>
    <row r="11" spans="1:11" x14ac:dyDescent="0.2">
      <c r="A11" s="2353" t="s">
        <v>159</v>
      </c>
      <c r="B11" s="2354"/>
      <c r="C11" s="2354"/>
      <c r="D11" s="2354"/>
      <c r="E11" s="2355"/>
      <c r="F11" s="622" t="s">
        <v>847</v>
      </c>
      <c r="G11" s="1749"/>
      <c r="H11" s="1744"/>
      <c r="I11" s="1744"/>
      <c r="J11" s="1745"/>
      <c r="K11" s="1751"/>
    </row>
    <row r="12" spans="1:11" ht="13.5" thickBot="1" x14ac:dyDescent="0.25">
      <c r="A12" s="2380" t="s">
        <v>899</v>
      </c>
      <c r="B12" s="2381"/>
      <c r="C12" s="2381"/>
      <c r="D12" s="2381"/>
      <c r="E12" s="2382"/>
      <c r="F12" s="1433"/>
      <c r="G12" s="1755">
        <f>SUM(G5:G11)</f>
        <v>0</v>
      </c>
      <c r="H12" s="1755">
        <f>SUM(H5:H11)</f>
        <v>30887</v>
      </c>
      <c r="I12" s="1755">
        <f>SUM(I5:I11)</f>
        <v>0</v>
      </c>
      <c r="J12" s="1755">
        <f>SUM(J5:J11)</f>
        <v>297167</v>
      </c>
      <c r="K12" s="1755">
        <f>SUM(K5:K11)</f>
        <v>12611</v>
      </c>
    </row>
    <row r="13" spans="1:11" ht="13.5" thickTop="1" x14ac:dyDescent="0.2">
      <c r="A13" s="2377" t="s">
        <v>367</v>
      </c>
      <c r="B13" s="2378"/>
      <c r="C13" s="2378"/>
      <c r="D13" s="2378"/>
      <c r="E13" s="2379"/>
      <c r="F13" s="634"/>
      <c r="G13" s="1756"/>
      <c r="H13" s="1757"/>
      <c r="I13" s="1758"/>
      <c r="J13" s="1758"/>
      <c r="K13" s="1758"/>
    </row>
    <row r="14" spans="1:11" x14ac:dyDescent="0.2">
      <c r="A14" s="2360" t="s">
        <v>453</v>
      </c>
      <c r="B14" s="2360"/>
      <c r="C14" s="2360"/>
      <c r="D14" s="2360"/>
      <c r="E14" s="2361"/>
      <c r="F14" s="635" t="s">
        <v>849</v>
      </c>
      <c r="G14" s="1753"/>
      <c r="H14" s="1744">
        <v>30887</v>
      </c>
      <c r="I14" s="1749"/>
      <c r="J14" s="1751"/>
      <c r="K14" s="1745">
        <v>12611</v>
      </c>
    </row>
    <row r="15" spans="1:11" x14ac:dyDescent="0.2">
      <c r="A15" s="2354" t="s">
        <v>4</v>
      </c>
      <c r="B15" s="2354"/>
      <c r="C15" s="2354"/>
      <c r="D15" s="2354"/>
      <c r="E15" s="2355"/>
      <c r="F15" s="635" t="s">
        <v>850</v>
      </c>
      <c r="G15" s="1749"/>
      <c r="H15" s="1744"/>
      <c r="I15" s="1744"/>
      <c r="J15" s="1745">
        <v>155593</v>
      </c>
      <c r="K15" s="1745"/>
    </row>
    <row r="16" spans="1:11" x14ac:dyDescent="0.2">
      <c r="A16" s="2354" t="s">
        <v>295</v>
      </c>
      <c r="B16" s="2354"/>
      <c r="C16" s="2354"/>
      <c r="D16" s="2354"/>
      <c r="E16" s="2355"/>
      <c r="F16" s="635" t="s">
        <v>917</v>
      </c>
      <c r="G16" s="1750"/>
      <c r="H16" s="1746"/>
      <c r="I16" s="1746"/>
      <c r="J16" s="1748"/>
      <c r="K16" s="1748"/>
    </row>
    <row r="17" spans="1:15" x14ac:dyDescent="0.2">
      <c r="A17" s="2387" t="s">
        <v>929</v>
      </c>
      <c r="B17" s="2387"/>
      <c r="C17" s="2387"/>
      <c r="D17" s="2387"/>
      <c r="E17" s="2388"/>
      <c r="F17" s="636"/>
      <c r="G17" s="1759"/>
      <c r="H17" s="1760"/>
      <c r="I17" s="1760"/>
      <c r="J17" s="1761"/>
      <c r="K17" s="1762"/>
    </row>
    <row r="18" spans="1:15" x14ac:dyDescent="0.2">
      <c r="A18" s="2364" t="s">
        <v>365</v>
      </c>
      <c r="B18" s="2365"/>
      <c r="C18" s="2365"/>
      <c r="D18" s="2365"/>
      <c r="E18" s="2366"/>
      <c r="F18" s="635" t="s">
        <v>926</v>
      </c>
      <c r="G18" s="1753"/>
      <c r="H18" s="1753"/>
      <c r="I18" s="1753"/>
      <c r="J18" s="1745"/>
      <c r="K18" s="1763"/>
    </row>
    <row r="19" spans="1:15" ht="21.75" customHeight="1" x14ac:dyDescent="0.2">
      <c r="A19" s="2362" t="s">
        <v>1786</v>
      </c>
      <c r="B19" s="2362"/>
      <c r="C19" s="2362"/>
      <c r="D19" s="2362"/>
      <c r="E19" s="2363"/>
      <c r="F19" s="635" t="s">
        <v>927</v>
      </c>
      <c r="G19" s="1753"/>
      <c r="H19" s="1753"/>
      <c r="I19" s="1753"/>
      <c r="J19" s="1745"/>
      <c r="K19" s="1763"/>
    </row>
    <row r="20" spans="1:15" x14ac:dyDescent="0.2">
      <c r="A20" s="2364" t="s">
        <v>1791</v>
      </c>
      <c r="B20" s="2365"/>
      <c r="C20" s="2365"/>
      <c r="D20" s="2365"/>
      <c r="E20" s="2366"/>
      <c r="F20" s="635" t="s">
        <v>928</v>
      </c>
      <c r="G20" s="1753"/>
      <c r="H20" s="1753"/>
      <c r="I20" s="1753"/>
      <c r="J20" s="1745"/>
      <c r="K20" s="1763"/>
    </row>
    <row r="21" spans="1:15" ht="13.5" thickBot="1" x14ac:dyDescent="0.25">
      <c r="A21" s="2383" t="s">
        <v>633</v>
      </c>
      <c r="B21" s="2383"/>
      <c r="C21" s="2383"/>
      <c r="D21" s="2383"/>
      <c r="E21" s="2383"/>
      <c r="F21" s="1434"/>
      <c r="G21" s="1760"/>
      <c r="H21" s="1764"/>
      <c r="I21" s="1764"/>
      <c r="J21" s="1765">
        <f>SUM(J18:J20)</f>
        <v>0</v>
      </c>
      <c r="K21" s="1761"/>
    </row>
    <row r="22" spans="1:15" ht="13.5" thickTop="1" x14ac:dyDescent="0.2">
      <c r="A22" s="2354" t="s">
        <v>1792</v>
      </c>
      <c r="B22" s="2354"/>
      <c r="C22" s="2354"/>
      <c r="D22" s="2354"/>
      <c r="E22" s="2355"/>
      <c r="F22" s="635" t="s">
        <v>857</v>
      </c>
      <c r="G22" s="1753"/>
      <c r="H22" s="1744"/>
      <c r="I22" s="1744"/>
      <c r="J22" s="1766"/>
      <c r="K22" s="1745"/>
    </row>
    <row r="23" spans="1:15" ht="13.5" thickBot="1" x14ac:dyDescent="0.25">
      <c r="A23" s="2384" t="s">
        <v>900</v>
      </c>
      <c r="B23" s="2383"/>
      <c r="C23" s="2383"/>
      <c r="D23" s="2383"/>
      <c r="E23" s="2383"/>
      <c r="F23" s="1436"/>
      <c r="G23" s="1755">
        <f>SUM(G14:G16,G21,G22)</f>
        <v>0</v>
      </c>
      <c r="H23" s="1755">
        <f>SUM(H14:H16,H21,H22)</f>
        <v>30887</v>
      </c>
      <c r="I23" s="1755">
        <f>SUM(I14:I16,I21,I22)</f>
        <v>0</v>
      </c>
      <c r="J23" s="1755">
        <f>SUM(J14:J16,J21,J22)</f>
        <v>155593</v>
      </c>
      <c r="K23" s="1755">
        <f>SUM(K14:K16,K21,K22)</f>
        <v>12611</v>
      </c>
      <c r="M23" s="1846"/>
      <c r="N23" s="1846"/>
      <c r="O23" s="1846"/>
    </row>
    <row r="24" spans="1:15" ht="14.25" thickTop="1" thickBot="1" x14ac:dyDescent="0.25">
      <c r="A24" s="2385" t="str">
        <f>"Ending Cash Basis Fund Balance as of June 30, "&amp;'AFR20'!E2</f>
        <v>Ending Cash Basis Fund Balance as of June 30, 2020</v>
      </c>
      <c r="B24" s="2386"/>
      <c r="C24" s="2386"/>
      <c r="D24" s="2386"/>
      <c r="E24" s="2386"/>
      <c r="F24" s="1437"/>
      <c r="G24" s="1767">
        <f>SUM(G3,G12)-G23</f>
        <v>0</v>
      </c>
      <c r="H24" s="1767">
        <f>SUM(H3,H12)-H23</f>
        <v>0</v>
      </c>
      <c r="I24" s="1767">
        <f>SUM(I3,I12)-I23</f>
        <v>0</v>
      </c>
      <c r="J24" s="1767">
        <f>SUM(J3,J12)-J23</f>
        <v>141574</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141574</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7"/>
      <c r="I31" s="2358"/>
      <c r="J31" s="2358"/>
      <c r="K31" s="2358"/>
    </row>
    <row r="32" spans="1:15" x14ac:dyDescent="0.2">
      <c r="A32" s="649"/>
      <c r="B32" s="232"/>
      <c r="C32" s="232"/>
      <c r="D32" s="232"/>
      <c r="E32" s="645"/>
      <c r="F32" s="651" t="s">
        <v>537</v>
      </c>
      <c r="G32" s="618"/>
      <c r="H32" s="2359"/>
      <c r="I32" s="2358"/>
      <c r="J32" s="2358"/>
      <c r="K32" s="2358"/>
    </row>
    <row r="33" spans="1:11" ht="1.5" customHeight="1" x14ac:dyDescent="0.2">
      <c r="A33" s="652" t="s">
        <v>1159</v>
      </c>
      <c r="B33" s="341"/>
      <c r="C33" s="341"/>
      <c r="D33" s="341"/>
      <c r="E33" s="341"/>
      <c r="F33" s="341"/>
      <c r="G33" s="653"/>
      <c r="H33" s="2359"/>
      <c r="I33" s="2358"/>
      <c r="J33" s="2358"/>
      <c r="K33" s="235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54" t="s">
        <v>538</v>
      </c>
      <c r="B41" s="2367"/>
      <c r="C41" s="2367"/>
      <c r="D41" s="2367"/>
      <c r="E41" s="2367"/>
      <c r="F41" s="236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orizontalCentered="1" headings="1"/>
  <pageMargins left="0.5" right="0.5" top="1.35" bottom="0.8" header="1" footer="0.5"/>
  <pageSetup scale="69"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F20" sqref="F2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1" t="s">
        <v>1875</v>
      </c>
      <c r="B1" s="2392"/>
      <c r="C1" s="2393"/>
      <c r="D1" s="666"/>
      <c r="E1" s="667"/>
      <c r="F1" s="667"/>
      <c r="G1" s="668"/>
      <c r="H1" s="669"/>
      <c r="I1" s="670"/>
      <c r="J1" s="2389"/>
      <c r="K1" s="2390"/>
      <c r="L1" s="239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v>38176</v>
      </c>
      <c r="D6" s="1745"/>
      <c r="E6" s="1745"/>
      <c r="F6" s="1765">
        <f>(C6+D6)-E6</f>
        <v>38176</v>
      </c>
      <c r="G6" s="676">
        <v>50</v>
      </c>
      <c r="H6" s="619"/>
      <c r="I6" s="619"/>
      <c r="J6" s="619"/>
      <c r="K6" s="1442">
        <f>(H6+I6)-J6</f>
        <v>0</v>
      </c>
      <c r="L6" s="1442">
        <f>F6-K6</f>
        <v>38176</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9654452</v>
      </c>
      <c r="D8" s="1771"/>
      <c r="E8" s="1771"/>
      <c r="F8" s="1765">
        <f>(C8+D8)-E8</f>
        <v>9654452</v>
      </c>
      <c r="G8" s="681">
        <v>50</v>
      </c>
      <c r="H8" s="619">
        <v>3795821</v>
      </c>
      <c r="I8" s="619">
        <v>164843</v>
      </c>
      <c r="J8" s="619"/>
      <c r="K8" s="1442">
        <f>(H8+I8)-J8</f>
        <v>3960664</v>
      </c>
      <c r="L8" s="1442">
        <f>F8-K8</f>
        <v>5693788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85781</v>
      </c>
      <c r="D10" s="1772"/>
      <c r="E10" s="1772"/>
      <c r="F10" s="1773">
        <f>(C10+D10)-E10</f>
        <v>85781</v>
      </c>
      <c r="G10" s="681">
        <v>20</v>
      </c>
      <c r="H10" s="683">
        <v>56669</v>
      </c>
      <c r="I10" s="683">
        <v>677</v>
      </c>
      <c r="J10" s="683"/>
      <c r="K10" s="1442">
        <f>(H10+I10)-J10</f>
        <v>57346</v>
      </c>
      <c r="L10" s="1442">
        <f>F10-K10</f>
        <v>28435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f>666485-17757</f>
        <v>648728</v>
      </c>
      <c r="D12" s="1771">
        <v>3500</v>
      </c>
      <c r="E12" s="1771">
        <f>20155</f>
        <v>20155</v>
      </c>
      <c r="F12" s="1765">
        <f>(C12+D12)-E12</f>
        <v>632073</v>
      </c>
      <c r="G12" s="681">
        <v>10</v>
      </c>
      <c r="H12" s="619">
        <f>544089-50197</f>
        <v>493892</v>
      </c>
      <c r="I12" s="619">
        <v>36878</v>
      </c>
      <c r="J12" s="619">
        <v>2464</v>
      </c>
      <c r="K12" s="1442">
        <f>(H12+I12)-J12</f>
        <v>528306</v>
      </c>
      <c r="L12" s="1442">
        <f>F12-K12</f>
        <v>103767</v>
      </c>
    </row>
    <row r="13" spans="1:14" ht="14.25" thickTop="1" thickBot="1" x14ac:dyDescent="0.25">
      <c r="A13" s="684" t="s">
        <v>1112</v>
      </c>
      <c r="B13" s="679">
        <v>252</v>
      </c>
      <c r="C13" s="1771">
        <f>188048+17757</f>
        <v>205805</v>
      </c>
      <c r="D13" s="1771">
        <f>7657+986+2499+2884+989+7485+16758+1900+1660+3715+2748+14584+4100+8865+3500+926+1874+1100+749+1019+2598+3760+12100+12185+4751+8580+81512+8937+8487+2377+5476+7428-3500+20155+15500+2879+15686-1</f>
        <v>294908</v>
      </c>
      <c r="E13" s="1771"/>
      <c r="F13" s="1765">
        <f>(C13+D13)-E13</f>
        <v>500713</v>
      </c>
      <c r="G13" s="681">
        <v>5</v>
      </c>
      <c r="H13" s="619">
        <f>147849+50197</f>
        <v>198046</v>
      </c>
      <c r="I13" s="619">
        <v>34315</v>
      </c>
      <c r="J13" s="619"/>
      <c r="K13" s="1442">
        <f>(H13+I13)-J13</f>
        <v>232361</v>
      </c>
      <c r="L13" s="1442">
        <f>F13-K13</f>
        <v>268352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10632942</v>
      </c>
      <c r="D16" s="1765">
        <f>SUM(D3,D5:D6,D8:D10,D12:D15)</f>
        <v>298408</v>
      </c>
      <c r="E16" s="1765">
        <f>SUM(E3,E5:E6,E8:E10,E12:E15)</f>
        <v>20155</v>
      </c>
      <c r="F16" s="1765">
        <f>SUM(F3,F5:F6,F8:F10,F12:F15)</f>
        <v>10911195</v>
      </c>
      <c r="G16" s="681"/>
      <c r="H16" s="1435">
        <f>SUM(H3,H6,H8:H10,H12:H14,)</f>
        <v>4544428</v>
      </c>
      <c r="I16" s="1435">
        <f>SUM(I3,I6,I8:I10,I12:I14,)</f>
        <v>236713</v>
      </c>
      <c r="J16" s="1435">
        <f>SUM(J3,J6,J8:J10,J12:J14,)</f>
        <v>2464</v>
      </c>
      <c r="K16" s="1435">
        <f>(H16+I16)-J16</f>
        <v>4778677</v>
      </c>
      <c r="L16" s="1435">
        <f>F16-K16</f>
        <v>6132518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236713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orizontalCentered="1" headings="1"/>
  <pageMargins left="0.5" right="0.5" top="1.25" bottom="0.75" header="1" footer="0.5"/>
  <pageSetup scale="76" firstPageNumber="26" orientation="landscape" useFirstPageNumber="1" r:id="rId1"/>
  <headerFooter alignWithMargins="0">
    <oddHeader>&amp;L&amp;8Page &amp;P&amp;C &amp;R&amp;8Page &amp;P</oddHeader>
    <oddFooter>&amp;L&amp;8Print Date: &amp;D
&amp;F&amp;CReference should be made to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96" colorId="8" zoomScale="110" zoomScaleNormal="110" workbookViewId="0">
      <selection activeCell="K185" sqref="K18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7" t="str">
        <f>"ESTIMATED OPERATING EXPENSE PER PUPIL (OEPP)/PER CAPITA TUITION CHARGE (PCTC) COMPUTATIONS ("&amp;'AFR20'!E2-1&amp;" - "&amp;'AFR20'!E2&amp;")"</f>
        <v>ESTIMATED OPERATING EXPENSE PER PUPIL (OEPP)/PER CAPITA TUITION CHARGE (PCTC) COMPUTATIONS (2019 - 2020)</v>
      </c>
      <c r="B1" s="2398"/>
      <c r="C1" s="2398"/>
      <c r="D1" s="2398"/>
      <c r="E1" s="2398"/>
      <c r="F1" s="2399"/>
      <c r="G1" s="691"/>
      <c r="I1" s="701"/>
    </row>
    <row r="2" spans="1:9" ht="15" customHeight="1" thickBot="1" x14ac:dyDescent="0.25">
      <c r="A2" s="2400" t="s">
        <v>474</v>
      </c>
      <c r="B2" s="2401"/>
      <c r="C2" s="2401"/>
      <c r="D2" s="2401"/>
      <c r="E2" s="2401"/>
      <c r="F2" s="240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03"/>
      <c r="B5" s="2404"/>
      <c r="C5" s="2404"/>
      <c r="D5" s="2404"/>
      <c r="E5" s="2404"/>
      <c r="F5" s="2404"/>
    </row>
    <row r="6" spans="1:9" ht="13.5" customHeight="1" thickBot="1" x14ac:dyDescent="0.25">
      <c r="A6" s="2394" t="s">
        <v>1095</v>
      </c>
      <c r="B6" s="2395"/>
      <c r="C6" s="2395"/>
      <c r="D6" s="2395"/>
      <c r="E6" s="2395"/>
      <c r="F6" s="239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4504905</v>
      </c>
      <c r="G8" s="701"/>
    </row>
    <row r="9" spans="1:9" x14ac:dyDescent="0.2">
      <c r="A9" s="705" t="s">
        <v>457</v>
      </c>
      <c r="B9" s="706" t="s">
        <v>1848</v>
      </c>
      <c r="C9" s="707"/>
      <c r="D9" s="705" t="s">
        <v>498</v>
      </c>
      <c r="E9" s="704"/>
      <c r="F9" s="1775">
        <f>'Expenditures 15-22'!K151</f>
        <v>612730</v>
      </c>
      <c r="G9" s="708"/>
    </row>
    <row r="10" spans="1:9" x14ac:dyDescent="0.2">
      <c r="A10" s="705" t="s">
        <v>496</v>
      </c>
      <c r="B10" s="706" t="s">
        <v>1849</v>
      </c>
      <c r="C10" s="707"/>
      <c r="D10" s="705" t="s">
        <v>498</v>
      </c>
      <c r="E10" s="704"/>
      <c r="F10" s="1775">
        <f>'Expenditures 15-22'!K174</f>
        <v>617263</v>
      </c>
      <c r="G10" s="708"/>
    </row>
    <row r="11" spans="1:9" x14ac:dyDescent="0.2">
      <c r="A11" s="705" t="s">
        <v>458</v>
      </c>
      <c r="B11" s="706" t="s">
        <v>1850</v>
      </c>
      <c r="C11" s="707"/>
      <c r="D11" s="705" t="s">
        <v>498</v>
      </c>
      <c r="E11" s="704"/>
      <c r="F11" s="1775">
        <f>'Expenditures 15-22'!K210</f>
        <v>382184</v>
      </c>
      <c r="G11" s="708"/>
    </row>
    <row r="12" spans="1:9" x14ac:dyDescent="0.2">
      <c r="A12" s="705" t="s">
        <v>459</v>
      </c>
      <c r="B12" s="706" t="s">
        <v>1851</v>
      </c>
      <c r="C12" s="707"/>
      <c r="D12" s="705" t="s">
        <v>498</v>
      </c>
      <c r="E12" s="704"/>
      <c r="F12" s="1775">
        <f>'Expenditures 15-22'!K295</f>
        <v>202462</v>
      </c>
      <c r="G12" s="708"/>
    </row>
    <row r="13" spans="1:9" x14ac:dyDescent="0.2">
      <c r="A13" s="705" t="s">
        <v>106</v>
      </c>
      <c r="B13" s="706" t="s">
        <v>1852</v>
      </c>
      <c r="C13" s="707"/>
      <c r="D13" s="705" t="s">
        <v>498</v>
      </c>
      <c r="E13" s="704"/>
      <c r="F13" s="1775">
        <f>'Expenditures 15-22'!K342</f>
        <v>13463</v>
      </c>
      <c r="G13" s="709"/>
    </row>
    <row r="14" spans="1:9" ht="12" customHeight="1" thickBot="1" x14ac:dyDescent="0.25">
      <c r="A14" s="1443"/>
      <c r="B14" s="1444"/>
      <c r="C14" s="1445"/>
      <c r="D14" s="1446" t="s">
        <v>498</v>
      </c>
      <c r="E14" s="1447" t="s">
        <v>952</v>
      </c>
      <c r="F14" s="1776">
        <f>SUM(F8:F13)</f>
        <v>6333007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157819</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355986</v>
      </c>
      <c r="G53" s="701"/>
    </row>
    <row r="54" spans="1:7" x14ac:dyDescent="0.2">
      <c r="A54" s="705" t="s">
        <v>456</v>
      </c>
      <c r="B54" s="705" t="s">
        <v>1459</v>
      </c>
      <c r="C54" s="724" t="s">
        <v>975</v>
      </c>
      <c r="D54" s="720" t="s">
        <v>1086</v>
      </c>
      <c r="E54" s="704"/>
      <c r="F54" s="1782">
        <f>'Expenditures 15-22'!G114</f>
        <v>58383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37571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465000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10250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1085009</v>
      </c>
      <c r="G77" s="701"/>
    </row>
    <row r="78" spans="1:9" s="728" customFormat="1" ht="12" customHeight="1" thickTop="1" thickBot="1" x14ac:dyDescent="0.25">
      <c r="A78" s="1450"/>
      <c r="B78" s="1448"/>
      <c r="C78" s="1445"/>
      <c r="D78" s="1449" t="s">
        <v>2012</v>
      </c>
      <c r="E78" s="1447"/>
      <c r="F78" s="1788">
        <f>(F14-F77)</f>
        <v>5247998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500.3</v>
      </c>
      <c r="G79" s="733"/>
      <c r="H79" s="705"/>
      <c r="I79" s="705"/>
    </row>
    <row r="80" spans="1:9" s="728" customFormat="1" ht="12" customHeight="1" thickBot="1" x14ac:dyDescent="0.25">
      <c r="A80" s="1452"/>
      <c r="B80" s="1448"/>
      <c r="C80" s="1445"/>
      <c r="D80" s="1449" t="s">
        <v>2013</v>
      </c>
      <c r="E80" s="1447" t="s">
        <v>952</v>
      </c>
      <c r="F80" s="1790">
        <f>IF(F79&gt;0,F78/F79," Complete Line 79")</f>
        <v>10489.702178692783</v>
      </c>
      <c r="G80" s="705"/>
    </row>
    <row r="81" spans="1:7" s="728" customFormat="1" ht="8.25" customHeight="1" thickTop="1" x14ac:dyDescent="0.2">
      <c r="A81" s="734"/>
      <c r="B81" s="705"/>
      <c r="C81" s="707"/>
      <c r="D81" s="735"/>
      <c r="E81" s="704"/>
      <c r="F81" s="1791"/>
      <c r="G81" s="705"/>
    </row>
    <row r="82" spans="1:7" s="728" customFormat="1" ht="12" thickBot="1" x14ac:dyDescent="0.25">
      <c r="A82" s="2394" t="s">
        <v>1096</v>
      </c>
      <c r="B82" s="2395"/>
      <c r="C82" s="2395"/>
      <c r="D82" s="2395"/>
      <c r="E82" s="2395"/>
      <c r="F82" s="239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62310</v>
      </c>
      <c r="G95" s="745"/>
    </row>
    <row r="96" spans="1:7" x14ac:dyDescent="0.2">
      <c r="A96" s="741" t="s">
        <v>139</v>
      </c>
      <c r="B96" s="741" t="s">
        <v>174</v>
      </c>
      <c r="C96" s="743">
        <v>1700</v>
      </c>
      <c r="D96" s="751" t="str">
        <f>'Revenues 9-14'!A82</f>
        <v>Total District/School Activity Income</v>
      </c>
      <c r="E96" s="739"/>
      <c r="F96" s="1793">
        <f>SUM('Revenues 9-14'!C82,'Revenues 9-14'!D82)</f>
        <v>63341</v>
      </c>
      <c r="G96" s="745"/>
    </row>
    <row r="97" spans="1:7" x14ac:dyDescent="0.2">
      <c r="A97" s="741" t="s">
        <v>456</v>
      </c>
      <c r="B97" s="741" t="s">
        <v>175</v>
      </c>
      <c r="C97" s="743">
        <f>'Revenues 9-14'!B84</f>
        <v>1811</v>
      </c>
      <c r="D97" s="744" t="str">
        <f>'Revenues 9-14'!A84</f>
        <v>Rentals - Regular Textbooks</v>
      </c>
      <c r="E97" s="739"/>
      <c r="F97" s="1793">
        <f>'Revenues 9-14'!C84</f>
        <v>39812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9763</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28216</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20552</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1184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4756</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175057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16590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63038</v>
      </c>
      <c r="G125" s="763"/>
    </row>
    <row r="126" spans="1:7" x14ac:dyDescent="0.2">
      <c r="A126" s="760" t="s">
        <v>659</v>
      </c>
      <c r="B126" s="760" t="s">
        <v>1930</v>
      </c>
      <c r="C126" s="765">
        <v>4200</v>
      </c>
      <c r="D126" s="762" t="str">
        <f>'Revenues 9-14'!A198</f>
        <v>Total Food Service</v>
      </c>
      <c r="E126" s="739"/>
      <c r="F126" s="1793">
        <f>SUM('Revenues 9-14'!C198,'Revenues 9-14'!G198)</f>
        <v>86891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245692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30000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52402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3210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29812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14581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947207</v>
      </c>
    </row>
    <row r="176" spans="1:7" ht="12" customHeight="1" x14ac:dyDescent="0.2">
      <c r="A176" s="1443"/>
      <c r="B176" s="1453"/>
      <c r="C176" s="1454"/>
      <c r="D176" s="1455" t="s">
        <v>2014</v>
      </c>
      <c r="E176" s="1456"/>
      <c r="F176" s="1793">
        <f>'PCTC-OEPP 27-28'!F78-F175</f>
        <v>4300791</v>
      </c>
    </row>
    <row r="177" spans="1:9" ht="12" customHeight="1" x14ac:dyDescent="0.2">
      <c r="A177" s="1443"/>
      <c r="B177" s="1453"/>
      <c r="C177" s="1454"/>
      <c r="D177" s="1455" t="s">
        <v>1794</v>
      </c>
      <c r="E177" s="1456"/>
      <c r="F177" s="1793">
        <f>'Cap Outlay Deprec 26'!I18</f>
        <v>236713</v>
      </c>
    </row>
    <row r="178" spans="1:9" ht="12" customHeight="1" x14ac:dyDescent="0.2">
      <c r="A178" s="1443"/>
      <c r="B178" s="1453"/>
      <c r="C178" s="1454"/>
      <c r="D178" s="1455" t="s">
        <v>2015</v>
      </c>
      <c r="E178" s="1456"/>
      <c r="F178" s="1793">
        <f>F176+F177</f>
        <v>4537504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500.3</v>
      </c>
      <c r="G179" s="763"/>
      <c r="I179" s="701"/>
    </row>
    <row r="180" spans="1:9" ht="12" customHeight="1" thickBot="1" x14ac:dyDescent="0.25">
      <c r="A180" s="1443"/>
      <c r="B180" s="1457"/>
      <c r="C180" s="1454"/>
      <c r="D180" s="1455" t="s">
        <v>2017</v>
      </c>
      <c r="E180" s="1456" t="s">
        <v>1528</v>
      </c>
      <c r="F180" s="1798">
        <f>F178/F179</f>
        <v>9069.5662602438533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orizontalCentered="1" headings="1"/>
  <pageMargins left="0.75" right="0.25" top="0.75" bottom="0.5" header="0.5" footer="0.25"/>
  <pageSetup scale="68" firstPageNumber="27" fitToHeight="2" orientation="portrait" useFirstPageNumber="1" r:id="rId2"/>
  <headerFooter differentOddEven="1" alignWithMargins="0">
    <oddHeader>&amp;L&amp;8Page &amp;P&amp;C &amp;R&amp;8Page &amp;P</oddHeader>
    <oddFooter>&amp;L&amp;8Print Date: &amp;D
&amp;F&amp;CReference should be made to auditor's report regarding this information.
47</oddFooter>
    <evenFooter>&amp;CReference should be made to auditor's report regarding this information.
48</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4"/>
  <sheetViews>
    <sheetView showGridLines="0" topLeftCell="A22" zoomScaleNormal="100" workbookViewId="0">
      <selection activeCell="B23" sqref="B23"/>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408" t="s">
        <v>1795</v>
      </c>
      <c r="B4" s="2409"/>
      <c r="C4" s="2409"/>
      <c r="D4" s="2409"/>
      <c r="E4" s="2409"/>
      <c r="F4" s="2410"/>
    </row>
    <row r="5" spans="1:6" x14ac:dyDescent="0.25">
      <c r="A5" s="2411"/>
      <c r="B5" s="2412"/>
      <c r="C5" s="2412"/>
      <c r="D5" s="2412"/>
      <c r="E5" s="2412"/>
      <c r="F5" s="2413"/>
    </row>
    <row r="6" spans="1:6" ht="18.75" x14ac:dyDescent="0.25">
      <c r="A6" s="1867" t="s">
        <v>1796</v>
      </c>
      <c r="B6" s="1868"/>
      <c r="C6" s="1869"/>
      <c r="D6" s="1869"/>
      <c r="E6" s="1869"/>
      <c r="F6" s="1870"/>
    </row>
    <row r="7" spans="1:6" ht="47.25" customHeight="1" x14ac:dyDescent="0.25">
      <c r="A7" s="2414" t="s">
        <v>1985</v>
      </c>
      <c r="B7" s="2415"/>
      <c r="C7" s="2415"/>
      <c r="D7" s="2415"/>
      <c r="E7" s="2415"/>
      <c r="F7" s="2416"/>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417" t="s">
        <v>1981</v>
      </c>
      <c r="B10" s="2418"/>
      <c r="C10" s="2418"/>
      <c r="D10" s="2418"/>
      <c r="E10" s="2418"/>
      <c r="F10" s="2419"/>
    </row>
    <row r="11" spans="1:6" ht="33" customHeight="1" x14ac:dyDescent="0.25">
      <c r="A11" s="2414" t="s">
        <v>1986</v>
      </c>
      <c r="B11" s="2415"/>
      <c r="C11" s="2415"/>
      <c r="D11" s="2415"/>
      <c r="E11" s="2415"/>
      <c r="F11" s="2416"/>
    </row>
    <row r="12" spans="1:6" ht="15" customHeight="1" x14ac:dyDescent="0.25">
      <c r="A12" s="1873" t="s">
        <v>1982</v>
      </c>
      <c r="B12" s="1874"/>
      <c r="C12" s="1875"/>
      <c r="D12" s="1875"/>
      <c r="E12" s="1875"/>
      <c r="F12" s="1876"/>
    </row>
    <row r="13" spans="1:6" ht="17.25" customHeight="1" x14ac:dyDescent="0.25">
      <c r="A13" s="2414" t="s">
        <v>1983</v>
      </c>
      <c r="B13" s="2415"/>
      <c r="C13" s="2415"/>
      <c r="D13" s="2415"/>
      <c r="E13" s="2415"/>
      <c r="F13" s="2416"/>
    </row>
    <row r="14" spans="1:6" ht="15" customHeight="1" x14ac:dyDescent="0.25">
      <c r="A14" s="1873" t="s">
        <v>1800</v>
      </c>
      <c r="B14" s="1874"/>
      <c r="C14" s="1875"/>
      <c r="D14" s="1875"/>
      <c r="E14" s="1875"/>
      <c r="F14" s="1876"/>
    </row>
    <row r="15" spans="1:6" ht="32.25" customHeight="1" x14ac:dyDescent="0.25">
      <c r="A15" s="240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6"/>
      <c r="C15" s="2406"/>
      <c r="D15" s="2406"/>
      <c r="E15" s="2406"/>
      <c r="F15" s="240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49" t="s">
        <v>2149</v>
      </c>
      <c r="B18" s="1907"/>
      <c r="C18" s="1913"/>
      <c r="D18" s="1885"/>
      <c r="E18" s="1905">
        <f t="shared" ref="E18:E25" si="0">IF(D18&lt;25000,D18,"25,000")</f>
        <v>0</v>
      </c>
      <c r="F18" s="1905" t="str">
        <f t="shared" ref="F18:F25"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8"/>
      <c r="C23" s="1888"/>
      <c r="D23" s="1885"/>
      <c r="E23" s="1905">
        <f t="shared" si="0"/>
        <v>0</v>
      </c>
      <c r="F23" s="1905" t="str">
        <f t="shared" si="1"/>
        <v>0</v>
      </c>
    </row>
    <row r="24" spans="1:7" x14ac:dyDescent="0.25">
      <c r="A24" s="1887"/>
      <c r="B24" s="1908"/>
      <c r="C24" s="1888"/>
      <c r="D24" s="1885"/>
      <c r="E24" s="1905">
        <f t="shared" si="0"/>
        <v>0</v>
      </c>
      <c r="F24" s="1905" t="str">
        <f t="shared" si="1"/>
        <v>0</v>
      </c>
    </row>
    <row r="25" spans="1:7" x14ac:dyDescent="0.25">
      <c r="A25" s="1887"/>
      <c r="B25" s="1908"/>
      <c r="C25" s="1888"/>
      <c r="D25" s="1885"/>
      <c r="E25" s="1905">
        <f t="shared" si="0"/>
        <v>0</v>
      </c>
      <c r="F25" s="1905" t="str">
        <f t="shared" si="1"/>
        <v>0</v>
      </c>
    </row>
    <row r="26" spans="1:7" x14ac:dyDescent="0.25">
      <c r="A26" s="1887"/>
      <c r="B26" s="1908"/>
      <c r="C26" s="1888"/>
      <c r="D26" s="1885"/>
      <c r="E26" s="1905">
        <f t="shared" ref="E26:E33" si="2">IF(D26&lt;25000,D26,"25,000")</f>
        <v>0</v>
      </c>
      <c r="F26" s="1905" t="str">
        <f t="shared" ref="F26:F33" si="3">IF(D26&gt;=25000,(D26-E26),"0")</f>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9"/>
      <c r="C33" s="1888"/>
      <c r="D33" s="1885"/>
      <c r="E33" s="1905">
        <f t="shared" si="2"/>
        <v>0</v>
      </c>
      <c r="F33" s="1905" t="str">
        <f t="shared" si="3"/>
        <v>0</v>
      </c>
    </row>
    <row r="34" spans="1:6" x14ac:dyDescent="0.25">
      <c r="A34" s="1889" t="s">
        <v>155</v>
      </c>
      <c r="B34" s="1910"/>
      <c r="C34" s="1890"/>
      <c r="D34" s="1891">
        <f>SUM(D18:D33)</f>
        <v>0</v>
      </c>
      <c r="E34" s="1892">
        <f>SUM(E18:E33)</f>
        <v>0</v>
      </c>
      <c r="F34" s="1893">
        <f>SUM(F18:F33)</f>
        <v>0</v>
      </c>
    </row>
  </sheetData>
  <sheetProtection selectLockedCells="1"/>
  <mergeCells count="6">
    <mergeCell ref="A15:F15"/>
    <mergeCell ref="A4:F5"/>
    <mergeCell ref="A7:F7"/>
    <mergeCell ref="A10:F10"/>
    <mergeCell ref="A11:F11"/>
    <mergeCell ref="A13:F13"/>
  </mergeCells>
  <printOptions horizontalCentered="1"/>
  <pageMargins left="0.5" right="0.5" top="1.1499999999999999" bottom="0.75" header="1" footer="0.5"/>
  <pageSetup scale="78" firstPageNumber="30" fitToHeight="0" orientation="landscape" r:id="rId1"/>
  <headerFooter>
    <oddHeader>&amp;RPage 29</oddHeader>
    <oddFooter>&amp;CReference should be made to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20" t="s">
        <v>1660</v>
      </c>
      <c r="B5" s="2421"/>
      <c r="C5" s="2421"/>
      <c r="D5" s="2421"/>
      <c r="E5" s="2421"/>
      <c r="F5" s="2421"/>
      <c r="G5" s="242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171749</v>
      </c>
      <c r="F10" s="805"/>
      <c r="G10" s="806"/>
      <c r="H10" s="157"/>
      <c r="I10" s="157"/>
    </row>
    <row r="11" spans="1:13" s="542" customFormat="1" ht="22.5" customHeight="1" x14ac:dyDescent="0.2">
      <c r="A11" s="242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6"/>
      <c r="C11" s="2426"/>
      <c r="D11" s="2427"/>
      <c r="E11" s="1801">
        <v>18961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2931358</v>
      </c>
      <c r="F19" s="1802"/>
      <c r="G19" s="1804">
        <f>'Expenditures 15-22'!K33-SUM('Expenditures 15-22'!G33,'Expenditures 15-22'!I33)+'Expenditures 15-22'!D229</f>
        <v>2931358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451199</v>
      </c>
      <c r="F21" s="1805"/>
      <c r="G21" s="1808">
        <f>'Expenditures 15-22'!K42-SUM('Expenditures 15-22'!G42,'Expenditures 15-22'!I42)+'Expenditures 15-22'!K120-SUM('Expenditures 15-22'!G120,'Expenditures 15-22'!I120)+'Expenditures 15-22'!K180-SUM('Expenditures 15-22'!G180,'Expenditures 15-22'!I180)+'Expenditures 15-22'!D238</f>
        <v>451199</v>
      </c>
      <c r="H21" s="817"/>
      <c r="I21" s="157"/>
    </row>
    <row r="22" spans="1:9" s="542" customFormat="1" ht="12" customHeight="1" x14ac:dyDescent="0.2">
      <c r="A22" s="824" t="s">
        <v>560</v>
      </c>
      <c r="B22" s="825"/>
      <c r="C22" s="823">
        <v>2200</v>
      </c>
      <c r="D22" s="1805"/>
      <c r="E22" s="1807">
        <f>'Expenditures 15-22'!K47-SUM('Expenditures 15-22'!G47,'Expenditures 15-22'!I47)+'Expenditures 15-22'!D243</f>
        <v>131183</v>
      </c>
      <c r="F22" s="1805"/>
      <c r="G22" s="1808">
        <f>'Expenditures 15-22'!K47-SUM('Expenditures 15-22'!G47,'Expenditures 15-22'!I47)+'Expenditures 15-22'!D243</f>
        <v>131183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234753</v>
      </c>
      <c r="F23" s="1805"/>
      <c r="G23" s="1807">
        <f>'Expenditures 15-22'!K53-SUM('Expenditures 15-22'!G53,'Expenditures 15-22'!I53)+'Expenditures 15-22'!D257+'Expenditures 15-22'!K330-SUM('Expenditures 15-22'!G330,'Expenditures 15-22'!I330)</f>
        <v>234753</v>
      </c>
      <c r="H23" s="817"/>
      <c r="I23" s="157"/>
    </row>
    <row r="24" spans="1:9" s="542" customFormat="1" ht="12" customHeight="1" x14ac:dyDescent="0.2">
      <c r="A24" s="824" t="s">
        <v>562</v>
      </c>
      <c r="B24" s="825"/>
      <c r="C24" s="823">
        <v>2400</v>
      </c>
      <c r="D24" s="1805"/>
      <c r="E24" s="1807">
        <f>'Expenditures 15-22'!K57-SUM('Expenditures 15-22'!G57,'Expenditures 15-22'!I57)+'Expenditures 15-22'!D261</f>
        <v>261539</v>
      </c>
      <c r="F24" s="1805"/>
      <c r="G24" s="1808">
        <f>'Expenditures 15-22'!K57-SUM('Expenditures 15-22'!G57,'Expenditures 15-22'!I57)+'Expenditures 15-22'!D261</f>
        <v>261539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77168</v>
      </c>
      <c r="E27" s="1807">
        <f>E8</f>
        <v>0</v>
      </c>
      <c r="F27" s="1807">
        <f>'Expenditures 15-22'!K60-SUM('Expenditures 15-22'!G60,'Expenditures 15-22'!I60)+'Expenditures 15-22'!D264-E8</f>
        <v>77168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614434</v>
      </c>
      <c r="F28" s="1809">
        <f>'Expenditures 15-22'!K61-SUM('Expenditures 15-22'!G61,'Expenditures 15-22'!I61)+'Expenditures 15-22'!K124-SUM('Expenditures 15-22'!G124,'Expenditures 15-22'!I124)+'Expenditures 15-22'!D266-E9</f>
        <v>614434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406382</v>
      </c>
      <c r="F29" s="1805"/>
      <c r="G29" s="1808">
        <f>'Expenditures 15-22'!K62-SUM('Expenditures 15-22'!G62,'Expenditures 15-22'!I62)+'Expenditures 15-22'!K125-SUM('Expenditures 15-22'!G125,'Expenditures 15-22'!I125)+'Expenditures 15-22'!K182-SUM('Expenditures 15-22'!G182,'Expenditures 15-22'!I182)+'Expenditures 15-22'!D267</f>
        <v>406382</v>
      </c>
      <c r="H29" s="815"/>
    </row>
    <row r="30" spans="1:9" ht="12" customHeight="1" x14ac:dyDescent="0.2">
      <c r="A30" s="824" t="s">
        <v>100</v>
      </c>
      <c r="B30" s="827"/>
      <c r="C30" s="823">
        <v>2560</v>
      </c>
      <c r="D30" s="1805"/>
      <c r="E30" s="1807">
        <f>'Expenditures 15-22'!K63-SUM('Expenditures 15-22'!G63,'Expenditures 15-22'!I63)+'Expenditures 15-22'!D268-E10</f>
        <v>-15961</v>
      </c>
      <c r="F30" s="1805"/>
      <c r="G30" s="1807">
        <f>'Expenditures 15-22'!K63-SUM('Expenditures 15-22'!G63,'Expenditures 15-22'!I63)+'Expenditures 15-22'!D268-E10</f>
        <v>-15961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29'!F34</f>
        <v>0</v>
      </c>
      <c r="F40" s="1805"/>
      <c r="G40" s="1809">
        <f>-'Contracts Paid in CY 29'!F34</f>
        <v>0</v>
      </c>
    </row>
    <row r="41" spans="1:7" ht="12" customHeight="1" x14ac:dyDescent="0.2">
      <c r="A41" s="828" t="s">
        <v>155</v>
      </c>
      <c r="B41" s="829"/>
      <c r="C41" s="830"/>
      <c r="D41" s="1809">
        <f>SUM(D19:D39)</f>
        <v>77168</v>
      </c>
      <c r="E41" s="1809">
        <f>SUM(E19:E40)</f>
        <v>5014887</v>
      </c>
      <c r="F41" s="1809">
        <f>SUM(F19:F39)</f>
        <v>691602</v>
      </c>
      <c r="G41" s="1809">
        <f>SUM(G19:G40)</f>
        <v>4400453</v>
      </c>
    </row>
    <row r="42" spans="1:7" x14ac:dyDescent="0.2">
      <c r="A42" s="817"/>
      <c r="B42" s="157"/>
      <c r="C42" s="831"/>
      <c r="D42" s="2423" t="s">
        <v>519</v>
      </c>
      <c r="E42" s="2424"/>
      <c r="F42" s="832" t="s">
        <v>520</v>
      </c>
      <c r="G42" s="833"/>
    </row>
    <row r="43" spans="1:7" ht="12" customHeight="1" x14ac:dyDescent="0.2">
      <c r="A43" s="817"/>
      <c r="B43" s="157"/>
      <c r="C43" s="831"/>
      <c r="D43" s="1458" t="s">
        <v>470</v>
      </c>
      <c r="E43" s="1810">
        <f>D41</f>
        <v>77168</v>
      </c>
      <c r="F43" s="1458" t="s">
        <v>470</v>
      </c>
      <c r="G43" s="1810">
        <f>F41</f>
        <v>691602</v>
      </c>
    </row>
    <row r="44" spans="1:7" ht="12" customHeight="1" x14ac:dyDescent="0.2">
      <c r="A44" s="817"/>
      <c r="B44" s="157"/>
      <c r="C44" s="831"/>
      <c r="D44" s="1458" t="s">
        <v>471</v>
      </c>
      <c r="E44" s="1810">
        <f>E41</f>
        <v>5014887</v>
      </c>
      <c r="F44" s="1458" t="s">
        <v>471</v>
      </c>
      <c r="G44" s="1810">
        <f>G41</f>
        <v>4400453</v>
      </c>
    </row>
    <row r="45" spans="1:7" ht="12" customHeight="1" x14ac:dyDescent="0.2">
      <c r="A45" s="817"/>
      <c r="B45" s="157"/>
      <c r="C45" s="157"/>
      <c r="D45" s="1459" t="s">
        <v>999</v>
      </c>
      <c r="E45" s="1811">
        <f>(E43/E44)</f>
        <v>1.5387784410695595E-2</v>
      </c>
      <c r="F45" s="1459" t="s">
        <v>999</v>
      </c>
      <c r="G45" s="1811">
        <f>(G43/G44)</f>
        <v>0.15716609176373433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1.35" bottom="0.8" header="1" footer="0.5"/>
  <pageSetup scale="75" firstPageNumber="30" orientation="landscape" useFirstPageNumber="1" r:id="rId1"/>
  <headerFooter alignWithMargins="0">
    <oddHeader>&amp;L&amp;8Page &amp;P&amp;C&amp;"Arial,Bold"
ESTIMATED INDIRECT COST DATA&amp;R&amp;8Page &amp;P</oddHeader>
    <oddFooter>&amp;L&amp;8Print Date:  &amp;D
&amp;F&amp;CReference should be made to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30" sqref="F3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42" t="s">
        <v>1363</v>
      </c>
      <c r="B1" s="2442"/>
      <c r="C1" s="2442"/>
      <c r="D1" s="2442"/>
      <c r="E1" s="2442"/>
      <c r="F1" s="244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43" t="s">
        <v>1529</v>
      </c>
      <c r="B5" s="2444"/>
      <c r="C5" s="2445"/>
      <c r="D5" s="2445"/>
      <c r="E5" s="2445"/>
      <c r="F5" s="2445"/>
      <c r="G5" s="1507"/>
      <c r="L5" s="1507"/>
      <c r="M5" s="1855"/>
      <c r="N5" s="1855"/>
      <c r="O5" s="1855"/>
    </row>
    <row r="6" spans="1:15" ht="12" customHeight="1" x14ac:dyDescent="0.25">
      <c r="A6" s="1480"/>
      <c r="B6" s="1481"/>
      <c r="C6" s="2446" t="str">
        <f>COVER!A17</f>
        <v xml:space="preserve">  Tri City CUSD 1</v>
      </c>
      <c r="D6" s="2446"/>
      <c r="E6" s="2446"/>
      <c r="F6" s="1482"/>
      <c r="G6" s="1507"/>
      <c r="L6" s="1507"/>
      <c r="M6" s="1855"/>
      <c r="N6" s="1855"/>
      <c r="O6" s="1855"/>
    </row>
    <row r="7" spans="1:15" ht="11.25" customHeight="1" thickBot="1" x14ac:dyDescent="0.3">
      <c r="A7" s="1480"/>
      <c r="B7" s="1481"/>
      <c r="C7" s="2447">
        <f>COVER!A13</f>
        <v>51084001026</v>
      </c>
      <c r="D7" s="2447"/>
      <c r="E7" s="244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2061</v>
      </c>
      <c r="D19" s="1495" t="s">
        <v>2061</v>
      </c>
      <c r="E19" s="1498" t="s">
        <v>2061</v>
      </c>
      <c r="F19" s="1497" t="s">
        <v>2142</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2061</v>
      </c>
      <c r="D26" s="1495" t="s">
        <v>2061</v>
      </c>
      <c r="E26" s="1498" t="s">
        <v>2061</v>
      </c>
      <c r="F26" s="1497" t="s">
        <v>2143</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2061</v>
      </c>
      <c r="D31" s="1495" t="s">
        <v>2061</v>
      </c>
      <c r="E31" s="1498" t="s">
        <v>2061</v>
      </c>
      <c r="F31" s="1497" t="s">
        <v>2144</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2061</v>
      </c>
      <c r="D33" s="1495" t="s">
        <v>2061</v>
      </c>
      <c r="E33" s="1498" t="s">
        <v>2061</v>
      </c>
      <c r="F33" s="1497" t="s">
        <v>2145</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15</v>
      </c>
      <c r="K34" s="1507">
        <f>SUM(H34:J34)</f>
        <v>45</v>
      </c>
      <c r="L34" s="1507"/>
      <c r="M34" s="1855"/>
      <c r="N34" s="1855"/>
      <c r="O34" s="1855"/>
    </row>
    <row r="35" spans="1:15" ht="12" customHeight="1" x14ac:dyDescent="0.2">
      <c r="A35" s="1500" t="s">
        <v>1376</v>
      </c>
      <c r="B35" s="1501"/>
      <c r="C35" s="2448"/>
      <c r="D35" s="2448"/>
      <c r="E35" s="2448"/>
      <c r="F35" s="2449"/>
    </row>
    <row r="36" spans="1:15" ht="12" customHeight="1" x14ac:dyDescent="0.2">
      <c r="A36" s="2431"/>
      <c r="B36" s="2432"/>
      <c r="C36" s="2432"/>
      <c r="D36" s="2432"/>
      <c r="E36" s="2432"/>
      <c r="F36" s="2433"/>
    </row>
    <row r="37" spans="1:15" ht="12" customHeight="1" x14ac:dyDescent="0.2">
      <c r="A37" s="2431"/>
      <c r="B37" s="2432"/>
      <c r="C37" s="2432"/>
      <c r="D37" s="2432"/>
      <c r="E37" s="2432"/>
      <c r="F37" s="2433"/>
    </row>
    <row r="38" spans="1:15" ht="12" customHeight="1" x14ac:dyDescent="0.2">
      <c r="A38" s="2434"/>
      <c r="B38" s="2435"/>
      <c r="C38" s="2435"/>
      <c r="D38" s="2435"/>
      <c r="E38" s="2435"/>
      <c r="F38" s="2436"/>
    </row>
    <row r="39" spans="1:15" ht="4.5" hidden="1" customHeight="1" x14ac:dyDescent="0.2">
      <c r="A39" s="1502"/>
      <c r="B39" s="1502"/>
      <c r="C39" s="1502"/>
      <c r="D39" s="1502"/>
      <c r="E39" s="1502"/>
      <c r="F39" s="1502"/>
    </row>
    <row r="40" spans="1:15" s="1499" customFormat="1" ht="12" customHeight="1" x14ac:dyDescent="0.25">
      <c r="A40" s="1503" t="s">
        <v>1375</v>
      </c>
      <c r="B40" s="1504"/>
      <c r="C40" s="2437"/>
      <c r="D40" s="2437"/>
      <c r="E40" s="2437"/>
      <c r="F40" s="2438"/>
      <c r="H40" s="1508"/>
      <c r="I40" s="1508"/>
      <c r="J40" s="1508"/>
      <c r="K40" s="1508"/>
    </row>
    <row r="41" spans="1:15" s="1499" customFormat="1" ht="12" customHeight="1" x14ac:dyDescent="0.25">
      <c r="A41" s="2439"/>
      <c r="B41" s="2440"/>
      <c r="C41" s="2440"/>
      <c r="D41" s="2440"/>
      <c r="E41" s="2440"/>
      <c r="F41" s="2441"/>
      <c r="H41" s="1508"/>
      <c r="I41" s="1508"/>
      <c r="J41" s="1508"/>
      <c r="K41" s="1508"/>
    </row>
    <row r="42" spans="1:15" s="1499" customFormat="1" ht="12" customHeight="1" x14ac:dyDescent="0.25">
      <c r="A42" s="2439"/>
      <c r="B42" s="2440"/>
      <c r="C42" s="2440"/>
      <c r="D42" s="2440"/>
      <c r="E42" s="2440"/>
      <c r="F42" s="2441"/>
      <c r="H42" s="1508"/>
      <c r="I42" s="1508"/>
      <c r="J42" s="1508"/>
      <c r="K42" s="1508"/>
    </row>
    <row r="43" spans="1:15" s="1499" customFormat="1" ht="15" x14ac:dyDescent="0.25">
      <c r="A43" s="2428"/>
      <c r="B43" s="2429"/>
      <c r="C43" s="2429"/>
      <c r="D43" s="2429"/>
      <c r="E43" s="2429"/>
      <c r="F43" s="2430"/>
      <c r="H43" s="1508"/>
      <c r="I43" s="1508"/>
      <c r="J43" s="1508"/>
      <c r="K43" s="1508"/>
    </row>
    <row r="44" spans="1:15" s="1499" customFormat="1" ht="12" hidden="1" customHeight="1" x14ac:dyDescent="0.25">
      <c r="A44" s="2428"/>
      <c r="B44" s="2429"/>
      <c r="C44" s="2429"/>
      <c r="D44" s="2429"/>
      <c r="E44" s="2429"/>
      <c r="F44" s="243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5" right="0.5" top="1" bottom="0.75" header="1" footer="0.5"/>
  <pageSetup scale="80" orientation="landscape" r:id="rId1"/>
  <headerFooter>
    <oddFooter>&amp;L&amp;8Page 31&amp;CReference should be made to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topLeftCell="A37" zoomScaleNormal="100" workbookViewId="0">
      <selection activeCell="M66" sqref="M66"/>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68" t="str">
        <f>COVER!A17</f>
        <v xml:space="preserve">  Tri City CUSD 1</v>
      </c>
      <c r="K6" s="2468"/>
      <c r="L6" s="2482"/>
      <c r="M6" s="838"/>
      <c r="N6" s="1998"/>
    </row>
    <row r="7" spans="1:14" x14ac:dyDescent="0.2">
      <c r="A7" s="2483" t="s">
        <v>864</v>
      </c>
      <c r="B7" s="2484"/>
      <c r="C7" s="2484"/>
      <c r="D7" s="2484"/>
      <c r="E7" s="2485"/>
      <c r="F7" s="839"/>
      <c r="G7" s="838"/>
      <c r="H7" s="838"/>
      <c r="I7" s="1924" t="s">
        <v>369</v>
      </c>
      <c r="J7" s="2470">
        <f>COVER!A13</f>
        <v>51084001026</v>
      </c>
      <c r="K7" s="2470"/>
      <c r="L7" s="2470"/>
      <c r="M7" s="838"/>
      <c r="N7" s="1998"/>
    </row>
    <row r="8" spans="1:14" x14ac:dyDescent="0.2">
      <c r="A8" s="2000"/>
      <c r="B8" s="1925"/>
      <c r="C8" s="1925"/>
      <c r="D8" s="1925"/>
      <c r="E8" s="1926"/>
      <c r="F8" s="1927"/>
      <c r="G8" s="1911"/>
      <c r="H8" s="1911"/>
      <c r="I8" s="1911"/>
      <c r="J8" s="1911"/>
      <c r="K8" s="1911"/>
      <c r="L8" s="1911"/>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86" t="s">
        <v>478</v>
      </c>
      <c r="B11" s="2487"/>
      <c r="C11" s="248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150959</v>
      </c>
      <c r="F12" s="1942"/>
      <c r="G12" s="1968">
        <f>G68</f>
        <v>0</v>
      </c>
      <c r="H12" s="1944">
        <f t="shared" ref="H12:H18" si="0">SUM(E12:G12)</f>
        <v>150959</v>
      </c>
      <c r="I12" s="1943">
        <v>99975</v>
      </c>
      <c r="J12" s="1942"/>
      <c r="K12" s="1943">
        <v>24176</v>
      </c>
      <c r="L12" s="1944">
        <f t="shared" ref="L12:L18" si="1">SUM(I12:K12)</f>
        <v>124151</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89" t="s">
        <v>7</v>
      </c>
      <c r="C18" s="2490"/>
      <c r="D18" s="249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150959</v>
      </c>
      <c r="F19" s="1950">
        <f t="shared" si="2"/>
        <v>0</v>
      </c>
      <c r="G19" s="1950">
        <f t="shared" ref="G19" si="3">SUM(G12:G17)-G18</f>
        <v>0</v>
      </c>
      <c r="H19" s="1950">
        <f t="shared" si="2"/>
        <v>150959</v>
      </c>
      <c r="I19" s="1950">
        <f t="shared" si="2"/>
        <v>99975</v>
      </c>
      <c r="J19" s="1950">
        <f t="shared" si="2"/>
        <v>0</v>
      </c>
      <c r="K19" s="1950">
        <f t="shared" si="2"/>
        <v>24176</v>
      </c>
      <c r="L19" s="1950">
        <f t="shared" si="2"/>
        <v>124151</v>
      </c>
      <c r="M19" s="838"/>
      <c r="N19" s="1998"/>
    </row>
    <row r="20" spans="1:14" ht="13.5" thickTop="1" x14ac:dyDescent="0.2">
      <c r="A20" s="2003">
        <v>9</v>
      </c>
      <c r="B20" s="2492" t="s">
        <v>2021</v>
      </c>
      <c r="C20" s="2492"/>
      <c r="D20" s="2493"/>
      <c r="E20" s="1951"/>
      <c r="F20" s="1951"/>
      <c r="G20" s="1951"/>
      <c r="H20" s="1951"/>
      <c r="I20" s="1951"/>
      <c r="J20" s="1951"/>
      <c r="K20" s="1951"/>
      <c r="L20" s="1952">
        <f>IF(AND(H19&gt;0,L19&gt;0),(((L19-H19)/H19)),"Enter Budget Data")</f>
        <v>-0.17758464218761386</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94"/>
      <c r="D27" s="2494"/>
      <c r="E27" s="843"/>
      <c r="F27" s="2495">
        <v>44119</v>
      </c>
      <c r="G27" s="2495"/>
      <c r="H27" s="2495"/>
      <c r="I27" s="838"/>
      <c r="J27" s="838"/>
      <c r="K27" s="838"/>
      <c r="L27" s="838"/>
      <c r="M27" s="838"/>
      <c r="N27" s="1998"/>
    </row>
    <row r="28" spans="1:14" x14ac:dyDescent="0.2">
      <c r="A28" s="1997"/>
      <c r="B28" s="2007"/>
      <c r="C28" s="1957" t="s">
        <v>1026</v>
      </c>
      <c r="D28" s="844"/>
      <c r="E28" s="1958"/>
      <c r="F28" s="2496" t="s">
        <v>1492</v>
      </c>
      <c r="G28" s="2496"/>
      <c r="H28" s="2496"/>
      <c r="I28" s="838"/>
      <c r="J28" s="838"/>
      <c r="K28" s="838"/>
      <c r="L28" s="838"/>
      <c r="M28" s="838"/>
      <c r="N28" s="1998"/>
    </row>
    <row r="29" spans="1:14" x14ac:dyDescent="0.2">
      <c r="A29" s="1997"/>
      <c r="B29" s="2007"/>
      <c r="C29" s="2497" t="s">
        <v>2068</v>
      </c>
      <c r="D29" s="2497"/>
      <c r="E29" s="845"/>
      <c r="F29" s="2497" t="s">
        <v>2069</v>
      </c>
      <c r="G29" s="2497"/>
      <c r="H29" s="2497"/>
      <c r="I29" s="838"/>
      <c r="J29" s="838"/>
      <c r="K29" s="838"/>
      <c r="L29" s="838"/>
      <c r="M29" s="838"/>
      <c r="N29" s="1998"/>
    </row>
    <row r="30" spans="1:14" x14ac:dyDescent="0.2">
      <c r="A30" s="1997"/>
      <c r="B30" s="2007"/>
      <c r="C30" s="1960" t="s">
        <v>1544</v>
      </c>
      <c r="D30" s="838"/>
      <c r="E30" s="1959"/>
      <c r="F30" s="2481" t="s">
        <v>1493</v>
      </c>
      <c r="G30" s="2481"/>
      <c r="H30" s="248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58" t="s">
        <v>2024</v>
      </c>
      <c r="D34" s="2459"/>
      <c r="E34" s="2459"/>
      <c r="F34" s="2459"/>
      <c r="G34" s="2459"/>
      <c r="H34" s="2459"/>
      <c r="I34" s="2459"/>
      <c r="J34" s="2459"/>
      <c r="K34" s="2016"/>
      <c r="L34" s="838"/>
      <c r="M34" s="838"/>
      <c r="N34" s="1998"/>
    </row>
    <row r="35" spans="1:14" x14ac:dyDescent="0.2">
      <c r="A35" s="1997"/>
      <c r="B35" s="838"/>
      <c r="C35" s="2459"/>
      <c r="D35" s="2459"/>
      <c r="E35" s="2459"/>
      <c r="F35" s="2459"/>
      <c r="G35" s="2459"/>
      <c r="H35" s="2459"/>
      <c r="I35" s="2459"/>
      <c r="J35" s="245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58" t="s">
        <v>2025</v>
      </c>
      <c r="D37" s="2459"/>
      <c r="E37" s="2459"/>
      <c r="F37" s="2459"/>
      <c r="G37" s="2459"/>
      <c r="H37" s="2459"/>
      <c r="I37" s="2459"/>
      <c r="J37" s="2459"/>
      <c r="K37" s="2016"/>
      <c r="L37" s="2018"/>
      <c r="M37" s="838"/>
      <c r="N37" s="1998"/>
    </row>
    <row r="38" spans="1:14" x14ac:dyDescent="0.2">
      <c r="A38" s="1997"/>
      <c r="B38" s="838"/>
      <c r="C38" s="2459"/>
      <c r="D38" s="2459"/>
      <c r="E38" s="2459"/>
      <c r="F38" s="2459"/>
      <c r="G38" s="2459"/>
      <c r="H38" s="2459"/>
      <c r="I38" s="2459"/>
      <c r="J38" s="245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60" t="s">
        <v>2026</v>
      </c>
      <c r="D40" s="2461"/>
      <c r="E40" s="2461"/>
      <c r="F40" s="2461"/>
      <c r="G40" s="2461"/>
      <c r="H40" s="2461"/>
      <c r="I40" s="2461"/>
      <c r="J40" s="246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62" t="s">
        <v>2027</v>
      </c>
      <c r="B43" s="2463"/>
      <c r="C43" s="2463"/>
      <c r="D43" s="2463"/>
      <c r="E43" s="2463"/>
      <c r="F43" s="2463"/>
      <c r="G43" s="2463"/>
      <c r="H43" s="2463"/>
      <c r="I43" s="2463"/>
      <c r="J43" s="2463"/>
      <c r="K43" s="2463"/>
      <c r="L43" s="2463"/>
      <c r="M43" s="2463"/>
      <c r="N43" s="246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65" t="s">
        <v>2029</v>
      </c>
      <c r="B46" s="2466"/>
      <c r="C46" s="2466"/>
      <c r="D46" s="2466"/>
      <c r="E46" s="2466"/>
      <c r="F46" s="2466"/>
      <c r="G46" s="2466"/>
      <c r="H46" s="2466"/>
      <c r="I46" s="2466"/>
      <c r="J46" s="2466"/>
      <c r="K46" s="2466"/>
      <c r="L46" s="2466"/>
      <c r="M46" s="2466"/>
      <c r="N46" s="2467"/>
    </row>
    <row r="47" spans="1:14" x14ac:dyDescent="0.2">
      <c r="A47" s="2465"/>
      <c r="B47" s="2466"/>
      <c r="C47" s="2466"/>
      <c r="D47" s="2466"/>
      <c r="E47" s="2466"/>
      <c r="F47" s="2466"/>
      <c r="G47" s="2466"/>
      <c r="H47" s="2466"/>
      <c r="I47" s="2466"/>
      <c r="J47" s="2466"/>
      <c r="K47" s="2466"/>
      <c r="L47" s="2466"/>
      <c r="M47" s="2466"/>
      <c r="N47" s="246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68" t="str">
        <f>J6</f>
        <v xml:space="preserve">  Tri City CUSD 1</v>
      </c>
      <c r="M52" s="2468"/>
      <c r="N52" s="2469"/>
    </row>
    <row r="53" spans="1:14" x14ac:dyDescent="0.2">
      <c r="A53" s="1982"/>
      <c r="B53" s="1983"/>
      <c r="C53" s="1983"/>
      <c r="D53" s="1983"/>
      <c r="E53" s="1983"/>
      <c r="F53" s="1983"/>
      <c r="G53" s="1983"/>
      <c r="H53" s="1983"/>
      <c r="I53" s="1983"/>
      <c r="J53" s="1983"/>
      <c r="K53" s="1924" t="s">
        <v>369</v>
      </c>
      <c r="L53" s="2470">
        <f>J7</f>
        <v>51084001026</v>
      </c>
      <c r="M53" s="2470"/>
      <c r="N53" s="247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72"/>
      <c r="B55" s="2473"/>
      <c r="C55" s="2473"/>
      <c r="D55" s="1970"/>
      <c r="E55" s="1970"/>
      <c r="F55" s="1970"/>
      <c r="G55" s="2474" t="s">
        <v>2030</v>
      </c>
      <c r="H55" s="2474"/>
      <c r="I55" s="2474"/>
      <c r="J55" s="2474"/>
      <c r="K55" s="2474"/>
      <c r="L55" s="2474"/>
      <c r="M55" s="2474"/>
      <c r="N55" s="2475"/>
    </row>
    <row r="56" spans="1:14" ht="63.75" x14ac:dyDescent="0.2">
      <c r="A56" s="2476" t="s">
        <v>2031</v>
      </c>
      <c r="B56" s="2477"/>
      <c r="C56" s="247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79" t="s">
        <v>296</v>
      </c>
      <c r="B57" s="2480"/>
      <c r="C57" s="248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56" t="s">
        <v>2041</v>
      </c>
      <c r="B58" s="2457"/>
      <c r="C58" s="245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50" t="s">
        <v>297</v>
      </c>
      <c r="B59" s="2451"/>
      <c r="C59" s="245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50" t="s">
        <v>236</v>
      </c>
      <c r="B60" s="2451"/>
      <c r="C60" s="245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50" t="s">
        <v>697</v>
      </c>
      <c r="B61" s="2451"/>
      <c r="C61" s="2451"/>
      <c r="D61" s="1967">
        <v>2365</v>
      </c>
      <c r="E61" s="1977">
        <f>'Expenditures 15-22'!K323</f>
        <v>0</v>
      </c>
      <c r="F61" s="1972"/>
      <c r="G61" s="2031"/>
      <c r="H61" s="2032"/>
      <c r="I61" s="2032"/>
      <c r="J61" s="2032"/>
      <c r="K61" s="2032"/>
      <c r="L61" s="2032"/>
      <c r="M61" s="2032"/>
      <c r="N61" s="1975">
        <f t="shared" si="4"/>
        <v>0</v>
      </c>
    </row>
    <row r="62" spans="1:14" ht="24" customHeight="1" x14ac:dyDescent="0.2">
      <c r="A62" s="2450" t="s">
        <v>237</v>
      </c>
      <c r="B62" s="2451"/>
      <c r="C62" s="2451"/>
      <c r="D62" s="1967">
        <v>2366</v>
      </c>
      <c r="E62" s="1977">
        <f>'Expenditures 15-22'!K324</f>
        <v>0</v>
      </c>
      <c r="F62" s="1972"/>
      <c r="G62" s="2031"/>
      <c r="H62" s="2032"/>
      <c r="I62" s="2032"/>
      <c r="J62" s="2032"/>
      <c r="K62" s="2032"/>
      <c r="L62" s="2032"/>
      <c r="M62" s="2032"/>
      <c r="N62" s="1975">
        <f t="shared" si="4"/>
        <v>0</v>
      </c>
    </row>
    <row r="63" spans="1:14" ht="24" customHeight="1" x14ac:dyDescent="0.2">
      <c r="A63" s="2456" t="s">
        <v>1022</v>
      </c>
      <c r="B63" s="2457"/>
      <c r="C63" s="2457"/>
      <c r="D63" s="1967">
        <v>2367</v>
      </c>
      <c r="E63" s="1977">
        <f>'Expenditures 15-22'!K325</f>
        <v>0</v>
      </c>
      <c r="F63" s="1972"/>
      <c r="G63" s="2031"/>
      <c r="H63" s="2032"/>
      <c r="I63" s="2032"/>
      <c r="J63" s="2032"/>
      <c r="K63" s="2032"/>
      <c r="L63" s="2032"/>
      <c r="M63" s="2032"/>
      <c r="N63" s="1975">
        <f t="shared" si="4"/>
        <v>0</v>
      </c>
    </row>
    <row r="64" spans="1:14" ht="24" customHeight="1" x14ac:dyDescent="0.2">
      <c r="A64" s="2450" t="s">
        <v>1023</v>
      </c>
      <c r="B64" s="2451"/>
      <c r="C64" s="2451"/>
      <c r="D64" s="1967">
        <v>2368</v>
      </c>
      <c r="E64" s="1977">
        <f>'Expenditures 15-22'!K326</f>
        <v>0</v>
      </c>
      <c r="F64" s="1972"/>
      <c r="G64" s="2031"/>
      <c r="H64" s="2032"/>
      <c r="I64" s="2032"/>
      <c r="J64" s="2032"/>
      <c r="K64" s="2032"/>
      <c r="L64" s="2032"/>
      <c r="M64" s="2032"/>
      <c r="N64" s="1975">
        <f t="shared" si="4"/>
        <v>0</v>
      </c>
    </row>
    <row r="65" spans="1:14" ht="24" customHeight="1" x14ac:dyDescent="0.2">
      <c r="A65" s="2450" t="s">
        <v>965</v>
      </c>
      <c r="B65" s="2451"/>
      <c r="C65" s="2451"/>
      <c r="D65" s="1967">
        <v>2369</v>
      </c>
      <c r="E65" s="1977">
        <f>'Expenditures 15-22'!K327</f>
        <v>13463</v>
      </c>
      <c r="F65" s="1972"/>
      <c r="G65" s="2031"/>
      <c r="H65" s="2032"/>
      <c r="I65" s="2032"/>
      <c r="J65" s="2032"/>
      <c r="K65" s="2032"/>
      <c r="L65" s="2032"/>
      <c r="M65" s="2032">
        <v>13463</v>
      </c>
      <c r="N65" s="1975">
        <f t="shared" si="4"/>
        <v>13463</v>
      </c>
    </row>
    <row r="66" spans="1:14" ht="24" customHeight="1" x14ac:dyDescent="0.2">
      <c r="A66" s="2450" t="s">
        <v>469</v>
      </c>
      <c r="B66" s="2451"/>
      <c r="C66" s="2451"/>
      <c r="D66" s="1967">
        <v>2371</v>
      </c>
      <c r="E66" s="1977">
        <f>'Expenditures 15-22'!K328</f>
        <v>0</v>
      </c>
      <c r="F66" s="1972"/>
      <c r="G66" s="2031"/>
      <c r="H66" s="2032"/>
      <c r="I66" s="2032"/>
      <c r="J66" s="2032"/>
      <c r="K66" s="2032"/>
      <c r="L66" s="2032"/>
      <c r="M66" s="2032"/>
      <c r="N66" s="1975">
        <f t="shared" si="4"/>
        <v>0</v>
      </c>
    </row>
    <row r="67" spans="1:14" ht="24.75" customHeight="1" x14ac:dyDescent="0.2">
      <c r="A67" s="2452" t="s">
        <v>2042</v>
      </c>
      <c r="B67" s="2453"/>
      <c r="C67" s="2453"/>
      <c r="D67" s="1969">
        <v>2372</v>
      </c>
      <c r="E67" s="1978">
        <f>'Expenditures 15-22'!K329</f>
        <v>0</v>
      </c>
      <c r="F67" s="1972"/>
      <c r="G67" s="2033"/>
      <c r="H67" s="2034"/>
      <c r="I67" s="2034"/>
      <c r="J67" s="2034"/>
      <c r="K67" s="2034"/>
      <c r="L67" s="2034"/>
      <c r="M67" s="2034"/>
      <c r="N67" s="1975">
        <f t="shared" si="4"/>
        <v>0</v>
      </c>
    </row>
    <row r="68" spans="1:14" x14ac:dyDescent="0.2">
      <c r="A68" s="2454" t="s">
        <v>1151</v>
      </c>
      <c r="B68" s="2455"/>
      <c r="C68" s="2455"/>
      <c r="D68" s="1970"/>
      <c r="E68" s="1974">
        <f>SUM(E57:E67)</f>
        <v>13463</v>
      </c>
      <c r="F68" s="1973"/>
      <c r="G68" s="1974">
        <f t="shared" ref="G68:N68" si="5">SUM(G57:G67)</f>
        <v>0</v>
      </c>
      <c r="H68" s="1974">
        <f t="shared" si="5"/>
        <v>0</v>
      </c>
      <c r="I68" s="1974">
        <f t="shared" si="5"/>
        <v>0</v>
      </c>
      <c r="J68" s="1974">
        <f t="shared" si="5"/>
        <v>0</v>
      </c>
      <c r="K68" s="1974">
        <f t="shared" si="5"/>
        <v>0</v>
      </c>
      <c r="L68" s="1974">
        <f t="shared" si="5"/>
        <v>0</v>
      </c>
      <c r="M68" s="1974">
        <f t="shared" si="5"/>
        <v>13463</v>
      </c>
      <c r="N68" s="1988">
        <f t="shared" si="5"/>
        <v>13463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rintOptions horizontalCentered="1"/>
  <pageMargins left="0.5" right="0.5" top="1" bottom="0.75" header="0.9" footer="0.5"/>
  <pageSetup scale="68" firstPageNumber="32" fitToHeight="2" orientation="landscape" useFirstPageNumber="1" r:id="rId1"/>
  <headerFooter>
    <oddHeader>&amp;RPage &amp;P</oddHeader>
    <oddFooter>&amp;CReference should be made to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2146</v>
      </c>
    </row>
    <row r="6" spans="1:2" x14ac:dyDescent="0.2">
      <c r="A6" s="847"/>
    </row>
    <row r="7" spans="1:2" x14ac:dyDescent="0.2">
      <c r="A7" s="847">
        <v>2</v>
      </c>
      <c r="B7" s="307" t="s">
        <v>2212</v>
      </c>
    </row>
    <row r="8" spans="1:2" x14ac:dyDescent="0.2">
      <c r="A8" s="847"/>
    </row>
    <row r="9" spans="1:2" x14ac:dyDescent="0.2">
      <c r="A9" s="848">
        <v>3</v>
      </c>
      <c r="B9" s="307" t="s">
        <v>2147</v>
      </c>
    </row>
    <row r="10" spans="1:2" x14ac:dyDescent="0.2">
      <c r="A10" s="848"/>
    </row>
    <row r="11" spans="1:2" x14ac:dyDescent="0.2">
      <c r="A11" s="848">
        <v>4</v>
      </c>
      <c r="B11" s="307" t="s">
        <v>2148</v>
      </c>
    </row>
    <row r="12" spans="1:2" x14ac:dyDescent="0.2">
      <c r="A12" s="848"/>
    </row>
    <row r="13" spans="1:2" x14ac:dyDescent="0.2">
      <c r="A13" s="848">
        <v>5</v>
      </c>
      <c r="B13" s="307" t="s">
        <v>2209</v>
      </c>
    </row>
    <row r="14" spans="1:2" x14ac:dyDescent="0.2">
      <c r="A14" s="848"/>
    </row>
    <row r="15" spans="1:2" x14ac:dyDescent="0.2">
      <c r="A15" s="848">
        <v>6</v>
      </c>
      <c r="B15" s="307" t="s">
        <v>2213</v>
      </c>
    </row>
    <row r="16" spans="1:2" x14ac:dyDescent="0.2">
      <c r="A16" s="848"/>
    </row>
    <row r="17" spans="1:2" x14ac:dyDescent="0.2">
      <c r="A17" s="848">
        <v>7</v>
      </c>
      <c r="B17" s="307" t="s">
        <v>2210</v>
      </c>
    </row>
    <row r="18" spans="1:2" x14ac:dyDescent="0.2">
      <c r="A18" s="848"/>
    </row>
    <row r="19" spans="1:2" x14ac:dyDescent="0.2">
      <c r="A19" s="848">
        <v>8</v>
      </c>
      <c r="B19" s="307" t="s">
        <v>2211</v>
      </c>
    </row>
    <row r="20" spans="1:2" x14ac:dyDescent="0.2">
      <c r="A20" s="848"/>
    </row>
    <row r="21" spans="1:2" x14ac:dyDescent="0.2">
      <c r="A21" s="848"/>
    </row>
    <row r="22" spans="1:2" x14ac:dyDescent="0.2">
      <c r="A22" s="848"/>
    </row>
    <row r="23" spans="1:2" x14ac:dyDescent="0.2">
      <c r="A23" s="848" t="s">
        <v>2063</v>
      </c>
    </row>
    <row r="24" spans="1:2" x14ac:dyDescent="0.2">
      <c r="A24" s="848" t="s">
        <v>2062</v>
      </c>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Tri City CUSD 1</v>
      </c>
    </row>
    <row r="65" spans="2:2" x14ac:dyDescent="0.2">
      <c r="B65" s="849">
        <f>COVER!A13</f>
        <v>51084001026</v>
      </c>
    </row>
  </sheetData>
  <phoneticPr fontId="16" type="noConversion"/>
  <printOptions horizontalCentered="1"/>
  <pageMargins left="1" right="0.75" top="0.75" bottom="0.5" header="0.65" footer="0.25"/>
  <pageSetup scale="75" firstPageNumber="34" orientation="portrait" useFirstPageNumber="1" r:id="rId1"/>
  <headerFooter alignWithMargins="0">
    <oddHeader>&amp;C &amp;R&amp;8Page &amp;P</oddHeader>
    <oddFooter>&amp;CReference should be made to auditor's report regarding this information.
49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84" t="s">
        <v>1056</v>
      </c>
      <c r="B35" s="2184"/>
      <c r="C35" s="2184"/>
      <c r="D35" s="2184"/>
      <c r="E35" s="218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1" t="s">
        <v>686</v>
      </c>
      <c r="B40" s="2181"/>
      <c r="C40" s="2181"/>
      <c r="D40" s="2181"/>
      <c r="E40" s="2181"/>
    </row>
    <row r="41" spans="1:5" x14ac:dyDescent="0.2">
      <c r="A41" s="2182" t="s">
        <v>1591</v>
      </c>
      <c r="B41" s="2182"/>
      <c r="C41" s="2182"/>
      <c r="D41" s="2182"/>
      <c r="E41" s="2182"/>
    </row>
    <row r="42" spans="1:5" ht="12.75" customHeight="1" x14ac:dyDescent="0.2">
      <c r="A42" s="2183" t="s">
        <v>1015</v>
      </c>
      <c r="B42" s="2183"/>
      <c r="C42" s="2183"/>
      <c r="D42" s="2183"/>
      <c r="E42" s="218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rintOptions horizontalCentered="1"/>
  <pageMargins left="1" right="0.75" top="0.75" bottom="0.75" header="0.5" footer="0.5"/>
  <pageSetup scale="70" firstPageNumber="35" orientation="portrait" useFirstPageNumber="1" r:id="rId1"/>
  <headerFooter alignWithMargins="0">
    <oddHeader>&amp;R&amp;8Page &amp;P</oddHeader>
    <oddFooter>&amp;CReference should be made to auditor's report regarding this information.
50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B97CC-A05B-4507-B5DB-348247F41030}">
  <sheetPr>
    <pageSetUpPr fitToPage="1"/>
  </sheetPr>
  <dimension ref="A1:C81"/>
  <sheetViews>
    <sheetView topLeftCell="A52" zoomScaleNormal="100" workbookViewId="0">
      <selection activeCell="C74" sqref="C74"/>
    </sheetView>
  </sheetViews>
  <sheetFormatPr defaultColWidth="9.140625" defaultRowHeight="12.75" x14ac:dyDescent="0.2"/>
  <cols>
    <col min="1" max="1" width="78.42578125" style="2050" customWidth="1"/>
    <col min="2" max="2" width="7.42578125" style="2050" customWidth="1"/>
    <col min="3" max="3" width="15.28515625" style="2067" customWidth="1"/>
    <col min="4" max="244" width="9.140625" style="2050"/>
    <col min="245" max="245" width="78.42578125" style="2050" customWidth="1"/>
    <col min="246" max="246" width="7.42578125" style="2050" customWidth="1"/>
    <col min="247" max="247" width="15.28515625" style="2050" customWidth="1"/>
    <col min="248" max="500" width="9.140625" style="2050"/>
    <col min="501" max="501" width="78.42578125" style="2050" customWidth="1"/>
    <col min="502" max="502" width="7.42578125" style="2050" customWidth="1"/>
    <col min="503" max="503" width="15.28515625" style="2050" customWidth="1"/>
    <col min="504" max="756" width="9.140625" style="2050"/>
    <col min="757" max="757" width="78.42578125" style="2050" customWidth="1"/>
    <col min="758" max="758" width="7.42578125" style="2050" customWidth="1"/>
    <col min="759" max="759" width="15.28515625" style="2050" customWidth="1"/>
    <col min="760" max="1012" width="9.140625" style="2050"/>
    <col min="1013" max="1013" width="78.42578125" style="2050" customWidth="1"/>
    <col min="1014" max="1014" width="7.42578125" style="2050" customWidth="1"/>
    <col min="1015" max="1015" width="15.28515625" style="2050" customWidth="1"/>
    <col min="1016" max="1268" width="9.140625" style="2050"/>
    <col min="1269" max="1269" width="78.42578125" style="2050" customWidth="1"/>
    <col min="1270" max="1270" width="7.42578125" style="2050" customWidth="1"/>
    <col min="1271" max="1271" width="15.28515625" style="2050" customWidth="1"/>
    <col min="1272" max="1524" width="9.140625" style="2050"/>
    <col min="1525" max="1525" width="78.42578125" style="2050" customWidth="1"/>
    <col min="1526" max="1526" width="7.42578125" style="2050" customWidth="1"/>
    <col min="1527" max="1527" width="15.28515625" style="2050" customWidth="1"/>
    <col min="1528" max="1780" width="9.140625" style="2050"/>
    <col min="1781" max="1781" width="78.42578125" style="2050" customWidth="1"/>
    <col min="1782" max="1782" width="7.42578125" style="2050" customWidth="1"/>
    <col min="1783" max="1783" width="15.28515625" style="2050" customWidth="1"/>
    <col min="1784" max="2036" width="9.140625" style="2050"/>
    <col min="2037" max="2037" width="78.42578125" style="2050" customWidth="1"/>
    <col min="2038" max="2038" width="7.42578125" style="2050" customWidth="1"/>
    <col min="2039" max="2039" width="15.28515625" style="2050" customWidth="1"/>
    <col min="2040" max="2292" width="9.140625" style="2050"/>
    <col min="2293" max="2293" width="78.42578125" style="2050" customWidth="1"/>
    <col min="2294" max="2294" width="7.42578125" style="2050" customWidth="1"/>
    <col min="2295" max="2295" width="15.28515625" style="2050" customWidth="1"/>
    <col min="2296" max="2548" width="9.140625" style="2050"/>
    <col min="2549" max="2549" width="78.42578125" style="2050" customWidth="1"/>
    <col min="2550" max="2550" width="7.42578125" style="2050" customWidth="1"/>
    <col min="2551" max="2551" width="15.28515625" style="2050" customWidth="1"/>
    <col min="2552" max="2804" width="9.140625" style="2050"/>
    <col min="2805" max="2805" width="78.42578125" style="2050" customWidth="1"/>
    <col min="2806" max="2806" width="7.42578125" style="2050" customWidth="1"/>
    <col min="2807" max="2807" width="15.28515625" style="2050" customWidth="1"/>
    <col min="2808" max="3060" width="9.140625" style="2050"/>
    <col min="3061" max="3061" width="78.42578125" style="2050" customWidth="1"/>
    <col min="3062" max="3062" width="7.42578125" style="2050" customWidth="1"/>
    <col min="3063" max="3063" width="15.28515625" style="2050" customWidth="1"/>
    <col min="3064" max="3316" width="9.140625" style="2050"/>
    <col min="3317" max="3317" width="78.42578125" style="2050" customWidth="1"/>
    <col min="3318" max="3318" width="7.42578125" style="2050" customWidth="1"/>
    <col min="3319" max="3319" width="15.28515625" style="2050" customWidth="1"/>
    <col min="3320" max="3572" width="9.140625" style="2050"/>
    <col min="3573" max="3573" width="78.42578125" style="2050" customWidth="1"/>
    <col min="3574" max="3574" width="7.42578125" style="2050" customWidth="1"/>
    <col min="3575" max="3575" width="15.28515625" style="2050" customWidth="1"/>
    <col min="3576" max="3828" width="9.140625" style="2050"/>
    <col min="3829" max="3829" width="78.42578125" style="2050" customWidth="1"/>
    <col min="3830" max="3830" width="7.42578125" style="2050" customWidth="1"/>
    <col min="3831" max="3831" width="15.28515625" style="2050" customWidth="1"/>
    <col min="3832" max="4084" width="9.140625" style="2050"/>
    <col min="4085" max="4085" width="78.42578125" style="2050" customWidth="1"/>
    <col min="4086" max="4086" width="7.42578125" style="2050" customWidth="1"/>
    <col min="4087" max="4087" width="15.28515625" style="2050" customWidth="1"/>
    <col min="4088" max="4340" width="9.140625" style="2050"/>
    <col min="4341" max="4341" width="78.42578125" style="2050" customWidth="1"/>
    <col min="4342" max="4342" width="7.42578125" style="2050" customWidth="1"/>
    <col min="4343" max="4343" width="15.28515625" style="2050" customWidth="1"/>
    <col min="4344" max="4596" width="9.140625" style="2050"/>
    <col min="4597" max="4597" width="78.42578125" style="2050" customWidth="1"/>
    <col min="4598" max="4598" width="7.42578125" style="2050" customWidth="1"/>
    <col min="4599" max="4599" width="15.28515625" style="2050" customWidth="1"/>
    <col min="4600" max="4852" width="9.140625" style="2050"/>
    <col min="4853" max="4853" width="78.42578125" style="2050" customWidth="1"/>
    <col min="4854" max="4854" width="7.42578125" style="2050" customWidth="1"/>
    <col min="4855" max="4855" width="15.28515625" style="2050" customWidth="1"/>
    <col min="4856" max="5108" width="9.140625" style="2050"/>
    <col min="5109" max="5109" width="78.42578125" style="2050" customWidth="1"/>
    <col min="5110" max="5110" width="7.42578125" style="2050" customWidth="1"/>
    <col min="5111" max="5111" width="15.28515625" style="2050" customWidth="1"/>
    <col min="5112" max="5364" width="9.140625" style="2050"/>
    <col min="5365" max="5365" width="78.42578125" style="2050" customWidth="1"/>
    <col min="5366" max="5366" width="7.42578125" style="2050" customWidth="1"/>
    <col min="5367" max="5367" width="15.28515625" style="2050" customWidth="1"/>
    <col min="5368" max="5620" width="9.140625" style="2050"/>
    <col min="5621" max="5621" width="78.42578125" style="2050" customWidth="1"/>
    <col min="5622" max="5622" width="7.42578125" style="2050" customWidth="1"/>
    <col min="5623" max="5623" width="15.28515625" style="2050" customWidth="1"/>
    <col min="5624" max="5876" width="9.140625" style="2050"/>
    <col min="5877" max="5877" width="78.42578125" style="2050" customWidth="1"/>
    <col min="5878" max="5878" width="7.42578125" style="2050" customWidth="1"/>
    <col min="5879" max="5879" width="15.28515625" style="2050" customWidth="1"/>
    <col min="5880" max="6132" width="9.140625" style="2050"/>
    <col min="6133" max="6133" width="78.42578125" style="2050" customWidth="1"/>
    <col min="6134" max="6134" width="7.42578125" style="2050" customWidth="1"/>
    <col min="6135" max="6135" width="15.28515625" style="2050" customWidth="1"/>
    <col min="6136" max="6388" width="9.140625" style="2050"/>
    <col min="6389" max="6389" width="78.42578125" style="2050" customWidth="1"/>
    <col min="6390" max="6390" width="7.42578125" style="2050" customWidth="1"/>
    <col min="6391" max="6391" width="15.28515625" style="2050" customWidth="1"/>
    <col min="6392" max="6644" width="9.140625" style="2050"/>
    <col min="6645" max="6645" width="78.42578125" style="2050" customWidth="1"/>
    <col min="6646" max="6646" width="7.42578125" style="2050" customWidth="1"/>
    <col min="6647" max="6647" width="15.28515625" style="2050" customWidth="1"/>
    <col min="6648" max="6900" width="9.140625" style="2050"/>
    <col min="6901" max="6901" width="78.42578125" style="2050" customWidth="1"/>
    <col min="6902" max="6902" width="7.42578125" style="2050" customWidth="1"/>
    <col min="6903" max="6903" width="15.28515625" style="2050" customWidth="1"/>
    <col min="6904" max="7156" width="9.140625" style="2050"/>
    <col min="7157" max="7157" width="78.42578125" style="2050" customWidth="1"/>
    <col min="7158" max="7158" width="7.42578125" style="2050" customWidth="1"/>
    <col min="7159" max="7159" width="15.28515625" style="2050" customWidth="1"/>
    <col min="7160" max="7412" width="9.140625" style="2050"/>
    <col min="7413" max="7413" width="78.42578125" style="2050" customWidth="1"/>
    <col min="7414" max="7414" width="7.42578125" style="2050" customWidth="1"/>
    <col min="7415" max="7415" width="15.28515625" style="2050" customWidth="1"/>
    <col min="7416" max="7668" width="9.140625" style="2050"/>
    <col min="7669" max="7669" width="78.42578125" style="2050" customWidth="1"/>
    <col min="7670" max="7670" width="7.42578125" style="2050" customWidth="1"/>
    <col min="7671" max="7671" width="15.28515625" style="2050" customWidth="1"/>
    <col min="7672" max="7924" width="9.140625" style="2050"/>
    <col min="7925" max="7925" width="78.42578125" style="2050" customWidth="1"/>
    <col min="7926" max="7926" width="7.42578125" style="2050" customWidth="1"/>
    <col min="7927" max="7927" width="15.28515625" style="2050" customWidth="1"/>
    <col min="7928" max="8180" width="9.140625" style="2050"/>
    <col min="8181" max="8181" width="78.42578125" style="2050" customWidth="1"/>
    <col min="8182" max="8182" width="7.42578125" style="2050" customWidth="1"/>
    <col min="8183" max="8183" width="15.28515625" style="2050" customWidth="1"/>
    <col min="8184" max="8436" width="9.140625" style="2050"/>
    <col min="8437" max="8437" width="78.42578125" style="2050" customWidth="1"/>
    <col min="8438" max="8438" width="7.42578125" style="2050" customWidth="1"/>
    <col min="8439" max="8439" width="15.28515625" style="2050" customWidth="1"/>
    <col min="8440" max="8692" width="9.140625" style="2050"/>
    <col min="8693" max="8693" width="78.42578125" style="2050" customWidth="1"/>
    <col min="8694" max="8694" width="7.42578125" style="2050" customWidth="1"/>
    <col min="8695" max="8695" width="15.28515625" style="2050" customWidth="1"/>
    <col min="8696" max="8948" width="9.140625" style="2050"/>
    <col min="8949" max="8949" width="78.42578125" style="2050" customWidth="1"/>
    <col min="8950" max="8950" width="7.42578125" style="2050" customWidth="1"/>
    <col min="8951" max="8951" width="15.28515625" style="2050" customWidth="1"/>
    <col min="8952" max="9204" width="9.140625" style="2050"/>
    <col min="9205" max="9205" width="78.42578125" style="2050" customWidth="1"/>
    <col min="9206" max="9206" width="7.42578125" style="2050" customWidth="1"/>
    <col min="9207" max="9207" width="15.28515625" style="2050" customWidth="1"/>
    <col min="9208" max="9460" width="9.140625" style="2050"/>
    <col min="9461" max="9461" width="78.42578125" style="2050" customWidth="1"/>
    <col min="9462" max="9462" width="7.42578125" style="2050" customWidth="1"/>
    <col min="9463" max="9463" width="15.28515625" style="2050" customWidth="1"/>
    <col min="9464" max="9716" width="9.140625" style="2050"/>
    <col min="9717" max="9717" width="78.42578125" style="2050" customWidth="1"/>
    <col min="9718" max="9718" width="7.42578125" style="2050" customWidth="1"/>
    <col min="9719" max="9719" width="15.28515625" style="2050" customWidth="1"/>
    <col min="9720" max="9972" width="9.140625" style="2050"/>
    <col min="9973" max="9973" width="78.42578125" style="2050" customWidth="1"/>
    <col min="9974" max="9974" width="7.42578125" style="2050" customWidth="1"/>
    <col min="9975" max="9975" width="15.28515625" style="2050" customWidth="1"/>
    <col min="9976" max="10228" width="9.140625" style="2050"/>
    <col min="10229" max="10229" width="78.42578125" style="2050" customWidth="1"/>
    <col min="10230" max="10230" width="7.42578125" style="2050" customWidth="1"/>
    <col min="10231" max="10231" width="15.28515625" style="2050" customWidth="1"/>
    <col min="10232" max="10484" width="9.140625" style="2050"/>
    <col min="10485" max="10485" width="78.42578125" style="2050" customWidth="1"/>
    <col min="10486" max="10486" width="7.42578125" style="2050" customWidth="1"/>
    <col min="10487" max="10487" width="15.28515625" style="2050" customWidth="1"/>
    <col min="10488" max="10740" width="9.140625" style="2050"/>
    <col min="10741" max="10741" width="78.42578125" style="2050" customWidth="1"/>
    <col min="10742" max="10742" width="7.42578125" style="2050" customWidth="1"/>
    <col min="10743" max="10743" width="15.28515625" style="2050" customWidth="1"/>
    <col min="10744" max="10996" width="9.140625" style="2050"/>
    <col min="10997" max="10997" width="78.42578125" style="2050" customWidth="1"/>
    <col min="10998" max="10998" width="7.42578125" style="2050" customWidth="1"/>
    <col min="10999" max="10999" width="15.28515625" style="2050" customWidth="1"/>
    <col min="11000" max="11252" width="9.140625" style="2050"/>
    <col min="11253" max="11253" width="78.42578125" style="2050" customWidth="1"/>
    <col min="11254" max="11254" width="7.42578125" style="2050" customWidth="1"/>
    <col min="11255" max="11255" width="15.28515625" style="2050" customWidth="1"/>
    <col min="11256" max="11508" width="9.140625" style="2050"/>
    <col min="11509" max="11509" width="78.42578125" style="2050" customWidth="1"/>
    <col min="11510" max="11510" width="7.42578125" style="2050" customWidth="1"/>
    <col min="11511" max="11511" width="15.28515625" style="2050" customWidth="1"/>
    <col min="11512" max="11764" width="9.140625" style="2050"/>
    <col min="11765" max="11765" width="78.42578125" style="2050" customWidth="1"/>
    <col min="11766" max="11766" width="7.42578125" style="2050" customWidth="1"/>
    <col min="11767" max="11767" width="15.28515625" style="2050" customWidth="1"/>
    <col min="11768" max="12020" width="9.140625" style="2050"/>
    <col min="12021" max="12021" width="78.42578125" style="2050" customWidth="1"/>
    <col min="12022" max="12022" width="7.42578125" style="2050" customWidth="1"/>
    <col min="12023" max="12023" width="15.28515625" style="2050" customWidth="1"/>
    <col min="12024" max="12276" width="9.140625" style="2050"/>
    <col min="12277" max="12277" width="78.42578125" style="2050" customWidth="1"/>
    <col min="12278" max="12278" width="7.42578125" style="2050" customWidth="1"/>
    <col min="12279" max="12279" width="15.28515625" style="2050" customWidth="1"/>
    <col min="12280" max="12532" width="9.140625" style="2050"/>
    <col min="12533" max="12533" width="78.42578125" style="2050" customWidth="1"/>
    <col min="12534" max="12534" width="7.42578125" style="2050" customWidth="1"/>
    <col min="12535" max="12535" width="15.28515625" style="2050" customWidth="1"/>
    <col min="12536" max="12788" width="9.140625" style="2050"/>
    <col min="12789" max="12789" width="78.42578125" style="2050" customWidth="1"/>
    <col min="12790" max="12790" width="7.42578125" style="2050" customWidth="1"/>
    <col min="12791" max="12791" width="15.28515625" style="2050" customWidth="1"/>
    <col min="12792" max="13044" width="9.140625" style="2050"/>
    <col min="13045" max="13045" width="78.42578125" style="2050" customWidth="1"/>
    <col min="13046" max="13046" width="7.42578125" style="2050" customWidth="1"/>
    <col min="13047" max="13047" width="15.28515625" style="2050" customWidth="1"/>
    <col min="13048" max="13300" width="9.140625" style="2050"/>
    <col min="13301" max="13301" width="78.42578125" style="2050" customWidth="1"/>
    <col min="13302" max="13302" width="7.42578125" style="2050" customWidth="1"/>
    <col min="13303" max="13303" width="15.28515625" style="2050" customWidth="1"/>
    <col min="13304" max="13556" width="9.140625" style="2050"/>
    <col min="13557" max="13557" width="78.42578125" style="2050" customWidth="1"/>
    <col min="13558" max="13558" width="7.42578125" style="2050" customWidth="1"/>
    <col min="13559" max="13559" width="15.28515625" style="2050" customWidth="1"/>
    <col min="13560" max="13812" width="9.140625" style="2050"/>
    <col min="13813" max="13813" width="78.42578125" style="2050" customWidth="1"/>
    <col min="13814" max="13814" width="7.42578125" style="2050" customWidth="1"/>
    <col min="13815" max="13815" width="15.28515625" style="2050" customWidth="1"/>
    <col min="13816" max="14068" width="9.140625" style="2050"/>
    <col min="14069" max="14069" width="78.42578125" style="2050" customWidth="1"/>
    <col min="14070" max="14070" width="7.42578125" style="2050" customWidth="1"/>
    <col min="14071" max="14071" width="15.28515625" style="2050" customWidth="1"/>
    <col min="14072" max="14324" width="9.140625" style="2050"/>
    <col min="14325" max="14325" width="78.42578125" style="2050" customWidth="1"/>
    <col min="14326" max="14326" width="7.42578125" style="2050" customWidth="1"/>
    <col min="14327" max="14327" width="15.28515625" style="2050" customWidth="1"/>
    <col min="14328" max="14580" width="9.140625" style="2050"/>
    <col min="14581" max="14581" width="78.42578125" style="2050" customWidth="1"/>
    <col min="14582" max="14582" width="7.42578125" style="2050" customWidth="1"/>
    <col min="14583" max="14583" width="15.28515625" style="2050" customWidth="1"/>
    <col min="14584" max="14836" width="9.140625" style="2050"/>
    <col min="14837" max="14837" width="78.42578125" style="2050" customWidth="1"/>
    <col min="14838" max="14838" width="7.42578125" style="2050" customWidth="1"/>
    <col min="14839" max="14839" width="15.28515625" style="2050" customWidth="1"/>
    <col min="14840" max="15092" width="9.140625" style="2050"/>
    <col min="15093" max="15093" width="78.42578125" style="2050" customWidth="1"/>
    <col min="15094" max="15094" width="7.42578125" style="2050" customWidth="1"/>
    <col min="15095" max="15095" width="15.28515625" style="2050" customWidth="1"/>
    <col min="15096" max="15348" width="9.140625" style="2050"/>
    <col min="15349" max="15349" width="78.42578125" style="2050" customWidth="1"/>
    <col min="15350" max="15350" width="7.42578125" style="2050" customWidth="1"/>
    <col min="15351" max="15351" width="15.28515625" style="2050" customWidth="1"/>
    <col min="15352" max="15604" width="9.140625" style="2050"/>
    <col min="15605" max="15605" width="78.42578125" style="2050" customWidth="1"/>
    <col min="15606" max="15606" width="7.42578125" style="2050" customWidth="1"/>
    <col min="15607" max="15607" width="15.28515625" style="2050" customWidth="1"/>
    <col min="15608" max="15860" width="9.140625" style="2050"/>
    <col min="15861" max="15861" width="78.42578125" style="2050" customWidth="1"/>
    <col min="15862" max="15862" width="7.42578125" style="2050" customWidth="1"/>
    <col min="15863" max="15863" width="15.28515625" style="2050" customWidth="1"/>
    <col min="15864" max="16116" width="9.140625" style="2050"/>
    <col min="16117" max="16117" width="78.42578125" style="2050" customWidth="1"/>
    <col min="16118" max="16118" width="7.42578125" style="2050" customWidth="1"/>
    <col min="16119" max="16119" width="15.28515625" style="2050" customWidth="1"/>
    <col min="16120" max="16384" width="9.140625" style="2050"/>
  </cols>
  <sheetData>
    <row r="1" spans="1:3" ht="15.75" x14ac:dyDescent="0.25">
      <c r="A1" s="2499" t="s">
        <v>2141</v>
      </c>
      <c r="B1" s="2499"/>
      <c r="C1" s="2499"/>
    </row>
    <row r="2" spans="1:3" ht="15.75" x14ac:dyDescent="0.25">
      <c r="A2" s="2499" t="s">
        <v>1057</v>
      </c>
      <c r="B2" s="2499"/>
      <c r="C2" s="2499"/>
    </row>
    <row r="3" spans="1:3" ht="15.75" x14ac:dyDescent="0.25">
      <c r="A3" s="2498" t="s">
        <v>2194</v>
      </c>
      <c r="B3" s="2498"/>
      <c r="C3" s="2498"/>
    </row>
    <row r="4" spans="1:3" ht="15.75" x14ac:dyDescent="0.25">
      <c r="A4" s="2051"/>
      <c r="B4" s="2051"/>
      <c r="C4" s="2051"/>
    </row>
    <row r="5" spans="1:3" ht="15.75" x14ac:dyDescent="0.25">
      <c r="A5" s="2052"/>
      <c r="B5" s="2052"/>
      <c r="C5" s="2052"/>
    </row>
    <row r="6" spans="1:3" ht="15.75" x14ac:dyDescent="0.25">
      <c r="A6" s="2052"/>
      <c r="B6" s="2052"/>
      <c r="C6" s="2052"/>
    </row>
    <row r="7" spans="1:3" ht="16.5" x14ac:dyDescent="0.25">
      <c r="A7" s="2053"/>
      <c r="B7" s="2053"/>
      <c r="C7" s="2054" t="s">
        <v>2150</v>
      </c>
    </row>
    <row r="8" spans="1:3" ht="16.5" x14ac:dyDescent="0.25">
      <c r="A8" s="2053"/>
      <c r="B8" s="2053"/>
      <c r="C8" s="2054"/>
    </row>
    <row r="9" spans="1:3" ht="16.5" x14ac:dyDescent="0.25">
      <c r="A9" s="2055" t="s">
        <v>2151</v>
      </c>
      <c r="B9" s="2053"/>
      <c r="C9" s="2056" t="s">
        <v>2152</v>
      </c>
    </row>
    <row r="10" spans="1:3" ht="16.5" x14ac:dyDescent="0.25">
      <c r="A10" s="2055"/>
      <c r="B10" s="2053"/>
      <c r="C10" s="2056"/>
    </row>
    <row r="11" spans="1:3" ht="16.5" x14ac:dyDescent="0.25">
      <c r="A11" s="2055" t="s">
        <v>2153</v>
      </c>
      <c r="B11" s="2057"/>
      <c r="C11" s="2056"/>
    </row>
    <row r="12" spans="1:3" ht="16.5" x14ac:dyDescent="0.25">
      <c r="A12" s="2055" t="s">
        <v>2154</v>
      </c>
      <c r="B12" s="2057"/>
      <c r="C12" s="2056"/>
    </row>
    <row r="13" spans="1:3" ht="16.5" x14ac:dyDescent="0.25">
      <c r="A13" s="2055" t="s">
        <v>2155</v>
      </c>
      <c r="B13" s="2057"/>
      <c r="C13" s="2056" t="s">
        <v>2196</v>
      </c>
    </row>
    <row r="14" spans="1:3" ht="16.5" x14ac:dyDescent="0.25">
      <c r="A14" s="2055"/>
      <c r="B14" s="2057"/>
      <c r="C14" s="2056"/>
    </row>
    <row r="15" spans="1:3" ht="16.5" x14ac:dyDescent="0.25">
      <c r="A15" s="2058" t="s">
        <v>2156</v>
      </c>
      <c r="B15" s="2057"/>
      <c r="C15" s="2056"/>
    </row>
    <row r="16" spans="1:3" ht="16.5" x14ac:dyDescent="0.25">
      <c r="A16" s="2055"/>
      <c r="B16" s="2057"/>
      <c r="C16" s="2056"/>
    </row>
    <row r="17" spans="1:3" ht="16.5" x14ac:dyDescent="0.25">
      <c r="A17" s="2055" t="s">
        <v>2157</v>
      </c>
      <c r="B17" s="2057"/>
      <c r="C17" s="2056"/>
    </row>
    <row r="18" spans="1:3" ht="16.5" x14ac:dyDescent="0.25">
      <c r="A18" s="2055" t="s">
        <v>2158</v>
      </c>
      <c r="B18" s="2057"/>
      <c r="C18" s="2056" t="s">
        <v>2197</v>
      </c>
    </row>
    <row r="19" spans="1:3" ht="16.5" x14ac:dyDescent="0.25">
      <c r="A19" s="2055"/>
      <c r="B19" s="2057"/>
      <c r="C19" s="2056"/>
    </row>
    <row r="20" spans="1:3" ht="16.5" x14ac:dyDescent="0.25">
      <c r="A20" s="2055" t="s">
        <v>2159</v>
      </c>
      <c r="B20" s="2057"/>
      <c r="C20" s="2056"/>
    </row>
    <row r="21" spans="1:3" ht="16.5" x14ac:dyDescent="0.25">
      <c r="A21" s="2055" t="s">
        <v>2160</v>
      </c>
      <c r="B21" s="2057"/>
      <c r="C21" s="2056" t="s">
        <v>2198</v>
      </c>
    </row>
    <row r="22" spans="1:3" ht="16.5" x14ac:dyDescent="0.25">
      <c r="A22" s="2055"/>
      <c r="B22" s="2057"/>
      <c r="C22" s="2056"/>
    </row>
    <row r="23" spans="1:3" ht="16.5" x14ac:dyDescent="0.25">
      <c r="A23" s="2055" t="s">
        <v>2161</v>
      </c>
      <c r="B23" s="2057"/>
      <c r="C23" s="2056" t="s">
        <v>2199</v>
      </c>
    </row>
    <row r="24" spans="1:3" ht="16.5" x14ac:dyDescent="0.25">
      <c r="A24" s="2055"/>
      <c r="B24" s="2057"/>
      <c r="C24" s="2056"/>
    </row>
    <row r="25" spans="1:3" ht="16.5" x14ac:dyDescent="0.25">
      <c r="A25" s="2055" t="s">
        <v>2162</v>
      </c>
      <c r="B25" s="2057"/>
      <c r="C25" s="2056" t="s">
        <v>2200</v>
      </c>
    </row>
    <row r="26" spans="1:3" ht="16.5" x14ac:dyDescent="0.25">
      <c r="A26" s="2055"/>
      <c r="B26" s="2057"/>
      <c r="C26" s="2056"/>
    </row>
    <row r="27" spans="1:3" ht="16.5" x14ac:dyDescent="0.25">
      <c r="A27" s="2055" t="s">
        <v>2163</v>
      </c>
      <c r="B27" s="2057"/>
      <c r="C27" s="2056" t="s">
        <v>2201</v>
      </c>
    </row>
    <row r="28" spans="1:3" ht="16.5" x14ac:dyDescent="0.25">
      <c r="A28" s="2055"/>
      <c r="B28" s="2057"/>
      <c r="C28" s="2056"/>
    </row>
    <row r="29" spans="1:3" ht="16.5" x14ac:dyDescent="0.25">
      <c r="A29" s="2058" t="s">
        <v>2164</v>
      </c>
      <c r="B29" s="2057"/>
      <c r="C29" s="2056"/>
    </row>
    <row r="30" spans="1:3" ht="16.5" x14ac:dyDescent="0.25">
      <c r="A30" s="2055"/>
      <c r="B30" s="2057"/>
      <c r="C30" s="2056"/>
    </row>
    <row r="31" spans="1:3" ht="16.5" x14ac:dyDescent="0.25">
      <c r="A31" s="2055" t="s">
        <v>2165</v>
      </c>
      <c r="B31" s="2057"/>
      <c r="C31" s="2056" t="s">
        <v>2202</v>
      </c>
    </row>
    <row r="32" spans="1:3" ht="16.5" x14ac:dyDescent="0.25">
      <c r="A32" s="2055"/>
      <c r="B32" s="2057"/>
      <c r="C32" s="2056"/>
    </row>
    <row r="33" spans="1:3" ht="16.5" x14ac:dyDescent="0.25">
      <c r="A33" s="2055" t="s">
        <v>2167</v>
      </c>
      <c r="B33" s="2057"/>
      <c r="C33" s="2056" t="s">
        <v>2166</v>
      </c>
    </row>
    <row r="34" spans="1:3" ht="16.5" x14ac:dyDescent="0.25">
      <c r="A34" s="2055"/>
      <c r="B34" s="2057"/>
      <c r="C34" s="2056"/>
    </row>
    <row r="35" spans="1:3" ht="16.5" x14ac:dyDescent="0.25">
      <c r="A35" s="2055" t="s">
        <v>2169</v>
      </c>
      <c r="B35" s="2057"/>
      <c r="C35" s="2056" t="s">
        <v>2168</v>
      </c>
    </row>
    <row r="36" spans="1:3" ht="16.5" x14ac:dyDescent="0.25">
      <c r="A36" s="2055"/>
      <c r="B36" s="2057"/>
      <c r="C36" s="2056"/>
    </row>
    <row r="37" spans="1:3" ht="16.5" x14ac:dyDescent="0.25">
      <c r="A37" s="2055" t="s">
        <v>2171</v>
      </c>
      <c r="B37" s="2059"/>
      <c r="C37" s="2056" t="s">
        <v>2170</v>
      </c>
    </row>
    <row r="38" spans="1:3" ht="16.5" x14ac:dyDescent="0.25">
      <c r="A38" s="2055"/>
      <c r="B38" s="2059"/>
      <c r="C38" s="2056"/>
    </row>
    <row r="39" spans="1:3" ht="16.5" x14ac:dyDescent="0.25">
      <c r="A39" s="2058" t="s">
        <v>2173</v>
      </c>
      <c r="B39" s="2057"/>
      <c r="C39" s="2060"/>
    </row>
    <row r="40" spans="1:3" ht="16.5" x14ac:dyDescent="0.25">
      <c r="A40" s="2055"/>
      <c r="B40" s="2057"/>
      <c r="C40" s="2060"/>
    </row>
    <row r="41" spans="1:3" ht="16.5" x14ac:dyDescent="0.25">
      <c r="A41" s="2055" t="s">
        <v>2174</v>
      </c>
      <c r="B41" s="2057"/>
      <c r="C41" s="2061" t="s">
        <v>2172</v>
      </c>
    </row>
    <row r="42" spans="1:3" ht="16.5" x14ac:dyDescent="0.25">
      <c r="A42" s="2055"/>
      <c r="B42" s="2057"/>
      <c r="C42" s="2060"/>
    </row>
    <row r="43" spans="1:3" ht="16.5" x14ac:dyDescent="0.25">
      <c r="A43" s="2055" t="s">
        <v>2175</v>
      </c>
      <c r="B43" s="2057"/>
      <c r="C43" s="2060"/>
    </row>
    <row r="44" spans="1:3" ht="16.5" x14ac:dyDescent="0.25">
      <c r="A44" s="2055" t="s">
        <v>2195</v>
      </c>
      <c r="B44" s="2057"/>
      <c r="C44" s="2061" t="s">
        <v>2203</v>
      </c>
    </row>
    <row r="45" spans="1:3" ht="16.5" x14ac:dyDescent="0.25">
      <c r="A45" s="2055"/>
      <c r="B45" s="2059"/>
      <c r="C45" s="2056"/>
    </row>
    <row r="46" spans="1:3" ht="16.5" x14ac:dyDescent="0.25">
      <c r="A46" s="2055"/>
      <c r="B46" s="2059"/>
      <c r="C46" s="2056"/>
    </row>
    <row r="47" spans="1:3" ht="16.5" x14ac:dyDescent="0.25">
      <c r="A47" s="2055"/>
      <c r="B47" s="2059"/>
      <c r="C47" s="2056"/>
    </row>
    <row r="48" spans="1:3" ht="16.5" x14ac:dyDescent="0.25">
      <c r="A48" s="2055"/>
      <c r="B48" s="2059"/>
      <c r="C48" s="2056"/>
    </row>
    <row r="49" spans="1:3" ht="15.75" x14ac:dyDescent="0.25">
      <c r="A49" s="2499" t="s">
        <v>2141</v>
      </c>
      <c r="B49" s="2499"/>
      <c r="C49" s="2499"/>
    </row>
    <row r="50" spans="1:3" ht="15.75" x14ac:dyDescent="0.25">
      <c r="A50" s="2499" t="s">
        <v>2176</v>
      </c>
      <c r="B50" s="2499"/>
      <c r="C50" s="2499"/>
    </row>
    <row r="51" spans="1:3" ht="15.75" x14ac:dyDescent="0.25">
      <c r="A51" s="2498" t="s">
        <v>2194</v>
      </c>
      <c r="B51" s="2498"/>
      <c r="C51" s="2498"/>
    </row>
    <row r="52" spans="1:3" ht="15.75" x14ac:dyDescent="0.25">
      <c r="A52" s="2051"/>
      <c r="B52" s="2051"/>
      <c r="C52" s="2051"/>
    </row>
    <row r="53" spans="1:3" ht="15.75" x14ac:dyDescent="0.25">
      <c r="A53" s="2052"/>
      <c r="B53" s="2052"/>
      <c r="C53" s="2052"/>
    </row>
    <row r="54" spans="1:3" ht="15.75" x14ac:dyDescent="0.25">
      <c r="A54" s="2052"/>
      <c r="B54" s="2052"/>
      <c r="C54" s="2052"/>
    </row>
    <row r="55" spans="1:3" ht="16.5" x14ac:dyDescent="0.25">
      <c r="A55" s="2053"/>
      <c r="B55" s="2053"/>
      <c r="C55" s="2054" t="s">
        <v>2150</v>
      </c>
    </row>
    <row r="56" spans="1:3" ht="16.5" x14ac:dyDescent="0.25">
      <c r="A56" s="2055"/>
      <c r="B56" s="2057"/>
      <c r="C56" s="2060"/>
    </row>
    <row r="57" spans="1:3" ht="16.5" x14ac:dyDescent="0.25">
      <c r="A57" s="2058" t="s">
        <v>2177</v>
      </c>
      <c r="B57" s="2057"/>
      <c r="C57" s="2060"/>
    </row>
    <row r="58" spans="1:3" ht="16.5" x14ac:dyDescent="0.25">
      <c r="A58" s="2055"/>
      <c r="B58" s="2057"/>
      <c r="C58" s="2060"/>
    </row>
    <row r="59" spans="1:3" ht="16.5" x14ac:dyDescent="0.25">
      <c r="A59" s="2055" t="s">
        <v>2178</v>
      </c>
      <c r="B59" s="2057"/>
      <c r="C59" s="2061" t="s">
        <v>2204</v>
      </c>
    </row>
    <row r="60" spans="1:3" ht="16.5" x14ac:dyDescent="0.25">
      <c r="A60" s="2055"/>
      <c r="B60" s="2057"/>
      <c r="C60" s="2061"/>
    </row>
    <row r="61" spans="1:3" ht="16.5" x14ac:dyDescent="0.25">
      <c r="A61" s="2055" t="s">
        <v>2180</v>
      </c>
      <c r="B61" s="2057"/>
      <c r="C61" s="2061" t="s">
        <v>2179</v>
      </c>
    </row>
    <row r="62" spans="1:3" ht="16.5" x14ac:dyDescent="0.25">
      <c r="A62" s="2055"/>
      <c r="B62" s="2057"/>
      <c r="C62" s="2061"/>
    </row>
    <row r="63" spans="1:3" ht="16.5" x14ac:dyDescent="0.25">
      <c r="A63" s="2055" t="s">
        <v>2181</v>
      </c>
      <c r="B63" s="2057"/>
      <c r="C63" s="2061" t="s">
        <v>2205</v>
      </c>
    </row>
    <row r="64" spans="1:3" ht="16.5" x14ac:dyDescent="0.25">
      <c r="A64" s="2055"/>
      <c r="B64" s="2057"/>
      <c r="C64" s="2060"/>
    </row>
    <row r="65" spans="1:3" ht="16.5" x14ac:dyDescent="0.25">
      <c r="A65" s="2055" t="s">
        <v>2182</v>
      </c>
      <c r="B65" s="2057"/>
      <c r="C65" s="2061" t="s">
        <v>2206</v>
      </c>
    </row>
    <row r="66" spans="1:3" ht="16.5" x14ac:dyDescent="0.25">
      <c r="A66" s="2055"/>
      <c r="B66" s="2057"/>
      <c r="C66" s="2060"/>
    </row>
    <row r="67" spans="1:3" ht="16.5" x14ac:dyDescent="0.25">
      <c r="A67" s="2055" t="s">
        <v>2183</v>
      </c>
      <c r="B67" s="2057"/>
      <c r="C67" s="2061" t="s">
        <v>2207</v>
      </c>
    </row>
    <row r="68" spans="1:3" ht="16.5" x14ac:dyDescent="0.25">
      <c r="A68" s="2055"/>
      <c r="B68" s="2057"/>
      <c r="C68" s="2060"/>
    </row>
    <row r="69" spans="1:3" ht="16.5" x14ac:dyDescent="0.25">
      <c r="A69" s="2055" t="s">
        <v>2184</v>
      </c>
      <c r="B69" s="2057"/>
      <c r="C69" s="2061" t="s">
        <v>2208</v>
      </c>
    </row>
    <row r="70" spans="1:3" ht="16.5" x14ac:dyDescent="0.25">
      <c r="A70" s="2055"/>
      <c r="B70" s="2057"/>
      <c r="C70" s="2061"/>
    </row>
    <row r="71" spans="1:3" ht="16.5" x14ac:dyDescent="0.25">
      <c r="A71" s="2055" t="s">
        <v>2185</v>
      </c>
      <c r="B71" s="2057"/>
      <c r="C71" s="2061" t="s">
        <v>2186</v>
      </c>
    </row>
    <row r="72" spans="1:3" ht="16.5" x14ac:dyDescent="0.25">
      <c r="A72" s="2055"/>
      <c r="B72" s="2057"/>
      <c r="C72" s="2061"/>
    </row>
    <row r="73" spans="1:3" ht="16.5" x14ac:dyDescent="0.25">
      <c r="A73" s="2055" t="s">
        <v>2187</v>
      </c>
      <c r="B73" s="2057"/>
      <c r="C73" s="2061" t="s">
        <v>2188</v>
      </c>
    </row>
    <row r="74" spans="1:3" ht="16.5" x14ac:dyDescent="0.25">
      <c r="A74" s="2055"/>
      <c r="B74" s="2057"/>
      <c r="C74" s="2060"/>
    </row>
    <row r="75" spans="1:3" ht="15.75" x14ac:dyDescent="0.25">
      <c r="A75" s="2062"/>
      <c r="B75" s="2062"/>
      <c r="C75" s="2063"/>
    </row>
    <row r="76" spans="1:3" ht="15" x14ac:dyDescent="0.25">
      <c r="A76" s="2064"/>
      <c r="B76" s="2064"/>
      <c r="C76" s="2065"/>
    </row>
    <row r="77" spans="1:3" ht="15" x14ac:dyDescent="0.25">
      <c r="A77" s="2066" t="s">
        <v>2189</v>
      </c>
    </row>
    <row r="78" spans="1:3" ht="15" x14ac:dyDescent="0.25">
      <c r="A78" s="2064" t="s">
        <v>2190</v>
      </c>
    </row>
    <row r="79" spans="1:3" ht="15" x14ac:dyDescent="0.25">
      <c r="A79" s="2064" t="s">
        <v>2191</v>
      </c>
    </row>
    <row r="80" spans="1:3" ht="15" x14ac:dyDescent="0.25">
      <c r="A80" s="2064" t="s">
        <v>2192</v>
      </c>
    </row>
    <row r="81" spans="1:1" ht="15" x14ac:dyDescent="0.25">
      <c r="A81" s="2064" t="s">
        <v>2193</v>
      </c>
    </row>
  </sheetData>
  <mergeCells count="6">
    <mergeCell ref="A51:C51"/>
    <mergeCell ref="A1:C1"/>
    <mergeCell ref="A2:C2"/>
    <mergeCell ref="A3:C3"/>
    <mergeCell ref="A49:C49"/>
    <mergeCell ref="A50:C50"/>
  </mergeCells>
  <printOptions horizontalCentered="1"/>
  <pageMargins left="1" right="0.75" top="1.25" bottom="0.75" header="1" footer="0.25"/>
  <pageSetup scale="86" fitToHeight="2" orientation="portrait" r:id="rId1"/>
  <rowBreaks count="1" manualBreakCount="1">
    <brk id="48"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9:F26"/>
  <sheetViews>
    <sheetView showGridLines="0" zoomScale="110" zoomScaleNormal="110" workbookViewId="0">
      <selection activeCell="D11" sqref="D11"/>
    </sheetView>
  </sheetViews>
  <sheetFormatPr defaultColWidth="9.140625" defaultRowHeight="12.75" x14ac:dyDescent="0.2"/>
  <cols>
    <col min="1" max="1" width="1.85546875" style="307" customWidth="1"/>
    <col min="2" max="2" width="23.7109375" style="307" customWidth="1"/>
    <col min="3" max="16384" width="9.140625" style="307"/>
  </cols>
  <sheetData>
    <row r="19" spans="1:6" x14ac:dyDescent="0.2">
      <c r="B19" s="850"/>
      <c r="C19" s="850"/>
      <c r="D19" s="850"/>
      <c r="E19" s="850"/>
      <c r="F19" s="850"/>
    </row>
    <row r="21" spans="1:6" x14ac:dyDescent="0.2">
      <c r="A21" s="851" t="s">
        <v>1476</v>
      </c>
    </row>
    <row r="23" spans="1:6" x14ac:dyDescent="0.2">
      <c r="A23" s="366" t="s">
        <v>852</v>
      </c>
    </row>
    <row r="24" spans="1:6" s="850" customFormat="1" ht="45" customHeight="1" x14ac:dyDescent="0.2">
      <c r="A24" s="852"/>
      <c r="B24" s="852" t="s">
        <v>1973</v>
      </c>
    </row>
    <row r="25" spans="1:6" ht="6" customHeight="1" x14ac:dyDescent="0.2"/>
    <row r="26" spans="1:6" ht="24.75" customHeight="1" x14ac:dyDescent="0.2">
      <c r="A26" s="2500" t="s">
        <v>1665</v>
      </c>
      <c r="B26" s="2500"/>
    </row>
  </sheetData>
  <sheetProtection selectLockedCells="1"/>
  <mergeCells count="1">
    <mergeCell ref="A26:B26"/>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0</xdr:colOff>
                <xdr:row>13</xdr:row>
                <xdr:rowOff>0</xdr:rowOff>
              </from>
              <to>
                <xdr:col>1</xdr:col>
                <xdr:colOff>914400</xdr:colOff>
                <xdr:row>17</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29AFF-964B-401A-A9F6-8C2220DED3C0}">
  <dimension ref="A1:I75"/>
  <sheetViews>
    <sheetView topLeftCell="A55" zoomScaleNormal="100" workbookViewId="0">
      <selection activeCell="J75" sqref="J75"/>
    </sheetView>
  </sheetViews>
  <sheetFormatPr defaultColWidth="8.85546875" defaultRowHeight="12.75" x14ac:dyDescent="0.2"/>
  <cols>
    <col min="1" max="1" width="32.140625" style="2035" customWidth="1"/>
    <col min="2" max="2" width="1.85546875" style="2035" customWidth="1"/>
    <col min="3" max="3" width="12.5703125" style="2035" customWidth="1"/>
    <col min="4" max="4" width="1.85546875" style="2035" customWidth="1"/>
    <col min="5" max="5" width="12.5703125" style="2035" customWidth="1"/>
    <col min="6" max="6" width="1.85546875" style="2035" customWidth="1"/>
    <col min="7" max="7" width="12.5703125" style="2035" customWidth="1"/>
    <col min="8" max="8" width="1.85546875" style="2035" customWidth="1"/>
    <col min="9" max="9" width="12.5703125" style="2035" customWidth="1"/>
    <col min="10" max="16384" width="8.85546875" style="2035"/>
  </cols>
  <sheetData>
    <row r="1" spans="1:9" x14ac:dyDescent="0.2">
      <c r="A1" s="2501" t="s">
        <v>2141</v>
      </c>
      <c r="B1" s="2501"/>
      <c r="C1" s="2501"/>
      <c r="D1" s="2501"/>
      <c r="E1" s="2501"/>
      <c r="F1" s="2501"/>
      <c r="G1" s="2501"/>
      <c r="H1" s="2501"/>
      <c r="I1" s="2501"/>
    </row>
    <row r="2" spans="1:9" x14ac:dyDescent="0.2">
      <c r="A2" s="2501" t="s">
        <v>2140</v>
      </c>
      <c r="B2" s="2501"/>
      <c r="C2" s="2501"/>
      <c r="D2" s="2501"/>
      <c r="E2" s="2501"/>
      <c r="F2" s="2501"/>
      <c r="G2" s="2501"/>
      <c r="H2" s="2501"/>
      <c r="I2" s="2501"/>
    </row>
    <row r="3" spans="1:9" x14ac:dyDescent="0.2">
      <c r="A3" s="2501" t="s">
        <v>2139</v>
      </c>
      <c r="B3" s="2501"/>
      <c r="C3" s="2501"/>
      <c r="D3" s="2501"/>
      <c r="E3" s="2501"/>
      <c r="F3" s="2501"/>
      <c r="G3" s="2501"/>
      <c r="H3" s="2501"/>
      <c r="I3" s="2501"/>
    </row>
    <row r="4" spans="1:9" x14ac:dyDescent="0.2">
      <c r="A4" s="2501" t="s">
        <v>2138</v>
      </c>
      <c r="B4" s="2501"/>
      <c r="C4" s="2501"/>
      <c r="D4" s="2501"/>
      <c r="E4" s="2501"/>
      <c r="F4" s="2501"/>
      <c r="G4" s="2501"/>
      <c r="H4" s="2501"/>
      <c r="I4" s="2501"/>
    </row>
    <row r="7" spans="1:9" x14ac:dyDescent="0.2">
      <c r="C7" s="2047" t="s">
        <v>2137</v>
      </c>
      <c r="D7" s="2047"/>
      <c r="E7" s="2047"/>
      <c r="F7" s="2047"/>
      <c r="G7" s="2047"/>
      <c r="H7" s="2047"/>
      <c r="I7" s="2047" t="s">
        <v>2137</v>
      </c>
    </row>
    <row r="8" spans="1:9" x14ac:dyDescent="0.2">
      <c r="C8" s="2046" t="s">
        <v>2136</v>
      </c>
      <c r="D8" s="2047"/>
      <c r="E8" s="2048" t="s">
        <v>2135</v>
      </c>
      <c r="F8" s="2047"/>
      <c r="G8" s="2048" t="s">
        <v>2134</v>
      </c>
      <c r="H8" s="2047"/>
      <c r="I8" s="2046" t="s">
        <v>2133</v>
      </c>
    </row>
    <row r="10" spans="1:9" x14ac:dyDescent="0.2">
      <c r="A10" s="2035" t="s">
        <v>2132</v>
      </c>
    </row>
    <row r="12" spans="1:9" x14ac:dyDescent="0.2">
      <c r="A12" s="2035" t="s">
        <v>2131</v>
      </c>
      <c r="C12" s="2045">
        <f>+C74-23500</f>
        <v>47765</v>
      </c>
      <c r="E12" s="2045">
        <f>+E74</f>
        <v>156030</v>
      </c>
      <c r="G12" s="2045">
        <f>+G74</f>
        <v>148602</v>
      </c>
      <c r="I12" s="2045">
        <f>+C12+E12-G12</f>
        <v>55193</v>
      </c>
    </row>
    <row r="13" spans="1:9" x14ac:dyDescent="0.2">
      <c r="A13" s="2035" t="s">
        <v>985</v>
      </c>
      <c r="C13" s="2039">
        <v>23500</v>
      </c>
      <c r="D13" s="2040"/>
      <c r="E13" s="2039">
        <v>0</v>
      </c>
      <c r="F13" s="2040"/>
      <c r="G13" s="2039">
        <v>0</v>
      </c>
      <c r="H13" s="2040"/>
      <c r="I13" s="2039">
        <f>+C13+E13-G13</f>
        <v>23500</v>
      </c>
    </row>
    <row r="14" spans="1:9" x14ac:dyDescent="0.2">
      <c r="C14" s="2041"/>
      <c r="D14" s="2040"/>
      <c r="E14" s="2041"/>
      <c r="F14" s="2040"/>
      <c r="G14" s="2041"/>
      <c r="H14" s="2040"/>
      <c r="I14" s="2041"/>
    </row>
    <row r="15" spans="1:9" ht="13.5" thickBot="1" x14ac:dyDescent="0.25">
      <c r="A15" s="2035" t="s">
        <v>2130</v>
      </c>
      <c r="C15" s="2043">
        <f>+C12+C13</f>
        <v>71265</v>
      </c>
      <c r="D15" s="2044"/>
      <c r="E15" s="2043">
        <f>+E12+E13</f>
        <v>156030</v>
      </c>
      <c r="F15" s="2044"/>
      <c r="G15" s="2043">
        <f>+G12+G13</f>
        <v>148602</v>
      </c>
      <c r="H15" s="2044"/>
      <c r="I15" s="2043">
        <f>+I12+I13</f>
        <v>78693</v>
      </c>
    </row>
    <row r="16" spans="1:9" ht="13.5" thickTop="1" x14ac:dyDescent="0.2">
      <c r="C16" s="2038"/>
      <c r="D16" s="2038"/>
      <c r="E16" s="2038"/>
      <c r="F16" s="2038"/>
      <c r="G16" s="2038"/>
      <c r="H16" s="2038"/>
      <c r="I16" s="2038"/>
    </row>
    <row r="17" spans="1:9" x14ac:dyDescent="0.2">
      <c r="A17" s="2035" t="s">
        <v>2129</v>
      </c>
      <c r="C17" s="2038"/>
      <c r="D17" s="2038"/>
      <c r="E17" s="2038"/>
      <c r="F17" s="2038"/>
      <c r="G17" s="2038"/>
      <c r="H17" s="2038"/>
      <c r="I17" s="2038"/>
    </row>
    <row r="18" spans="1:9" x14ac:dyDescent="0.2">
      <c r="C18" s="2038"/>
      <c r="D18" s="2038"/>
      <c r="E18" s="2038"/>
      <c r="F18" s="2038"/>
      <c r="G18" s="2038"/>
      <c r="H18" s="2038"/>
      <c r="I18" s="2038"/>
    </row>
    <row r="19" spans="1:9" x14ac:dyDescent="0.2">
      <c r="A19" s="2035" t="s">
        <v>2128</v>
      </c>
      <c r="C19" s="2038"/>
      <c r="D19" s="2038"/>
      <c r="E19" s="2038"/>
      <c r="F19" s="2038"/>
      <c r="G19" s="2038"/>
      <c r="H19" s="2038"/>
      <c r="I19" s="2038"/>
    </row>
    <row r="20" spans="1:9" x14ac:dyDescent="0.2">
      <c r="A20" s="2035" t="s">
        <v>2127</v>
      </c>
      <c r="C20" s="2037">
        <v>244</v>
      </c>
      <c r="D20" s="2037"/>
      <c r="E20" s="2037">
        <v>6105</v>
      </c>
      <c r="F20" s="2037"/>
      <c r="G20" s="2037">
        <v>5103</v>
      </c>
      <c r="H20" s="2037"/>
      <c r="I20" s="2042">
        <f t="shared" ref="I20:I51" si="0">+C20+E20-G20</f>
        <v>1246</v>
      </c>
    </row>
    <row r="21" spans="1:9" x14ac:dyDescent="0.2">
      <c r="A21" s="2035" t="s">
        <v>2126</v>
      </c>
      <c r="C21" s="2040">
        <v>398</v>
      </c>
      <c r="D21" s="2040"/>
      <c r="E21" s="2040">
        <v>1350</v>
      </c>
      <c r="F21" s="2040"/>
      <c r="G21" s="2040">
        <v>915</v>
      </c>
      <c r="H21" s="2040"/>
      <c r="I21" s="2041">
        <f t="shared" si="0"/>
        <v>833</v>
      </c>
    </row>
    <row r="22" spans="1:9" x14ac:dyDescent="0.2">
      <c r="A22" s="2035" t="s">
        <v>2125</v>
      </c>
      <c r="C22" s="2040">
        <v>2228</v>
      </c>
      <c r="D22" s="2040"/>
      <c r="E22" s="2040">
        <v>836</v>
      </c>
      <c r="F22" s="2040"/>
      <c r="G22" s="2040">
        <v>200</v>
      </c>
      <c r="H22" s="2040"/>
      <c r="I22" s="2041">
        <f t="shared" si="0"/>
        <v>2864</v>
      </c>
    </row>
    <row r="23" spans="1:9" x14ac:dyDescent="0.2">
      <c r="A23" s="2035" t="s">
        <v>2124</v>
      </c>
      <c r="C23" s="2040">
        <v>34</v>
      </c>
      <c r="D23" s="2040"/>
      <c r="E23" s="2040">
        <v>0</v>
      </c>
      <c r="F23" s="2040"/>
      <c r="G23" s="2040">
        <v>34</v>
      </c>
      <c r="H23" s="2040"/>
      <c r="I23" s="2041">
        <f t="shared" si="0"/>
        <v>0</v>
      </c>
    </row>
    <row r="24" spans="1:9" x14ac:dyDescent="0.2">
      <c r="A24" s="2035" t="s">
        <v>2123</v>
      </c>
      <c r="C24" s="2040">
        <v>770</v>
      </c>
      <c r="D24" s="2040"/>
      <c r="E24" s="2040">
        <v>2678</v>
      </c>
      <c r="F24" s="2040"/>
      <c r="G24" s="2040">
        <v>3097</v>
      </c>
      <c r="H24" s="2040"/>
      <c r="I24" s="2041">
        <f t="shared" si="0"/>
        <v>351</v>
      </c>
    </row>
    <row r="25" spans="1:9" x14ac:dyDescent="0.2">
      <c r="A25" s="2035" t="s">
        <v>2122</v>
      </c>
      <c r="C25" s="2040">
        <v>3190</v>
      </c>
      <c r="D25" s="2040"/>
      <c r="E25" s="2040">
        <v>0</v>
      </c>
      <c r="F25" s="2040"/>
      <c r="G25" s="2040">
        <v>3190</v>
      </c>
      <c r="H25" s="2040"/>
      <c r="I25" s="2041">
        <f t="shared" si="0"/>
        <v>0</v>
      </c>
    </row>
    <row r="26" spans="1:9" x14ac:dyDescent="0.2">
      <c r="A26" s="2035" t="s">
        <v>2121</v>
      </c>
      <c r="C26" s="2040">
        <v>902</v>
      </c>
      <c r="D26" s="2040"/>
      <c r="E26" s="2040">
        <v>0</v>
      </c>
      <c r="F26" s="2040"/>
      <c r="G26" s="2040">
        <v>0</v>
      </c>
      <c r="H26" s="2040"/>
      <c r="I26" s="2041">
        <f t="shared" si="0"/>
        <v>902</v>
      </c>
    </row>
    <row r="27" spans="1:9" x14ac:dyDescent="0.2">
      <c r="A27" s="2035" t="s">
        <v>2120</v>
      </c>
      <c r="C27" s="2040">
        <v>5765</v>
      </c>
      <c r="D27" s="2040"/>
      <c r="E27" s="2040">
        <v>8119</v>
      </c>
      <c r="F27" s="2040"/>
      <c r="G27" s="2040">
        <v>6340</v>
      </c>
      <c r="H27" s="2040"/>
      <c r="I27" s="2041">
        <f t="shared" si="0"/>
        <v>7544</v>
      </c>
    </row>
    <row r="28" spans="1:9" x14ac:dyDescent="0.2">
      <c r="A28" s="2035" t="s">
        <v>2119</v>
      </c>
      <c r="C28" s="2040">
        <v>1404</v>
      </c>
      <c r="D28" s="2040"/>
      <c r="E28" s="2040">
        <v>31287</v>
      </c>
      <c r="F28" s="2040"/>
      <c r="G28" s="2040">
        <v>24887</v>
      </c>
      <c r="H28" s="2040"/>
      <c r="I28" s="2041">
        <f t="shared" si="0"/>
        <v>7804</v>
      </c>
    </row>
    <row r="29" spans="1:9" x14ac:dyDescent="0.2">
      <c r="A29" s="2035" t="s">
        <v>2118</v>
      </c>
      <c r="C29" s="2040">
        <v>39</v>
      </c>
      <c r="D29" s="2040"/>
      <c r="E29" s="2040">
        <v>0</v>
      </c>
      <c r="F29" s="2040"/>
      <c r="G29" s="2040">
        <v>39</v>
      </c>
      <c r="H29" s="2040"/>
      <c r="I29" s="2041">
        <f t="shared" si="0"/>
        <v>0</v>
      </c>
    </row>
    <row r="30" spans="1:9" x14ac:dyDescent="0.2">
      <c r="A30" s="2035" t="s">
        <v>2117</v>
      </c>
      <c r="C30" s="2040">
        <v>308</v>
      </c>
      <c r="D30" s="2040"/>
      <c r="E30" s="2040">
        <v>363</v>
      </c>
      <c r="F30" s="2040"/>
      <c r="G30" s="2040">
        <v>209</v>
      </c>
      <c r="H30" s="2040"/>
      <c r="I30" s="2041">
        <f t="shared" si="0"/>
        <v>462</v>
      </c>
    </row>
    <row r="31" spans="1:9" x14ac:dyDescent="0.2">
      <c r="A31" s="2035" t="s">
        <v>2116</v>
      </c>
      <c r="C31" s="2040">
        <v>294</v>
      </c>
      <c r="D31" s="2040"/>
      <c r="E31" s="2040">
        <v>5294</v>
      </c>
      <c r="F31" s="2040"/>
      <c r="G31" s="2040">
        <v>4795</v>
      </c>
      <c r="H31" s="2040"/>
      <c r="I31" s="2041">
        <f t="shared" si="0"/>
        <v>793</v>
      </c>
    </row>
    <row r="32" spans="1:9" x14ac:dyDescent="0.2">
      <c r="A32" s="2035" t="s">
        <v>2115</v>
      </c>
      <c r="C32" s="2040">
        <v>265</v>
      </c>
      <c r="D32" s="2040"/>
      <c r="E32" s="2040">
        <v>1515</v>
      </c>
      <c r="F32" s="2040"/>
      <c r="G32" s="2040">
        <v>1475</v>
      </c>
      <c r="H32" s="2040"/>
      <c r="I32" s="2041">
        <f t="shared" si="0"/>
        <v>305</v>
      </c>
    </row>
    <row r="33" spans="1:9" x14ac:dyDescent="0.2">
      <c r="A33" s="2035" t="s">
        <v>2114</v>
      </c>
      <c r="C33" s="2040">
        <v>2462</v>
      </c>
      <c r="D33" s="2040"/>
      <c r="E33" s="2040">
        <v>6234</v>
      </c>
      <c r="F33" s="2040"/>
      <c r="G33" s="2040">
        <v>8579</v>
      </c>
      <c r="H33" s="2040"/>
      <c r="I33" s="2041">
        <f t="shared" si="0"/>
        <v>117</v>
      </c>
    </row>
    <row r="34" spans="1:9" x14ac:dyDescent="0.2">
      <c r="A34" s="2035" t="s">
        <v>2113</v>
      </c>
      <c r="C34" s="2040">
        <v>326</v>
      </c>
      <c r="D34" s="2040"/>
      <c r="E34" s="2040">
        <v>720</v>
      </c>
      <c r="F34" s="2040"/>
      <c r="G34" s="2040">
        <v>17</v>
      </c>
      <c r="H34" s="2040"/>
      <c r="I34" s="2041">
        <f t="shared" si="0"/>
        <v>1029</v>
      </c>
    </row>
    <row r="35" spans="1:9" x14ac:dyDescent="0.2">
      <c r="A35" s="2035" t="s">
        <v>2112</v>
      </c>
      <c r="C35" s="2040">
        <v>0</v>
      </c>
      <c r="D35" s="2040"/>
      <c r="E35" s="2040">
        <v>1614</v>
      </c>
      <c r="F35" s="2040"/>
      <c r="G35" s="2040">
        <v>830</v>
      </c>
      <c r="H35" s="2040"/>
      <c r="I35" s="2041">
        <f t="shared" si="0"/>
        <v>784</v>
      </c>
    </row>
    <row r="36" spans="1:9" x14ac:dyDescent="0.2">
      <c r="A36" s="2035" t="s">
        <v>2111</v>
      </c>
      <c r="C36" s="2040">
        <v>245</v>
      </c>
      <c r="D36" s="2040"/>
      <c r="E36" s="2040">
        <v>546</v>
      </c>
      <c r="F36" s="2040"/>
      <c r="G36" s="2040">
        <v>624</v>
      </c>
      <c r="H36" s="2040"/>
      <c r="I36" s="2041">
        <f t="shared" si="0"/>
        <v>167</v>
      </c>
    </row>
    <row r="37" spans="1:9" x14ac:dyDescent="0.2">
      <c r="A37" s="2035" t="s">
        <v>2110</v>
      </c>
      <c r="C37" s="2040">
        <v>2893</v>
      </c>
      <c r="D37" s="2040"/>
      <c r="E37" s="2040">
        <v>18315</v>
      </c>
      <c r="F37" s="2040"/>
      <c r="G37" s="2040">
        <v>11191</v>
      </c>
      <c r="H37" s="2040"/>
      <c r="I37" s="2041">
        <f t="shared" si="0"/>
        <v>10017</v>
      </c>
    </row>
    <row r="38" spans="1:9" x14ac:dyDescent="0.2">
      <c r="A38" s="2035" t="s">
        <v>2109</v>
      </c>
      <c r="C38" s="2040">
        <v>45</v>
      </c>
      <c r="D38" s="2040"/>
      <c r="E38" s="2040">
        <v>3919</v>
      </c>
      <c r="F38" s="2040"/>
      <c r="G38" s="2040">
        <v>2880</v>
      </c>
      <c r="H38" s="2040"/>
      <c r="I38" s="2041">
        <f t="shared" si="0"/>
        <v>1084</v>
      </c>
    </row>
    <row r="39" spans="1:9" x14ac:dyDescent="0.2">
      <c r="A39" s="2035" t="s">
        <v>2108</v>
      </c>
      <c r="C39" s="2040">
        <v>1137</v>
      </c>
      <c r="D39" s="2040"/>
      <c r="E39" s="2040">
        <v>2591</v>
      </c>
      <c r="F39" s="2040"/>
      <c r="G39" s="2040">
        <v>1535</v>
      </c>
      <c r="H39" s="2040"/>
      <c r="I39" s="2041">
        <f t="shared" si="0"/>
        <v>2193</v>
      </c>
    </row>
    <row r="40" spans="1:9" x14ac:dyDescent="0.2">
      <c r="A40" s="2035" t="s">
        <v>2107</v>
      </c>
      <c r="C40" s="2040">
        <v>26</v>
      </c>
      <c r="D40" s="2040"/>
      <c r="E40" s="2040">
        <v>5196</v>
      </c>
      <c r="F40" s="2040"/>
      <c r="G40" s="2040">
        <v>2604</v>
      </c>
      <c r="H40" s="2040"/>
      <c r="I40" s="2041">
        <f t="shared" si="0"/>
        <v>2618</v>
      </c>
    </row>
    <row r="41" spans="1:9" x14ac:dyDescent="0.2">
      <c r="A41" s="2035" t="s">
        <v>2106</v>
      </c>
      <c r="C41" s="2040">
        <v>564</v>
      </c>
      <c r="D41" s="2040"/>
      <c r="E41" s="2040">
        <v>1815</v>
      </c>
      <c r="F41" s="2040"/>
      <c r="G41" s="2040">
        <v>2171</v>
      </c>
      <c r="H41" s="2040"/>
      <c r="I41" s="2041">
        <f t="shared" si="0"/>
        <v>208</v>
      </c>
    </row>
    <row r="42" spans="1:9" x14ac:dyDescent="0.2">
      <c r="A42" s="2035" t="s">
        <v>2105</v>
      </c>
      <c r="C42" s="2040">
        <v>50</v>
      </c>
      <c r="D42" s="2040"/>
      <c r="E42" s="2040">
        <v>120</v>
      </c>
      <c r="F42" s="2040"/>
      <c r="G42" s="2040">
        <v>140</v>
      </c>
      <c r="H42" s="2040"/>
      <c r="I42" s="2041">
        <f t="shared" si="0"/>
        <v>30</v>
      </c>
    </row>
    <row r="43" spans="1:9" x14ac:dyDescent="0.2">
      <c r="A43" s="2035" t="s">
        <v>2104</v>
      </c>
      <c r="C43" s="2040">
        <v>1548</v>
      </c>
      <c r="D43" s="2040"/>
      <c r="E43" s="2040">
        <v>690</v>
      </c>
      <c r="F43" s="2040"/>
      <c r="G43" s="2040">
        <v>598</v>
      </c>
      <c r="H43" s="2040"/>
      <c r="I43" s="2041">
        <f t="shared" si="0"/>
        <v>1640</v>
      </c>
    </row>
    <row r="44" spans="1:9" x14ac:dyDescent="0.2">
      <c r="A44" s="2035" t="s">
        <v>2103</v>
      </c>
      <c r="C44" s="2040">
        <v>2702</v>
      </c>
      <c r="D44" s="2040"/>
      <c r="E44" s="2040">
        <v>4933</v>
      </c>
      <c r="F44" s="2040"/>
      <c r="G44" s="2040">
        <v>4526</v>
      </c>
      <c r="H44" s="2040"/>
      <c r="I44" s="2041">
        <f t="shared" si="0"/>
        <v>3109</v>
      </c>
    </row>
    <row r="45" spans="1:9" x14ac:dyDescent="0.2">
      <c r="A45" s="2035" t="s">
        <v>2102</v>
      </c>
      <c r="C45" s="2040">
        <v>897</v>
      </c>
      <c r="D45" s="2040"/>
      <c r="E45" s="2040">
        <v>0</v>
      </c>
      <c r="F45" s="2040"/>
      <c r="G45" s="2040">
        <v>0</v>
      </c>
      <c r="H45" s="2040"/>
      <c r="I45" s="2041">
        <f t="shared" si="0"/>
        <v>897</v>
      </c>
    </row>
    <row r="46" spans="1:9" x14ac:dyDescent="0.2">
      <c r="A46" s="2035" t="s">
        <v>2101</v>
      </c>
      <c r="C46" s="2040">
        <v>2207</v>
      </c>
      <c r="D46" s="2040"/>
      <c r="E46" s="2040">
        <v>1968</v>
      </c>
      <c r="F46" s="2040"/>
      <c r="G46" s="2040">
        <v>3734</v>
      </c>
      <c r="H46" s="2040"/>
      <c r="I46" s="2041">
        <f t="shared" si="0"/>
        <v>441</v>
      </c>
    </row>
    <row r="47" spans="1:9" x14ac:dyDescent="0.2">
      <c r="A47" s="2035" t="s">
        <v>2100</v>
      </c>
      <c r="C47" s="2040">
        <v>49</v>
      </c>
      <c r="D47" s="2040"/>
      <c r="E47" s="2040">
        <v>200</v>
      </c>
      <c r="F47" s="2040"/>
      <c r="G47" s="2040">
        <v>0</v>
      </c>
      <c r="H47" s="2040"/>
      <c r="I47" s="2041">
        <f t="shared" si="0"/>
        <v>249</v>
      </c>
    </row>
    <row r="48" spans="1:9" x14ac:dyDescent="0.2">
      <c r="A48" s="2035" t="s">
        <v>2099</v>
      </c>
      <c r="C48" s="2040">
        <v>0</v>
      </c>
      <c r="D48" s="2040"/>
      <c r="E48" s="2040">
        <v>1200</v>
      </c>
      <c r="F48" s="2040"/>
      <c r="G48" s="2040">
        <v>0</v>
      </c>
      <c r="H48" s="2040"/>
      <c r="I48" s="2041">
        <f t="shared" si="0"/>
        <v>1200</v>
      </c>
    </row>
    <row r="49" spans="1:9" x14ac:dyDescent="0.2">
      <c r="A49" s="2035" t="s">
        <v>2098</v>
      </c>
      <c r="C49" s="2040">
        <v>757</v>
      </c>
      <c r="D49" s="2040"/>
      <c r="E49" s="2040">
        <v>544</v>
      </c>
      <c r="F49" s="2040"/>
      <c r="G49" s="2040">
        <v>0</v>
      </c>
      <c r="H49" s="2040"/>
      <c r="I49" s="2041">
        <f t="shared" si="0"/>
        <v>1301</v>
      </c>
    </row>
    <row r="50" spans="1:9" x14ac:dyDescent="0.2">
      <c r="A50" s="2035" t="s">
        <v>2097</v>
      </c>
      <c r="C50" s="2040">
        <v>9694</v>
      </c>
      <c r="D50" s="2040"/>
      <c r="E50" s="2040">
        <v>1041</v>
      </c>
      <c r="F50" s="2040"/>
      <c r="G50" s="2040">
        <v>10732</v>
      </c>
      <c r="H50" s="2040"/>
      <c r="I50" s="2041">
        <f t="shared" si="0"/>
        <v>3</v>
      </c>
    </row>
    <row r="51" spans="1:9" x14ac:dyDescent="0.2">
      <c r="A51" s="2035" t="s">
        <v>2096</v>
      </c>
      <c r="C51" s="2040">
        <v>490</v>
      </c>
      <c r="D51" s="2040"/>
      <c r="E51" s="2040">
        <v>1406</v>
      </c>
      <c r="F51" s="2040"/>
      <c r="G51" s="2040">
        <v>623</v>
      </c>
      <c r="H51" s="2040"/>
      <c r="I51" s="2041">
        <f t="shared" si="0"/>
        <v>1273</v>
      </c>
    </row>
    <row r="52" spans="1:9" x14ac:dyDescent="0.2">
      <c r="A52" s="2035" t="s">
        <v>2095</v>
      </c>
      <c r="C52" s="2040">
        <v>378</v>
      </c>
      <c r="D52" s="2040"/>
      <c r="E52" s="2040">
        <v>0</v>
      </c>
      <c r="F52" s="2040"/>
      <c r="G52" s="2040">
        <v>0</v>
      </c>
      <c r="H52" s="2040"/>
      <c r="I52" s="2041">
        <f t="shared" ref="I52:I72" si="1">+C52+E52-G52</f>
        <v>378</v>
      </c>
    </row>
    <row r="53" spans="1:9" x14ac:dyDescent="0.2">
      <c r="A53" s="2035" t="s">
        <v>2094</v>
      </c>
      <c r="C53" s="2040">
        <v>372</v>
      </c>
      <c r="D53" s="2040"/>
      <c r="E53" s="2040">
        <v>0</v>
      </c>
      <c r="F53" s="2040"/>
      <c r="G53" s="2040">
        <v>0</v>
      </c>
      <c r="H53" s="2040"/>
      <c r="I53" s="2041">
        <f t="shared" si="1"/>
        <v>372</v>
      </c>
    </row>
    <row r="54" spans="1:9" x14ac:dyDescent="0.2">
      <c r="A54" s="2035" t="s">
        <v>2093</v>
      </c>
      <c r="C54" s="2040">
        <v>1219</v>
      </c>
      <c r="D54" s="2040"/>
      <c r="E54" s="2040">
        <v>2025</v>
      </c>
      <c r="F54" s="2040"/>
      <c r="G54" s="2040">
        <v>1172</v>
      </c>
      <c r="H54" s="2040"/>
      <c r="I54" s="2041">
        <f t="shared" si="1"/>
        <v>2072</v>
      </c>
    </row>
    <row r="55" spans="1:9" x14ac:dyDescent="0.2">
      <c r="A55" s="2035" t="s">
        <v>2092</v>
      </c>
      <c r="C55" s="2040">
        <v>12</v>
      </c>
      <c r="D55" s="2040"/>
      <c r="E55" s="2040">
        <v>3248</v>
      </c>
      <c r="F55" s="2040"/>
      <c r="G55" s="2040">
        <v>221</v>
      </c>
      <c r="H55" s="2040"/>
      <c r="I55" s="2041">
        <f t="shared" si="1"/>
        <v>3039</v>
      </c>
    </row>
    <row r="56" spans="1:9" x14ac:dyDescent="0.2">
      <c r="A56" s="2035" t="s">
        <v>2091</v>
      </c>
      <c r="C56" s="2040">
        <v>318</v>
      </c>
      <c r="D56" s="2040"/>
      <c r="E56" s="2040">
        <v>0</v>
      </c>
      <c r="F56" s="2040"/>
      <c r="G56" s="2040">
        <v>318</v>
      </c>
      <c r="H56" s="2040"/>
      <c r="I56" s="2041">
        <f t="shared" si="1"/>
        <v>0</v>
      </c>
    </row>
    <row r="57" spans="1:9" x14ac:dyDescent="0.2">
      <c r="A57" s="2035" t="s">
        <v>2090</v>
      </c>
      <c r="C57" s="2040">
        <v>11</v>
      </c>
      <c r="D57" s="2040"/>
      <c r="E57" s="2040">
        <v>141</v>
      </c>
      <c r="F57" s="2040"/>
      <c r="G57" s="2040">
        <v>150</v>
      </c>
      <c r="H57" s="2040"/>
      <c r="I57" s="2041">
        <f t="shared" si="1"/>
        <v>2</v>
      </c>
    </row>
    <row r="58" spans="1:9" x14ac:dyDescent="0.2">
      <c r="A58" s="2035" t="s">
        <v>2089</v>
      </c>
      <c r="C58" s="2040">
        <v>1375</v>
      </c>
      <c r="D58" s="2040"/>
      <c r="E58" s="2040">
        <v>15811</v>
      </c>
      <c r="F58" s="2040"/>
      <c r="G58" s="2040">
        <v>6399</v>
      </c>
      <c r="H58" s="2040"/>
      <c r="I58" s="2041">
        <f t="shared" si="1"/>
        <v>10787</v>
      </c>
    </row>
    <row r="59" spans="1:9" x14ac:dyDescent="0.2">
      <c r="A59" s="2035" t="s">
        <v>2088</v>
      </c>
      <c r="C59" s="2040">
        <v>0</v>
      </c>
      <c r="D59" s="2040"/>
      <c r="E59" s="2040">
        <v>0</v>
      </c>
      <c r="F59" s="2040"/>
      <c r="G59" s="2040">
        <v>0</v>
      </c>
      <c r="H59" s="2040"/>
      <c r="I59" s="2041">
        <f t="shared" si="1"/>
        <v>0</v>
      </c>
    </row>
    <row r="60" spans="1:9" x14ac:dyDescent="0.2">
      <c r="A60" s="2035" t="s">
        <v>2087</v>
      </c>
      <c r="C60" s="2040">
        <v>0</v>
      </c>
      <c r="D60" s="2040"/>
      <c r="E60" s="2040">
        <v>3328</v>
      </c>
      <c r="F60" s="2040"/>
      <c r="G60" s="2040">
        <v>3137</v>
      </c>
      <c r="H60" s="2040"/>
      <c r="I60" s="2041">
        <f t="shared" si="1"/>
        <v>191</v>
      </c>
    </row>
    <row r="61" spans="1:9" x14ac:dyDescent="0.2">
      <c r="A61" s="2035" t="s">
        <v>2086</v>
      </c>
      <c r="C61" s="2040">
        <v>2977</v>
      </c>
      <c r="D61" s="2040"/>
      <c r="E61" s="2040">
        <v>0</v>
      </c>
      <c r="F61" s="2040"/>
      <c r="G61" s="2040">
        <v>2976</v>
      </c>
      <c r="H61" s="2040"/>
      <c r="I61" s="2041">
        <f t="shared" si="1"/>
        <v>1</v>
      </c>
    </row>
    <row r="62" spans="1:9" x14ac:dyDescent="0.2">
      <c r="A62" s="2035" t="s">
        <v>2085</v>
      </c>
      <c r="C62" s="2040">
        <v>2532</v>
      </c>
      <c r="D62" s="2040"/>
      <c r="E62" s="2040">
        <v>1944</v>
      </c>
      <c r="F62" s="2040"/>
      <c r="G62" s="2040">
        <v>3121</v>
      </c>
      <c r="H62" s="2040"/>
      <c r="I62" s="2041">
        <f t="shared" si="1"/>
        <v>1355</v>
      </c>
    </row>
    <row r="63" spans="1:9" x14ac:dyDescent="0.2">
      <c r="A63" s="2035" t="s">
        <v>2084</v>
      </c>
      <c r="C63" s="2040">
        <v>25</v>
      </c>
      <c r="D63" s="2040"/>
      <c r="E63" s="2040">
        <v>635</v>
      </c>
      <c r="F63" s="2040"/>
      <c r="G63" s="2040">
        <v>618</v>
      </c>
      <c r="H63" s="2040"/>
      <c r="I63" s="2041">
        <f t="shared" si="1"/>
        <v>42</v>
      </c>
    </row>
    <row r="64" spans="1:9" x14ac:dyDescent="0.2">
      <c r="A64" s="2035" t="s">
        <v>2083</v>
      </c>
      <c r="C64" s="2040">
        <v>33</v>
      </c>
      <c r="D64" s="2040"/>
      <c r="E64" s="2040">
        <v>1579</v>
      </c>
      <c r="F64" s="2040"/>
      <c r="G64" s="2040">
        <v>1611</v>
      </c>
      <c r="H64" s="2040"/>
      <c r="I64" s="2041">
        <f t="shared" si="1"/>
        <v>1</v>
      </c>
    </row>
    <row r="65" spans="1:9" x14ac:dyDescent="0.2">
      <c r="A65" s="2035" t="s">
        <v>2082</v>
      </c>
      <c r="C65" s="2040">
        <v>0</v>
      </c>
      <c r="D65" s="2040"/>
      <c r="E65" s="2040">
        <v>795</v>
      </c>
      <c r="F65" s="2040"/>
      <c r="G65" s="2040">
        <v>586</v>
      </c>
      <c r="H65" s="2040"/>
      <c r="I65" s="2041">
        <f t="shared" si="1"/>
        <v>209</v>
      </c>
    </row>
    <row r="66" spans="1:9" x14ac:dyDescent="0.2">
      <c r="A66" s="2035" t="s">
        <v>2081</v>
      </c>
      <c r="C66" s="2040">
        <v>4058</v>
      </c>
      <c r="D66" s="2040"/>
      <c r="E66" s="2040">
        <v>4630</v>
      </c>
      <c r="F66" s="2040"/>
      <c r="G66" s="2040">
        <v>4407</v>
      </c>
      <c r="H66" s="2040"/>
      <c r="I66" s="2041">
        <f t="shared" si="1"/>
        <v>4281</v>
      </c>
    </row>
    <row r="67" spans="1:9" x14ac:dyDescent="0.2">
      <c r="A67" s="2035" t="s">
        <v>2080</v>
      </c>
      <c r="C67" s="2040">
        <v>9280</v>
      </c>
      <c r="D67" s="2040"/>
      <c r="E67" s="2040">
        <v>6217</v>
      </c>
      <c r="F67" s="2040"/>
      <c r="G67" s="2040">
        <v>15497</v>
      </c>
      <c r="H67" s="2040"/>
      <c r="I67" s="2041">
        <f t="shared" si="1"/>
        <v>0</v>
      </c>
    </row>
    <row r="68" spans="1:9" x14ac:dyDescent="0.2">
      <c r="A68" s="2035" t="s">
        <v>2079</v>
      </c>
      <c r="C68" s="2040">
        <v>1915</v>
      </c>
      <c r="D68" s="2040"/>
      <c r="E68" s="2040">
        <v>500</v>
      </c>
      <c r="F68" s="2040"/>
      <c r="G68" s="2040">
        <v>500</v>
      </c>
      <c r="H68" s="2040"/>
      <c r="I68" s="2041">
        <f t="shared" si="1"/>
        <v>1915</v>
      </c>
    </row>
    <row r="69" spans="1:9" x14ac:dyDescent="0.2">
      <c r="A69" s="2035" t="s">
        <v>2078</v>
      </c>
      <c r="C69" s="2040">
        <v>360</v>
      </c>
      <c r="D69" s="2040"/>
      <c r="E69" s="2040">
        <v>2526</v>
      </c>
      <c r="F69" s="2040"/>
      <c r="G69" s="2040">
        <v>1363</v>
      </c>
      <c r="H69" s="2040"/>
      <c r="I69" s="2041">
        <f t="shared" si="1"/>
        <v>1523</v>
      </c>
    </row>
    <row r="70" spans="1:9" x14ac:dyDescent="0.2">
      <c r="A70" s="2035" t="s">
        <v>2077</v>
      </c>
      <c r="C70" s="2040">
        <v>501</v>
      </c>
      <c r="D70" s="2040"/>
      <c r="E70" s="2040">
        <v>66</v>
      </c>
      <c r="F70" s="2040"/>
      <c r="G70" s="2040">
        <v>85</v>
      </c>
      <c r="H70" s="2040"/>
      <c r="I70" s="2041">
        <f t="shared" si="1"/>
        <v>482</v>
      </c>
    </row>
    <row r="71" spans="1:9" x14ac:dyDescent="0.2">
      <c r="A71" s="2035" t="s">
        <v>2076</v>
      </c>
      <c r="C71" s="2040">
        <v>3219</v>
      </c>
      <c r="D71" s="2040"/>
      <c r="E71" s="2040">
        <v>1019</v>
      </c>
      <c r="F71" s="2040"/>
      <c r="G71" s="2040">
        <v>4238</v>
      </c>
      <c r="H71" s="2040"/>
      <c r="I71" s="2041">
        <f t="shared" si="1"/>
        <v>0</v>
      </c>
    </row>
    <row r="72" spans="1:9" x14ac:dyDescent="0.2">
      <c r="A72" s="2035" t="s">
        <v>2075</v>
      </c>
      <c r="C72" s="2039">
        <v>747</v>
      </c>
      <c r="D72" s="2040"/>
      <c r="E72" s="2039">
        <v>967</v>
      </c>
      <c r="F72" s="2040"/>
      <c r="G72" s="2039">
        <v>1135</v>
      </c>
      <c r="H72" s="2040"/>
      <c r="I72" s="2039">
        <f t="shared" si="1"/>
        <v>579</v>
      </c>
    </row>
    <row r="73" spans="1:9" ht="7.5" customHeight="1" x14ac:dyDescent="0.2">
      <c r="C73" s="2038"/>
      <c r="D73" s="2038"/>
      <c r="E73" s="2038"/>
      <c r="F73" s="2038"/>
      <c r="G73" s="2038"/>
      <c r="H73" s="2038"/>
      <c r="I73" s="2038"/>
    </row>
    <row r="74" spans="1:9" ht="13.5" thickBot="1" x14ac:dyDescent="0.25">
      <c r="A74" s="2035" t="s">
        <v>2074</v>
      </c>
      <c r="C74" s="2036">
        <f>SUM(C20:C72)</f>
        <v>71265</v>
      </c>
      <c r="D74" s="2037"/>
      <c r="E74" s="2036">
        <f>SUM(E20:E73)</f>
        <v>156030</v>
      </c>
      <c r="F74" s="2037"/>
      <c r="G74" s="2036">
        <f>SUM(G20:G72)</f>
        <v>148602</v>
      </c>
      <c r="H74" s="2037"/>
      <c r="I74" s="2036">
        <f>SUM(I20:I72)</f>
        <v>78693</v>
      </c>
    </row>
    <row r="75" spans="1:9" ht="13.5" thickTop="1" x14ac:dyDescent="0.2"/>
  </sheetData>
  <mergeCells count="4">
    <mergeCell ref="A1:I1"/>
    <mergeCell ref="A2:I2"/>
    <mergeCell ref="A3:I3"/>
    <mergeCell ref="A4:I4"/>
  </mergeCells>
  <printOptions horizontalCentered="1"/>
  <pageMargins left="1" right="0.75" top="0.75" bottom="0.5" header="0.5" footer="0.25"/>
  <pageSetup scale="73" orientation="portrait" r:id="rId1"/>
  <headerFooter>
    <oddFooter>&amp;L
&amp;CReference should be made to accountant's report regarding this information.
55</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2" t="s">
        <v>1669</v>
      </c>
      <c r="B1" s="2503"/>
      <c r="C1" s="2503"/>
      <c r="D1" s="2503"/>
      <c r="E1" s="2503"/>
      <c r="F1" s="2504"/>
    </row>
    <row r="2" spans="1:8" ht="45" customHeight="1" x14ac:dyDescent="0.2">
      <c r="A2" s="251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3"/>
      <c r="C2" s="2513"/>
      <c r="D2" s="2513"/>
      <c r="E2" s="2513"/>
      <c r="F2" s="2514"/>
      <c r="G2" s="853"/>
      <c r="H2" s="853"/>
    </row>
    <row r="3" spans="1:8" ht="57" customHeight="1" x14ac:dyDescent="0.2">
      <c r="A3" s="2515" t="s">
        <v>1972</v>
      </c>
      <c r="B3" s="2516"/>
      <c r="C3" s="2516"/>
      <c r="D3" s="2516"/>
      <c r="E3" s="2516"/>
      <c r="F3" s="2517"/>
      <c r="G3" s="853"/>
      <c r="H3" s="853"/>
    </row>
    <row r="4" spans="1:8" ht="14.25" customHeight="1" x14ac:dyDescent="0.2">
      <c r="A4" s="252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2"/>
      <c r="C4" s="2522"/>
      <c r="D4" s="2522"/>
      <c r="E4" s="2522"/>
      <c r="F4" s="2523"/>
      <c r="G4" s="853"/>
      <c r="H4" s="853"/>
    </row>
    <row r="5" spans="1:8" ht="14.25" customHeight="1" x14ac:dyDescent="0.2">
      <c r="A5" s="252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5"/>
      <c r="C5" s="2525"/>
      <c r="D5" s="2525"/>
      <c r="E5" s="2525"/>
      <c r="F5" s="2526"/>
      <c r="G5" s="853"/>
      <c r="H5" s="853"/>
    </row>
    <row r="6" spans="1:8" s="854" customFormat="1" ht="41.25" customHeight="1" x14ac:dyDescent="0.2">
      <c r="A6" s="2518" t="s">
        <v>1670</v>
      </c>
      <c r="B6" s="2519"/>
      <c r="C6" s="2519"/>
      <c r="D6" s="2519"/>
      <c r="E6" s="2519"/>
      <c r="F6" s="252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4212580</v>
      </c>
      <c r="C8" s="1813">
        <f>'Acct Summary 7-8'!D8</f>
        <v>562424</v>
      </c>
      <c r="D8" s="1813">
        <f>'Acct Summary 7-8'!F8</f>
        <v>360017</v>
      </c>
      <c r="E8" s="1813">
        <f>'Acct Summary 7-8'!I8</f>
        <v>18638</v>
      </c>
      <c r="F8" s="1813">
        <f>SUM(B8:E8)</f>
        <v>5153659</v>
      </c>
    </row>
    <row r="9" spans="1:8" s="858" customFormat="1" ht="14.25" customHeight="1" thickBot="1" x14ac:dyDescent="0.25">
      <c r="A9" s="857" t="s">
        <v>1353</v>
      </c>
      <c r="B9" s="1814">
        <f>'Acct Summary 7-8'!C17</f>
        <v>4504905</v>
      </c>
      <c r="C9" s="1814">
        <f>'Acct Summary 7-8'!D17</f>
        <v>612730</v>
      </c>
      <c r="D9" s="1814">
        <f>'Acct Summary 7-8'!F17</f>
        <v>382184</v>
      </c>
      <c r="E9" s="1813"/>
      <c r="F9" s="1813">
        <f>SUM(B9:E9)</f>
        <v>5499819</v>
      </c>
    </row>
    <row r="10" spans="1:8" s="858" customFormat="1" ht="14.25" thickTop="1" thickBot="1" x14ac:dyDescent="0.25">
      <c r="A10" s="859" t="s">
        <v>1354</v>
      </c>
      <c r="B10" s="1815">
        <f>(B8-B9)</f>
        <v>-292325</v>
      </c>
      <c r="C10" s="1815">
        <f>(C8-C9)</f>
        <v>-50306</v>
      </c>
      <c r="D10" s="1815">
        <f>(D8-D9)</f>
        <v>-22167</v>
      </c>
      <c r="E10" s="1814">
        <f>(E8-E9)</f>
        <v>18638</v>
      </c>
      <c r="F10" s="1816">
        <f>SUM(F8-F9)</f>
        <v>-346160</v>
      </c>
    </row>
    <row r="11" spans="1:8" s="858" customFormat="1" ht="14.25" thickTop="1" thickBot="1" x14ac:dyDescent="0.25">
      <c r="A11" s="860" t="s">
        <v>1903</v>
      </c>
      <c r="B11" s="1817">
        <f>'Acct Summary 7-8'!C81</f>
        <v>398798</v>
      </c>
      <c r="C11" s="1817">
        <f>'Acct Summary 7-8'!D81</f>
        <v>1167311</v>
      </c>
      <c r="D11" s="1817">
        <f>'Acct Summary 7-8'!F81</f>
        <v>231162</v>
      </c>
      <c r="E11" s="1817">
        <f>'Acct Summary 7-8'!I81</f>
        <v>462294</v>
      </c>
      <c r="F11" s="1818">
        <f>SUM(B11:E11)</f>
        <v>2259565</v>
      </c>
    </row>
    <row r="12" spans="1:8" ht="16.5" customHeight="1" thickTop="1" x14ac:dyDescent="0.2">
      <c r="A12" s="861"/>
      <c r="B12" s="862"/>
      <c r="C12" s="2506" t="str">
        <f>IF(AND(F10&lt;0,F11&gt;=0,ABS(F10*3)&gt;ABS(F11)),A16,IF(AND(F10&lt;0,F11&gt;0,ABS(F10*3)&lt;=ABS(F11)),A17,IF(AND(F10&lt;0,F11&lt;0),A16,IF(F11=0,A19,A18))))</f>
        <v>Unbalanced -  however, a deficit reduction plan is not required at this time.</v>
      </c>
      <c r="D12" s="2507"/>
      <c r="E12" s="2507"/>
      <c r="F12" s="2508"/>
    </row>
    <row r="13" spans="1:8" ht="19.5" customHeight="1" x14ac:dyDescent="0.2">
      <c r="A13" s="863"/>
      <c r="B13" s="864"/>
      <c r="C13" s="2506"/>
      <c r="D13" s="2507"/>
      <c r="E13" s="2507"/>
      <c r="F13" s="2508"/>
      <c r="H13" s="853"/>
    </row>
    <row r="14" spans="1:8" ht="19.5" customHeight="1" x14ac:dyDescent="0.2">
      <c r="A14" s="863"/>
      <c r="B14" s="864"/>
      <c r="C14" s="2506"/>
      <c r="D14" s="2507"/>
      <c r="E14" s="2507"/>
      <c r="F14" s="2508"/>
      <c r="H14" s="853"/>
    </row>
    <row r="15" spans="1:8" ht="17.25" customHeight="1" x14ac:dyDescent="0.2">
      <c r="A15" s="863"/>
      <c r="B15" s="864"/>
      <c r="C15" s="2509"/>
      <c r="D15" s="2510"/>
      <c r="E15" s="2510"/>
      <c r="F15" s="2511"/>
      <c r="H15" s="853"/>
    </row>
    <row r="16" spans="1:8" s="288" customFormat="1" ht="51.75" hidden="1" customHeight="1" x14ac:dyDescent="0.2">
      <c r="A16" s="2505" t="s">
        <v>1666</v>
      </c>
      <c r="B16" s="2505"/>
      <c r="C16" s="2505"/>
      <c r="D16" s="2505"/>
      <c r="E16" s="250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3"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27" t="s">
        <v>660</v>
      </c>
      <c r="B3" s="2528"/>
      <c r="C3" s="2528"/>
      <c r="D3" s="2529"/>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38" t="s">
        <v>1487</v>
      </c>
      <c r="D7" s="2539"/>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30" t="s">
        <v>1001</v>
      </c>
      <c r="B15" s="2531"/>
      <c r="C15" s="2531"/>
      <c r="D15" s="2532"/>
    </row>
    <row r="16" spans="1:4" s="542" customFormat="1" ht="24" customHeight="1" x14ac:dyDescent="0.2">
      <c r="A16" s="2533" t="s">
        <v>658</v>
      </c>
      <c r="B16" s="2534"/>
      <c r="C16" s="2534"/>
      <c r="D16" s="2535"/>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42" t="s">
        <v>311</v>
      </c>
      <c r="D21" s="2543"/>
    </row>
    <row r="22" spans="1:10" ht="12.75" x14ac:dyDescent="0.2">
      <c r="A22" s="918"/>
      <c r="B22" s="919">
        <v>2</v>
      </c>
      <c r="C22" s="2540" t="s">
        <v>1507</v>
      </c>
      <c r="D22" s="254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44" t="s">
        <v>533</v>
      </c>
      <c r="D43" s="254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36" t="s">
        <v>779</v>
      </c>
      <c r="D56" s="253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36" t="s">
        <v>1674</v>
      </c>
      <c r="D70" s="253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0" t="str">
        <f>IF('Contracts Paid in CY 29'!$D$34&gt;0,"OK","PLEASE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51084001026</v>
      </c>
      <c r="E2" s="1542">
        <v>2020</v>
      </c>
      <c r="F2" s="1542">
        <v>1</v>
      </c>
      <c r="G2" s="1898">
        <v>101000300</v>
      </c>
    </row>
    <row r="3" spans="1:7" ht="15" x14ac:dyDescent="0.25">
      <c r="A3" t="s">
        <v>950</v>
      </c>
      <c r="B3" s="135" t="str">
        <f>COVER!A15</f>
        <v>Sangamon</v>
      </c>
      <c r="E3" s="1830" t="s">
        <v>1971</v>
      </c>
      <c r="F3" s="1830" t="s">
        <v>1970</v>
      </c>
      <c r="G3" s="1898">
        <v>101000400</v>
      </c>
    </row>
    <row r="4" spans="1:7" ht="15" x14ac:dyDescent="0.25">
      <c r="A4" t="s">
        <v>1000</v>
      </c>
      <c r="B4" s="135" t="str">
        <f>COVER!A17</f>
        <v xml:space="preserve">  Tri City CUSD 1</v>
      </c>
      <c r="E4" s="1828">
        <v>44119</v>
      </c>
      <c r="F4" s="1829">
        <v>44151</v>
      </c>
      <c r="G4" s="1898">
        <v>101000600</v>
      </c>
    </row>
    <row r="5" spans="1:7" ht="15" x14ac:dyDescent="0.25">
      <c r="A5" t="s">
        <v>699</v>
      </c>
      <c r="B5" s="135" t="str">
        <f>COVER!A38</f>
        <v>Chad Colmone</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f>IF(COVER!J30="x","Yes",IF(COVER!L30="x","No",0))</f>
        <v>0</v>
      </c>
      <c r="G13" s="1898">
        <v>202100800</v>
      </c>
    </row>
    <row r="14" spans="1:7" ht="15" x14ac:dyDescent="0.25">
      <c r="A14" t="s">
        <v>473</v>
      </c>
      <c r="B14" s="135" t="str">
        <f>IF(COVER!J31="x","Yes",IF(COVER!L31="x","No",0))</f>
        <v>Yes</v>
      </c>
      <c r="G14" s="1898">
        <v>402100300</v>
      </c>
    </row>
    <row r="15" spans="1:7" ht="15" x14ac:dyDescent="0.25">
      <c r="A15" t="s">
        <v>573</v>
      </c>
      <c r="B15" s="135" t="str">
        <f>COVER!T23</f>
        <v>066-003847</v>
      </c>
      <c r="G15" s="1898">
        <v>402100400</v>
      </c>
    </row>
    <row r="16" spans="1:7" ht="15" x14ac:dyDescent="0.25">
      <c r="A16" t="s">
        <v>419</v>
      </c>
      <c r="B16" s="135" t="str">
        <f>COVER!T13</f>
        <v>LMHN, Ltd.</v>
      </c>
      <c r="G16" s="1898">
        <v>402100600</v>
      </c>
    </row>
    <row r="17" spans="1:7" ht="15" x14ac:dyDescent="0.25">
      <c r="A17" t="s">
        <v>878</v>
      </c>
      <c r="B17" s="135" t="str">
        <f>COVER!T15</f>
        <v>M. Adam Mathias</v>
      </c>
      <c r="G17" s="1898">
        <v>402100800</v>
      </c>
    </row>
    <row r="18" spans="1:7" ht="15" x14ac:dyDescent="0.25">
      <c r="A18" t="s">
        <v>1140</v>
      </c>
      <c r="B18" s="135" t="str">
        <f>COVER!T17</f>
        <v>900 N Webster St - PO Box 87</v>
      </c>
      <c r="G18" s="1898">
        <v>102200300</v>
      </c>
    </row>
    <row r="19" spans="1:7" ht="15" x14ac:dyDescent="0.25">
      <c r="A19" t="s">
        <v>880</v>
      </c>
      <c r="B19" s="135" t="str">
        <f>COVER!T25</f>
        <v>lmhncpas@outlook.com</v>
      </c>
      <c r="G19" s="1898">
        <v>102200400</v>
      </c>
    </row>
    <row r="20" spans="1:7" ht="15" x14ac:dyDescent="0.25">
      <c r="A20" t="s">
        <v>881</v>
      </c>
      <c r="B20" s="135" t="str">
        <f>COVER!T19</f>
        <v>Taylorville</v>
      </c>
      <c r="G20" s="1898">
        <v>102200600</v>
      </c>
    </row>
    <row r="21" spans="1:7" ht="15" x14ac:dyDescent="0.25">
      <c r="A21" t="s">
        <v>476</v>
      </c>
      <c r="B21" s="135" t="str">
        <f>COVER!X19</f>
        <v>IL</v>
      </c>
      <c r="G21" s="1898">
        <v>102200800</v>
      </c>
    </row>
    <row r="22" spans="1:7" ht="15" x14ac:dyDescent="0.25">
      <c r="A22" t="s">
        <v>882</v>
      </c>
      <c r="B22" s="135">
        <f>COVER!Z19</f>
        <v>62568</v>
      </c>
      <c r="G22" s="1898">
        <v>102300300</v>
      </c>
    </row>
    <row r="23" spans="1:7" ht="15" x14ac:dyDescent="0.25">
      <c r="A23" t="s">
        <v>1142</v>
      </c>
      <c r="B23" s="135" t="str">
        <f>COVER!T21</f>
        <v>217-824-9661</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35431</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311903</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398798</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398798</v>
      </c>
      <c r="D92" s="2" t="str">
        <f t="shared" si="0"/>
        <v>Error?</v>
      </c>
      <c r="G92" s="1898">
        <v>102640600</v>
      </c>
    </row>
    <row r="93" spans="1:7" ht="15" x14ac:dyDescent="0.25">
      <c r="A93" s="5">
        <v>32</v>
      </c>
      <c r="B93" s="1832">
        <f>'Assets-Liab 5-6'!C41</f>
        <v>398798</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987100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1167311</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1167311</v>
      </c>
      <c r="D123" s="2" t="str">
        <f t="shared" si="0"/>
        <v>Error?</v>
      </c>
      <c r="G123" s="1898">
        <v>203000400</v>
      </c>
    </row>
    <row r="124" spans="1:7" ht="15" x14ac:dyDescent="0.25">
      <c r="A124" s="5">
        <v>63</v>
      </c>
      <c r="B124" s="1832">
        <f>'Assets-Liab 5-6'!D41</f>
        <v>1167311</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290463</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291231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291231</v>
      </c>
      <c r="D140" s="2" t="str">
        <f t="shared" si="1"/>
        <v>Error?</v>
      </c>
    </row>
    <row r="141" spans="1:7" x14ac:dyDescent="0.2">
      <c r="A141" s="5">
        <v>80</v>
      </c>
      <c r="B141" s="1832">
        <f>'Assets-Liab 5-6'!E41</f>
        <v>291231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217434</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231162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231162</v>
      </c>
      <c r="D170" s="2" t="str">
        <f t="shared" si="1"/>
        <v>Error?</v>
      </c>
    </row>
    <row r="171" spans="1:4" x14ac:dyDescent="0.2">
      <c r="A171" s="5">
        <v>110</v>
      </c>
      <c r="B171" s="1832">
        <f>'Assets-Liab 5-6'!F41</f>
        <v>231162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63793</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64133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64133</v>
      </c>
      <c r="D189" s="2" t="str">
        <f t="shared" si="1"/>
        <v>Error?</v>
      </c>
    </row>
    <row r="190" spans="1:4" x14ac:dyDescent="0.2">
      <c r="A190" s="5">
        <v>129</v>
      </c>
      <c r="B190" s="1832">
        <f>'Assets-Liab 5-6'!G41</f>
        <v>64133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130972</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141760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186</v>
      </c>
      <c r="D212" s="2" t="str">
        <f t="shared" si="2"/>
        <v>Error?</v>
      </c>
    </row>
    <row r="213" spans="1:4" x14ac:dyDescent="0.2">
      <c r="A213" s="12">
        <v>152</v>
      </c>
      <c r="B213" s="1832">
        <f>'Assets-Liab 5-6'!H41</f>
        <v>141760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38176</v>
      </c>
      <c r="D273" s="2" t="str">
        <f t="shared" si="3"/>
        <v>Error?</v>
      </c>
    </row>
    <row r="274" spans="1:4" x14ac:dyDescent="0.2">
      <c r="A274" s="5">
        <v>213</v>
      </c>
      <c r="B274" s="1832">
        <f>'Assets-Liab 5-6'!M17</f>
        <v>9654452</v>
      </c>
      <c r="D274" s="2" t="str">
        <f t="shared" si="3"/>
        <v>Error?</v>
      </c>
    </row>
    <row r="275" spans="1:4" x14ac:dyDescent="0.2">
      <c r="A275" s="5">
        <v>214</v>
      </c>
      <c r="B275" s="1832">
        <f>'Assets-Liab 5-6'!M18</f>
        <v>85781</v>
      </c>
      <c r="D275" s="2" t="str">
        <f t="shared" si="3"/>
        <v>Error?</v>
      </c>
    </row>
    <row r="276" spans="1:4" x14ac:dyDescent="0.2">
      <c r="A276" s="5">
        <v>215</v>
      </c>
      <c r="B276" s="1832">
        <f>'Assets-Liab 5-6'!M19</f>
        <v>1132786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10911195</v>
      </c>
      <c r="C279" s="2" t="s">
        <v>569</v>
      </c>
      <c r="D279" s="2" t="str">
        <f t="shared" si="3"/>
        <v>Error?</v>
      </c>
    </row>
    <row r="280" spans="1:4" x14ac:dyDescent="0.2">
      <c r="A280" s="5">
        <v>219</v>
      </c>
      <c r="B280" s="1832">
        <f>'Assets-Liab 5-6'!M40</f>
        <v>10911195</v>
      </c>
      <c r="D280" s="2" t="str">
        <f t="shared" si="3"/>
        <v>Error?</v>
      </c>
    </row>
    <row r="281" spans="1:4" x14ac:dyDescent="0.2">
      <c r="A281" s="5">
        <v>220</v>
      </c>
      <c r="B281" s="1832">
        <f>'Assets-Liab 5-6'!M41</f>
        <v>10911195</v>
      </c>
      <c r="C281" s="2" t="s">
        <v>569</v>
      </c>
      <c r="D281" s="2" t="str">
        <f t="shared" si="3"/>
        <v>Error?</v>
      </c>
    </row>
    <row r="282" spans="1:4" x14ac:dyDescent="0.2">
      <c r="A282" s="5">
        <v>221</v>
      </c>
      <c r="B282" s="1832">
        <f>'Assets-Liab 5-6'!N21</f>
        <v>291231</v>
      </c>
      <c r="D282" s="2" t="str">
        <f t="shared" si="3"/>
        <v>Error?</v>
      </c>
    </row>
    <row r="283" spans="1:4" x14ac:dyDescent="0.2">
      <c r="A283" s="5">
        <v>222</v>
      </c>
      <c r="B283" s="1832">
        <f>'Assets-Liab 5-6'!N22</f>
        <v>3373769</v>
      </c>
      <c r="D283" s="2" t="str">
        <f t="shared" si="3"/>
        <v>Error?</v>
      </c>
    </row>
    <row r="284" spans="1:4" x14ac:dyDescent="0.2">
      <c r="A284" s="5">
        <v>223</v>
      </c>
      <c r="B284" s="1832">
        <f>'Assets-Liab 5-6'!N23</f>
        <v>3665000</v>
      </c>
      <c r="C284" s="2" t="s">
        <v>569</v>
      </c>
      <c r="D284" s="2" t="str">
        <f t="shared" si="3"/>
        <v>Error?</v>
      </c>
    </row>
    <row r="285" spans="1:4" x14ac:dyDescent="0.2">
      <c r="A285" s="5">
        <v>224</v>
      </c>
      <c r="B285" s="1832">
        <f>'Assets-Liab 5-6'!N36</f>
        <v>3665000</v>
      </c>
      <c r="D285" s="2" t="str">
        <f t="shared" si="3"/>
        <v>Error?</v>
      </c>
    </row>
    <row r="286" spans="1:4" x14ac:dyDescent="0.2">
      <c r="A286" s="10">
        <v>225</v>
      </c>
      <c r="B286" s="1832"/>
      <c r="D286" s="2" t="str">
        <f t="shared" si="3"/>
        <v>OK</v>
      </c>
    </row>
    <row r="287" spans="1:4" x14ac:dyDescent="0.2">
      <c r="A287" s="5">
        <v>226</v>
      </c>
      <c r="B287" s="1832">
        <f>'Assets-Liab 5-6'!N37</f>
        <v>3665000</v>
      </c>
      <c r="C287" s="2" t="s">
        <v>569</v>
      </c>
      <c r="D287" s="2" t="str">
        <f t="shared" si="3"/>
        <v>Error?</v>
      </c>
    </row>
    <row r="288" spans="1:4" x14ac:dyDescent="0.2">
      <c r="A288" s="5">
        <v>227</v>
      </c>
      <c r="B288" s="1832">
        <f>'Assets-Liab 5-6'!N41</f>
        <v>3665000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1667675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41962</v>
      </c>
      <c r="D717" s="2" t="str">
        <f t="shared" si="10"/>
        <v>Error?</v>
      </c>
    </row>
    <row r="718" spans="1:4" x14ac:dyDescent="0.2">
      <c r="A718" s="5">
        <v>657</v>
      </c>
      <c r="B718" s="1832">
        <f>'Expenditures 15-22'!C14</f>
        <v>116584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2359615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41212</v>
      </c>
      <c r="D722" s="2" t="str">
        <f t="shared" si="10"/>
        <v>Error?</v>
      </c>
    </row>
    <row r="723" spans="1:4" x14ac:dyDescent="0.2">
      <c r="A723" s="5">
        <v>662</v>
      </c>
      <c r="B723" s="1832">
        <f>'Expenditures 15-22'!C38</f>
        <v>50847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247174</v>
      </c>
      <c r="D726" s="2" t="str">
        <f t="shared" si="10"/>
        <v>Error?</v>
      </c>
    </row>
    <row r="727" spans="1:4" x14ac:dyDescent="0.2">
      <c r="A727" s="5">
        <v>666</v>
      </c>
      <c r="B727" s="1832">
        <f>'Expenditures 15-22'!C42</f>
        <v>339233</v>
      </c>
      <c r="C727" s="2" t="s">
        <v>569</v>
      </c>
      <c r="D727" s="2" t="str">
        <f t="shared" si="10"/>
        <v>Error?</v>
      </c>
    </row>
    <row r="728" spans="1:4" x14ac:dyDescent="0.2">
      <c r="A728" s="5">
        <v>667</v>
      </c>
      <c r="B728" s="1832">
        <f>'Expenditures 15-22'!C44</f>
        <v>40714</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40714</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145676</v>
      </c>
      <c r="D733" s="2" t="str">
        <f t="shared" si="10"/>
        <v>Error?</v>
      </c>
    </row>
    <row r="734" spans="1:4" x14ac:dyDescent="0.2">
      <c r="A734" s="5">
        <v>673</v>
      </c>
      <c r="B734" s="1832">
        <f>'Expenditures 15-22'!C53</f>
        <v>145676</v>
      </c>
      <c r="C734" s="2" t="s">
        <v>569</v>
      </c>
      <c r="D734" s="2" t="str">
        <f t="shared" si="10"/>
        <v>Error?</v>
      </c>
    </row>
    <row r="735" spans="1:4" x14ac:dyDescent="0.2">
      <c r="A735" s="5">
        <v>674</v>
      </c>
      <c r="B735" s="1832">
        <f>'Expenditures 15-22'!C55</f>
        <v>235687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235687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58859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54549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113408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874718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3234333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259867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7547</v>
      </c>
      <c r="D775" s="2" t="str">
        <f t="shared" si="11"/>
        <v>Error?</v>
      </c>
    </row>
    <row r="776" spans="1:4" x14ac:dyDescent="0.2">
      <c r="A776" s="5">
        <v>715</v>
      </c>
      <c r="B776" s="1832">
        <f>'Expenditures 15-22'!D14</f>
        <v>7295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332459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8673</v>
      </c>
      <c r="D780" s="2" t="str">
        <f t="shared" si="11"/>
        <v>Error?</v>
      </c>
    </row>
    <row r="781" spans="1:4" x14ac:dyDescent="0.2">
      <c r="A781" s="5">
        <v>720</v>
      </c>
      <c r="B781" s="1832">
        <f>'Expenditures 15-22'!D38</f>
        <v>7927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36103</v>
      </c>
      <c r="D784" s="2" t="str">
        <f t="shared" si="11"/>
        <v>Error?</v>
      </c>
    </row>
    <row r="785" spans="1:4" x14ac:dyDescent="0.2">
      <c r="A785" s="5">
        <v>724</v>
      </c>
      <c r="B785" s="1832">
        <f>'Expenditures 15-22'!D42</f>
        <v>52703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3646</v>
      </c>
      <c r="D791" s="2" t="str">
        <f t="shared" si="11"/>
        <v>Error?</v>
      </c>
    </row>
    <row r="792" spans="1:4" x14ac:dyDescent="0.2">
      <c r="A792" s="5">
        <v>731</v>
      </c>
      <c r="B792" s="1832">
        <f>'Expenditures 15-22'!D53</f>
        <v>3646</v>
      </c>
      <c r="C792" s="2" t="s">
        <v>569</v>
      </c>
      <c r="D792" s="2" t="str">
        <f t="shared" si="11"/>
        <v>Error?</v>
      </c>
    </row>
    <row r="793" spans="1:4" x14ac:dyDescent="0.2">
      <c r="A793" s="5">
        <v>732</v>
      </c>
      <c r="B793" s="1832">
        <f>'Expenditures 15-22'!D55</f>
        <v>11281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11281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6841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9241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16082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83712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416171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14571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43184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84</v>
      </c>
      <c r="D838" s="2" t="str">
        <f t="shared" si="12"/>
        <v>Error?</v>
      </c>
    </row>
    <row r="839" spans="1:4" x14ac:dyDescent="0.2">
      <c r="A839" s="5">
        <v>778</v>
      </c>
      <c r="B839" s="1832">
        <f>'Expenditures 15-22'!E38</f>
        <v>167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251</v>
      </c>
      <c r="C843" s="2" t="s">
        <v>569</v>
      </c>
      <c r="D843" s="2" t="str">
        <f t="shared" si="12"/>
        <v>Error?</v>
      </c>
    </row>
    <row r="844" spans="1:4" x14ac:dyDescent="0.2">
      <c r="A844" s="5">
        <v>783</v>
      </c>
      <c r="B844" s="1832">
        <f>'Expenditures 15-22'!E44</f>
        <v>53564</v>
      </c>
      <c r="D844" s="2" t="str">
        <f t="shared" si="12"/>
        <v>Error?</v>
      </c>
    </row>
    <row r="845" spans="1:4" x14ac:dyDescent="0.2">
      <c r="A845" s="5">
        <v>784</v>
      </c>
      <c r="B845" s="1832">
        <f>'Expenditures 15-22'!E45</f>
        <v>478</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54042</v>
      </c>
      <c r="C847" s="2" t="s">
        <v>569</v>
      </c>
      <c r="D847" s="2" t="str">
        <f t="shared" si="12"/>
        <v>Error?</v>
      </c>
    </row>
    <row r="848" spans="1:4" x14ac:dyDescent="0.2">
      <c r="A848" s="5">
        <v>787</v>
      </c>
      <c r="B848" s="1832">
        <f>'Expenditures 15-22'!E49</f>
        <v>15199</v>
      </c>
      <c r="D848" s="2" t="str">
        <f t="shared" si="12"/>
        <v>Error?</v>
      </c>
    </row>
    <row r="849" spans="1:4" x14ac:dyDescent="0.2">
      <c r="A849" s="5">
        <v>788</v>
      </c>
      <c r="B849" s="1832">
        <f>'Expenditures 15-22'!E50</f>
        <v>582</v>
      </c>
      <c r="D849" s="2" t="str">
        <f t="shared" si="12"/>
        <v>Error?</v>
      </c>
    </row>
    <row r="850" spans="1:4" x14ac:dyDescent="0.2">
      <c r="A850" s="5">
        <v>789</v>
      </c>
      <c r="B850" s="1832">
        <f>'Expenditures 15-22'!E53</f>
        <v>15781</v>
      </c>
      <c r="C850" s="2" t="s">
        <v>569</v>
      </c>
      <c r="D850" s="2" t="str">
        <f t="shared" si="12"/>
        <v>Error?</v>
      </c>
    </row>
    <row r="851" spans="1:4" x14ac:dyDescent="0.2">
      <c r="A851" s="5">
        <v>790</v>
      </c>
      <c r="B851" s="1832">
        <f>'Expenditures 15-22'!E55</f>
        <v>410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410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84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78475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78559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149043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192227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62702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6199</v>
      </c>
      <c r="D891" s="2" t="str">
        <f t="shared" si="12"/>
        <v>Error?</v>
      </c>
    </row>
    <row r="892" spans="1:4" x14ac:dyDescent="0.2">
      <c r="A892" s="5">
        <v>831</v>
      </c>
      <c r="B892" s="1832">
        <f>'Expenditures 15-22'!F14</f>
        <v>32632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144225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213</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213</v>
      </c>
      <c r="C901" s="2" t="s">
        <v>569</v>
      </c>
      <c r="D901" s="2" t="str">
        <f t="shared" si="13"/>
        <v>Error?</v>
      </c>
    </row>
    <row r="902" spans="1:4" x14ac:dyDescent="0.2">
      <c r="A902" s="5">
        <v>841</v>
      </c>
      <c r="B902" s="1832">
        <f>'Expenditures 15-22'!F44</f>
        <v>33448</v>
      </c>
      <c r="D902" s="2" t="str">
        <f t="shared" si="13"/>
        <v>Error?</v>
      </c>
    </row>
    <row r="903" spans="1:4" x14ac:dyDescent="0.2">
      <c r="A903" s="5">
        <v>842</v>
      </c>
      <c r="B903" s="1832">
        <f>'Expenditures 15-22'!F45</f>
        <v>2965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36413</v>
      </c>
      <c r="C905" s="2" t="s">
        <v>569</v>
      </c>
      <c r="D905" s="2" t="str">
        <f t="shared" si="13"/>
        <v>Error?</v>
      </c>
    </row>
    <row r="906" spans="1:4" x14ac:dyDescent="0.2">
      <c r="A906" s="5">
        <v>845</v>
      </c>
      <c r="B906" s="1832">
        <f>'Expenditures 15-22'!F49</f>
        <v>19138</v>
      </c>
      <c r="D906" s="2" t="str">
        <f t="shared" si="13"/>
        <v>Error?</v>
      </c>
    </row>
    <row r="907" spans="1:4" x14ac:dyDescent="0.2">
      <c r="A907" s="5">
        <v>846</v>
      </c>
      <c r="B907" s="1832">
        <f>'Expenditures 15-22'!F50</f>
        <v>56</v>
      </c>
      <c r="D907" s="2" t="str">
        <f t="shared" si="13"/>
        <v>Error?</v>
      </c>
    </row>
    <row r="908" spans="1:4" x14ac:dyDescent="0.2">
      <c r="A908" s="5">
        <v>847</v>
      </c>
      <c r="B908" s="1832">
        <f>'Expenditures 15-22'!F53</f>
        <v>19194</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3262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3342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59162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203387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526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500</v>
      </c>
      <c r="D949" s="2" t="str">
        <f t="shared" si="13"/>
        <v>Error?</v>
      </c>
    </row>
    <row r="950" spans="1:4" x14ac:dyDescent="0.2">
      <c r="A950" s="5">
        <v>889</v>
      </c>
      <c r="B950" s="1832">
        <f>'Expenditures 15-22'!G14</f>
        <v>3485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32161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26222</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26222</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26222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58383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5753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3135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8888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33882</v>
      </c>
      <c r="D1022" s="2" t="str">
        <f t="shared" si="14"/>
        <v>Error?</v>
      </c>
    </row>
    <row r="1023" spans="1:4" x14ac:dyDescent="0.2">
      <c r="A1023" s="5">
        <v>962</v>
      </c>
      <c r="B1023" s="1832">
        <f>'Expenditures 15-22'!H50</f>
        <v>999</v>
      </c>
      <c r="D1023" s="2" t="str">
        <f t="shared" ref="D1023:D1086" si="15">IF(ISBLANK(B1023),"OK",IF(A1023-B1023=0,"OK","Error?"))</f>
        <v>Error?</v>
      </c>
    </row>
    <row r="1024" spans="1:4" x14ac:dyDescent="0.2">
      <c r="A1024" s="5">
        <v>963</v>
      </c>
      <c r="B1024" s="1832">
        <f>'Expenditures 15-22'!H53</f>
        <v>34881</v>
      </c>
      <c r="C1024" s="2" t="s">
        <v>569</v>
      </c>
      <c r="D1024" s="2" t="str">
        <f t="shared" si="15"/>
        <v>Error?</v>
      </c>
    </row>
    <row r="1025" spans="1:4" x14ac:dyDescent="0.2">
      <c r="A1025" s="5">
        <v>964</v>
      </c>
      <c r="B1025" s="1832">
        <f>'Expenditures 15-22'!H55</f>
        <v>649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649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35530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355986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400404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1996573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56208</v>
      </c>
      <c r="C1105" s="2" t="s">
        <v>569</v>
      </c>
      <c r="D1105" s="2" t="str">
        <f t="shared" si="16"/>
        <v>Error?</v>
      </c>
    </row>
    <row r="1106" spans="1:4" x14ac:dyDescent="0.2">
      <c r="A1106" s="5">
        <v>1045</v>
      </c>
      <c r="B1106" s="1832">
        <f>'Expenditures 15-22'!K14</f>
        <v>177702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2920532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50182</v>
      </c>
      <c r="C1110" s="2" t="s">
        <v>569</v>
      </c>
      <c r="D1110" s="2" t="str">
        <f t="shared" si="16"/>
        <v>Error?</v>
      </c>
    </row>
    <row r="1111" spans="1:4" x14ac:dyDescent="0.2">
      <c r="A1111" s="5">
        <v>1050</v>
      </c>
      <c r="B1111" s="1832">
        <f>'Expenditures 15-22'!K38</f>
        <v>58941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283277</v>
      </c>
      <c r="C1114" s="2" t="s">
        <v>569</v>
      </c>
      <c r="D1114" s="2" t="str">
        <f t="shared" si="16"/>
        <v>Error?</v>
      </c>
    </row>
    <row r="1115" spans="1:4" x14ac:dyDescent="0.2">
      <c r="A1115" s="5">
        <v>1054</v>
      </c>
      <c r="B1115" s="1832">
        <f>'Expenditures 15-22'!K42</f>
        <v>392400</v>
      </c>
      <c r="C1115" s="2" t="s">
        <v>569</v>
      </c>
      <c r="D1115" s="2" t="str">
        <f t="shared" si="16"/>
        <v>Error?</v>
      </c>
    </row>
    <row r="1116" spans="1:4" x14ac:dyDescent="0.2">
      <c r="A1116" s="5">
        <v>1055</v>
      </c>
      <c r="B1116" s="1832">
        <f>'Expenditures 15-22'!K44</f>
        <v>127726</v>
      </c>
      <c r="C1116" s="2" t="s">
        <v>569</v>
      </c>
      <c r="D1116" s="2" t="str">
        <f t="shared" si="16"/>
        <v>Error?</v>
      </c>
    </row>
    <row r="1117" spans="1:4" x14ac:dyDescent="0.2">
      <c r="A1117" s="5">
        <v>1056</v>
      </c>
      <c r="B1117" s="1832">
        <f>'Expenditures 15-22'!K45</f>
        <v>3443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131169</v>
      </c>
      <c r="C1119" s="2" t="s">
        <v>569</v>
      </c>
      <c r="D1119" s="2" t="str">
        <f t="shared" si="16"/>
        <v>Error?</v>
      </c>
    </row>
    <row r="1120" spans="1:4" x14ac:dyDescent="0.2">
      <c r="A1120" s="5">
        <v>1059</v>
      </c>
      <c r="B1120" s="1832">
        <f>'Expenditures 15-22'!K49</f>
        <v>68219</v>
      </c>
      <c r="C1120" s="2" t="s">
        <v>569</v>
      </c>
      <c r="D1120" s="2" t="str">
        <f t="shared" si="16"/>
        <v>Error?</v>
      </c>
    </row>
    <row r="1121" spans="1:4" x14ac:dyDescent="0.2">
      <c r="A1121" s="5">
        <v>1060</v>
      </c>
      <c r="B1121" s="1832">
        <f>'Expenditures 15-22'!K50</f>
        <v>150959</v>
      </c>
      <c r="C1121" s="2" t="s">
        <v>569</v>
      </c>
      <c r="D1121" s="2" t="str">
        <f t="shared" si="16"/>
        <v>Error?</v>
      </c>
    </row>
    <row r="1122" spans="1:4" x14ac:dyDescent="0.2">
      <c r="A1122" s="5">
        <v>1061</v>
      </c>
      <c r="B1122" s="1832">
        <f>'Expenditures 15-22'!K53</f>
        <v>219178</v>
      </c>
      <c r="C1122" s="2" t="s">
        <v>569</v>
      </c>
      <c r="D1122" s="2" t="str">
        <f t="shared" si="16"/>
        <v>Error?</v>
      </c>
    </row>
    <row r="1123" spans="1:4" x14ac:dyDescent="0.2">
      <c r="A1123" s="5">
        <v>1062</v>
      </c>
      <c r="B1123" s="1832">
        <f>'Expenditures 15-22'!K55</f>
        <v>248027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248027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65864</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171749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237613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1228387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355986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4504905</v>
      </c>
      <c r="C1152" s="2" t="s">
        <v>569</v>
      </c>
      <c r="D1152" s="2" t="str">
        <f t="shared" si="17"/>
        <v>Error?</v>
      </c>
    </row>
    <row r="1153" spans="1:4" x14ac:dyDescent="0.2">
      <c r="A1153" s="5">
        <v>1092</v>
      </c>
      <c r="B1153" s="1832">
        <f>'Expenditures 15-22'!K115</f>
        <v>-292325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283100</v>
      </c>
      <c r="D1221" s="2" t="str">
        <f t="shared" si="18"/>
        <v>Error?</v>
      </c>
    </row>
    <row r="1222" spans="1:4" x14ac:dyDescent="0.2">
      <c r="A1222" s="10">
        <v>1161</v>
      </c>
      <c r="B1222" s="1832"/>
      <c r="D1222" s="2" t="str">
        <f t="shared" si="18"/>
        <v>OK</v>
      </c>
    </row>
    <row r="1223" spans="1:4" x14ac:dyDescent="0.2">
      <c r="A1223" s="5">
        <v>1162</v>
      </c>
      <c r="B1223" s="1832">
        <f>'Expenditures 15-22'!C127</f>
        <v>283100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283100</v>
      </c>
      <c r="C1225" s="2" t="s">
        <v>569</v>
      </c>
      <c r="D1225" s="2" t="str">
        <f t="shared" si="18"/>
        <v>Error?</v>
      </c>
    </row>
    <row r="1226" spans="1:4" x14ac:dyDescent="0.2">
      <c r="A1226" s="5">
        <v>1165</v>
      </c>
      <c r="B1226" s="1832">
        <f>'Expenditures 15-22'!C151</f>
        <v>283100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33486</v>
      </c>
      <c r="D1229" s="2" t="str">
        <f t="shared" si="18"/>
        <v>Error?</v>
      </c>
    </row>
    <row r="1230" spans="1:4" x14ac:dyDescent="0.2">
      <c r="A1230" s="10">
        <v>1169</v>
      </c>
      <c r="B1230" s="1832"/>
      <c r="D1230" s="2" t="str">
        <f t="shared" si="18"/>
        <v>OK</v>
      </c>
    </row>
    <row r="1231" spans="1:4" x14ac:dyDescent="0.2">
      <c r="A1231" s="5">
        <v>1170</v>
      </c>
      <c r="B1231" s="1832">
        <f>'Expenditures 15-22'!D127</f>
        <v>33486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33486</v>
      </c>
      <c r="C1233" s="2" t="s">
        <v>569</v>
      </c>
      <c r="D1233" s="2" t="str">
        <f t="shared" si="18"/>
        <v>Error?</v>
      </c>
    </row>
    <row r="1234" spans="1:4" x14ac:dyDescent="0.2">
      <c r="A1234" s="5">
        <v>1173</v>
      </c>
      <c r="B1234" s="1832">
        <f>'Expenditures 15-22'!D151</f>
        <v>33486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78773</v>
      </c>
      <c r="D1237" s="2" t="str">
        <f t="shared" si="18"/>
        <v>Error?</v>
      </c>
    </row>
    <row r="1238" spans="1:4" x14ac:dyDescent="0.2">
      <c r="A1238" s="10">
        <v>1177</v>
      </c>
      <c r="B1238" s="1832"/>
      <c r="D1238" s="2" t="str">
        <f t="shared" si="18"/>
        <v>OK</v>
      </c>
    </row>
    <row r="1239" spans="1:4" x14ac:dyDescent="0.2">
      <c r="A1239" s="5">
        <v>1178</v>
      </c>
      <c r="B1239" s="1832">
        <f>'Expenditures 15-22'!E127</f>
        <v>78773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78773</v>
      </c>
      <c r="C1241" s="2" t="s">
        <v>569</v>
      </c>
      <c r="D1241" s="2" t="str">
        <f t="shared" si="18"/>
        <v>Error?</v>
      </c>
    </row>
    <row r="1242" spans="1:4" x14ac:dyDescent="0.2">
      <c r="A1242" s="5">
        <v>1181</v>
      </c>
      <c r="B1242" s="1832">
        <f>'Expenditures 15-22'!E151</f>
        <v>78773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179800</v>
      </c>
      <c r="D1245" s="2" t="str">
        <f t="shared" si="18"/>
        <v>Error?</v>
      </c>
    </row>
    <row r="1246" spans="1:4" x14ac:dyDescent="0.2">
      <c r="A1246" s="10">
        <v>1185</v>
      </c>
      <c r="B1246" s="1832"/>
      <c r="D1246" s="2" t="str">
        <f t="shared" si="18"/>
        <v>OK</v>
      </c>
    </row>
    <row r="1247" spans="1:4" x14ac:dyDescent="0.2">
      <c r="A1247" s="5">
        <v>1186</v>
      </c>
      <c r="B1247" s="1832">
        <f>'Expenditures 15-22'!F127</f>
        <v>179800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179800</v>
      </c>
      <c r="C1249" s="2" t="s">
        <v>569</v>
      </c>
      <c r="D1249" s="2" t="str">
        <f t="shared" si="18"/>
        <v>Error?</v>
      </c>
    </row>
    <row r="1250" spans="1:4" x14ac:dyDescent="0.2">
      <c r="A1250" s="5">
        <v>1189</v>
      </c>
      <c r="B1250" s="1832">
        <f>'Expenditures 15-22'!F151</f>
        <v>179800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37571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37571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37571</v>
      </c>
      <c r="C1258" s="2" t="s">
        <v>569</v>
      </c>
      <c r="D1258" s="2" t="str">
        <f t="shared" si="18"/>
        <v>Error?</v>
      </c>
    </row>
    <row r="1259" spans="1:4" x14ac:dyDescent="0.2">
      <c r="A1259" s="5">
        <v>1198</v>
      </c>
      <c r="B1259" s="1832">
        <f>'Expenditures 15-22'!G151</f>
        <v>37571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612730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612730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612730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612730</v>
      </c>
      <c r="C1288" s="2" t="s">
        <v>569</v>
      </c>
      <c r="D1288" s="2" t="str">
        <f t="shared" si="19"/>
        <v>Error?</v>
      </c>
    </row>
    <row r="1289" spans="1:4" x14ac:dyDescent="0.2">
      <c r="A1289" s="5">
        <v>1228</v>
      </c>
      <c r="B1289" s="1832">
        <f>'Expenditures 15-22'!K152</f>
        <v>-50306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151460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465000</v>
      </c>
      <c r="D1315" s="2" t="str">
        <f t="shared" si="19"/>
        <v>Error?</v>
      </c>
    </row>
    <row r="1316" spans="1:4" x14ac:dyDescent="0.2">
      <c r="A1316" s="5">
        <v>1255</v>
      </c>
      <c r="B1316" s="1832">
        <f>'Expenditures 15-22'!H171</f>
        <v>803</v>
      </c>
      <c r="D1316" s="2" t="str">
        <f t="shared" si="19"/>
        <v>Error?</v>
      </c>
    </row>
    <row r="1317" spans="1:4" x14ac:dyDescent="0.2">
      <c r="A1317" s="5">
        <v>1256</v>
      </c>
      <c r="B1317" s="1832">
        <f>'Expenditures 15-22'!H172</f>
        <v>617263</v>
      </c>
      <c r="C1317" s="2" t="s">
        <v>569</v>
      </c>
      <c r="D1317" s="2" t="str">
        <f t="shared" si="19"/>
        <v>Error?</v>
      </c>
    </row>
    <row r="1318" spans="1:4" x14ac:dyDescent="0.2">
      <c r="A1318" s="5">
        <v>1257</v>
      </c>
      <c r="B1318" s="1832">
        <f>'Expenditures 15-22'!H174</f>
        <v>617263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151460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465000</v>
      </c>
      <c r="C1329" s="2" t="s">
        <v>569</v>
      </c>
      <c r="D1329" s="2" t="str">
        <f t="shared" si="19"/>
        <v>Error?</v>
      </c>
    </row>
    <row r="1330" spans="1:4" x14ac:dyDescent="0.2">
      <c r="A1330" s="5">
        <v>1269</v>
      </c>
      <c r="B1330" s="1832">
        <f>'Expenditures 15-22'!K171</f>
        <v>803</v>
      </c>
      <c r="C1330" s="2" t="s">
        <v>569</v>
      </c>
      <c r="D1330" s="2" t="str">
        <f t="shared" si="19"/>
        <v>Error?</v>
      </c>
    </row>
    <row r="1331" spans="1:4" x14ac:dyDescent="0.2">
      <c r="A1331" s="5">
        <v>1270</v>
      </c>
      <c r="B1331" s="1832">
        <f>'Expenditures 15-22'!K172</f>
        <v>617263</v>
      </c>
      <c r="C1331" s="2" t="s">
        <v>569</v>
      </c>
      <c r="D1331" s="2" t="str">
        <f t="shared" si="19"/>
        <v>Error?</v>
      </c>
    </row>
    <row r="1332" spans="1:4" x14ac:dyDescent="0.2">
      <c r="A1332" s="5">
        <v>1271</v>
      </c>
      <c r="B1332" s="1832">
        <f>'Expenditures 15-22'!K174</f>
        <v>617263</v>
      </c>
      <c r="C1332" s="2" t="s">
        <v>569</v>
      </c>
      <c r="D1332" s="2" t="str">
        <f t="shared" si="19"/>
        <v>Error?</v>
      </c>
    </row>
    <row r="1333" spans="1:4" x14ac:dyDescent="0.2">
      <c r="A1333" s="5">
        <v>1272</v>
      </c>
      <c r="B1333" s="1832">
        <f>'Expenditures 15-22'!K175</f>
        <v>-81212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185302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185302</v>
      </c>
      <c r="C1339" s="2" t="s">
        <v>569</v>
      </c>
      <c r="D1339" s="2" t="str">
        <f t="shared" si="19"/>
        <v>Error?</v>
      </c>
    </row>
    <row r="1340" spans="1:4" x14ac:dyDescent="0.2">
      <c r="A1340" s="5">
        <v>1279</v>
      </c>
      <c r="B1340" s="1832">
        <f>'Expenditures 15-22'!C210</f>
        <v>185302</v>
      </c>
      <c r="C1340" s="2" t="s">
        <v>569</v>
      </c>
      <c r="D1340" s="2" t="str">
        <f t="shared" si="19"/>
        <v>Error?</v>
      </c>
    </row>
    <row r="1341" spans="1:4" x14ac:dyDescent="0.2">
      <c r="A1341" s="5">
        <v>1280</v>
      </c>
      <c r="B1341" s="1832">
        <f>'Expenditures 15-22'!D182</f>
        <v>7215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7215</v>
      </c>
      <c r="C1345" s="2" t="s">
        <v>569</v>
      </c>
      <c r="D1345" s="2" t="str">
        <f t="shared" si="20"/>
        <v>Error?</v>
      </c>
    </row>
    <row r="1346" spans="1:4" x14ac:dyDescent="0.2">
      <c r="A1346" s="5">
        <v>1285</v>
      </c>
      <c r="B1346" s="1832">
        <f>'Expenditures 15-22'!D210</f>
        <v>7215</v>
      </c>
      <c r="C1346" s="2" t="s">
        <v>569</v>
      </c>
      <c r="D1346" s="2" t="str">
        <f t="shared" si="20"/>
        <v>Error?</v>
      </c>
    </row>
    <row r="1347" spans="1:4" x14ac:dyDescent="0.2">
      <c r="A1347" s="5">
        <v>1286</v>
      </c>
      <c r="B1347" s="1832">
        <f>'Expenditures 15-22'!E182</f>
        <v>150376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150376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150376</v>
      </c>
      <c r="C1353" s="2" t="s">
        <v>569</v>
      </c>
      <c r="D1353" s="2" t="str">
        <f t="shared" si="20"/>
        <v>Error?</v>
      </c>
    </row>
    <row r="1354" spans="1:4" x14ac:dyDescent="0.2">
      <c r="A1354" s="5">
        <v>1293</v>
      </c>
      <c r="B1354" s="1832">
        <f>'Expenditures 15-22'!F182</f>
        <v>39291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39291</v>
      </c>
      <c r="C1358" s="2" t="s">
        <v>569</v>
      </c>
      <c r="D1358" s="2" t="str">
        <f t="shared" si="20"/>
        <v>Error?</v>
      </c>
    </row>
    <row r="1359" spans="1:4" x14ac:dyDescent="0.2">
      <c r="A1359" s="5">
        <v>1298</v>
      </c>
      <c r="B1359" s="1832">
        <f>'Expenditures 15-22'!F210</f>
        <v>39291</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382184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382184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382184</v>
      </c>
      <c r="C1388" s="2" t="s">
        <v>569</v>
      </c>
      <c r="D1388" s="2" t="str">
        <f t="shared" si="20"/>
        <v>Error?</v>
      </c>
    </row>
    <row r="1389" spans="1:4" x14ac:dyDescent="0.2">
      <c r="A1389" s="5">
        <v>1328</v>
      </c>
      <c r="B1389" s="1832">
        <f>'Expenditures 15-22'!K211</f>
        <v>-22167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592</v>
      </c>
      <c r="D1407" s="2" t="str">
        <f t="shared" ref="D1407:D1470" si="21">IF(ISBLANK(B1407),"OK",IF(A1407-B1407=0,"OK","Error?"))</f>
        <v>Error?</v>
      </c>
    </row>
    <row r="1408" spans="1:4" x14ac:dyDescent="0.2">
      <c r="A1408" s="5">
        <v>1347</v>
      </c>
      <c r="B1408" s="1832">
        <f>'Expenditures 15-22'!D223</f>
        <v>3959</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42987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555</v>
      </c>
      <c r="D1412" s="2" t="str">
        <f t="shared" si="21"/>
        <v>Error?</v>
      </c>
    </row>
    <row r="1413" spans="1:4" x14ac:dyDescent="0.2">
      <c r="A1413" s="5">
        <v>1352</v>
      </c>
      <c r="B1413" s="1832">
        <f>'Expenditures 15-22'!D234</f>
        <v>10265</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47979</v>
      </c>
      <c r="D1416" s="2" t="str">
        <f t="shared" si="21"/>
        <v>Error?</v>
      </c>
    </row>
    <row r="1417" spans="1:4" x14ac:dyDescent="0.2">
      <c r="A1417" s="5">
        <v>1356</v>
      </c>
      <c r="B1417" s="1832">
        <f>'Expenditures 15-22'!D238</f>
        <v>58799</v>
      </c>
      <c r="C1417" s="2" t="s">
        <v>569</v>
      </c>
      <c r="D1417" s="2" t="str">
        <f t="shared" si="21"/>
        <v>Error?</v>
      </c>
    </row>
    <row r="1418" spans="1:4" x14ac:dyDescent="0.2">
      <c r="A1418" s="5">
        <v>1357</v>
      </c>
      <c r="B1418" s="1832">
        <f>'Expenditures 15-22'!D240</f>
        <v>14</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2112</v>
      </c>
      <c r="D1423" s="2" t="str">
        <f t="shared" si="21"/>
        <v>Error?</v>
      </c>
    </row>
    <row r="1424" spans="1:4" x14ac:dyDescent="0.2">
      <c r="A1424" s="5">
        <v>1363</v>
      </c>
      <c r="B1424" s="1832">
        <f>'Expenditures 15-22'!D257</f>
        <v>2112</v>
      </c>
      <c r="C1424" s="2" t="s">
        <v>569</v>
      </c>
      <c r="D1424" s="2" t="str">
        <f t="shared" si="21"/>
        <v>Error?</v>
      </c>
    </row>
    <row r="1425" spans="1:4" x14ac:dyDescent="0.2">
      <c r="A1425" s="5">
        <v>1364</v>
      </c>
      <c r="B1425" s="1832">
        <f>'Expenditures 15-22'!D259</f>
        <v>13512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13512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11304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39275</v>
      </c>
      <c r="D1431" s="2" t="str">
        <f t="shared" si="21"/>
        <v>Error?</v>
      </c>
    </row>
    <row r="1432" spans="1:4" x14ac:dyDescent="0.2">
      <c r="A1432" s="5">
        <v>1371</v>
      </c>
      <c r="B1432" s="1832">
        <f>'Expenditures 15-22'!D267</f>
        <v>24198</v>
      </c>
      <c r="D1432" s="2" t="str">
        <f t="shared" si="21"/>
        <v>Error?</v>
      </c>
    </row>
    <row r="1433" spans="1:4" x14ac:dyDescent="0.2">
      <c r="A1433" s="5">
        <v>1372</v>
      </c>
      <c r="B1433" s="1832">
        <f>'Expenditures 15-22'!D268</f>
        <v>10261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85038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159475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202462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592</v>
      </c>
      <c r="C1471" s="2" t="s">
        <v>569</v>
      </c>
      <c r="D1471" s="2" t="str">
        <f t="shared" ref="D1471:D1534" si="22">IF(ISBLANK(B1471),"OK",IF(A1471-B1471=0,"OK","Error?"))</f>
        <v>Error?</v>
      </c>
    </row>
    <row r="1472" spans="1:4" x14ac:dyDescent="0.2">
      <c r="A1472" s="5">
        <v>1411</v>
      </c>
      <c r="B1472" s="1832">
        <f>'Expenditures 15-22'!K223</f>
        <v>3959</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42987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555</v>
      </c>
      <c r="C1476" s="2" t="s">
        <v>569</v>
      </c>
      <c r="D1476" s="2" t="str">
        <f t="shared" si="22"/>
        <v>Error?</v>
      </c>
    </row>
    <row r="1477" spans="1:4" x14ac:dyDescent="0.2">
      <c r="A1477" s="5">
        <v>1416</v>
      </c>
      <c r="B1477" s="1832">
        <f>'Expenditures 15-22'!K234</f>
        <v>10265</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47979</v>
      </c>
      <c r="C1480" s="2" t="s">
        <v>569</v>
      </c>
      <c r="D1480" s="2" t="str">
        <f t="shared" si="22"/>
        <v>Error?</v>
      </c>
    </row>
    <row r="1481" spans="1:4" x14ac:dyDescent="0.2">
      <c r="A1481" s="5">
        <v>1420</v>
      </c>
      <c r="B1481" s="1832">
        <f>'Expenditures 15-22'!K238</f>
        <v>58799</v>
      </c>
      <c r="C1481" s="2" t="s">
        <v>569</v>
      </c>
      <c r="D1481" s="2" t="str">
        <f t="shared" si="22"/>
        <v>Error?</v>
      </c>
    </row>
    <row r="1482" spans="1:4" x14ac:dyDescent="0.2">
      <c r="A1482" s="5">
        <v>1421</v>
      </c>
      <c r="B1482" s="1832">
        <f>'Expenditures 15-22'!K240</f>
        <v>14</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2112</v>
      </c>
      <c r="C1487" s="2" t="s">
        <v>569</v>
      </c>
      <c r="D1487" s="2" t="str">
        <f t="shared" si="22"/>
        <v>Error?</v>
      </c>
    </row>
    <row r="1488" spans="1:4" x14ac:dyDescent="0.2">
      <c r="A1488" s="5">
        <v>1427</v>
      </c>
      <c r="B1488" s="1832">
        <f>'Expenditures 15-22'!K257</f>
        <v>2112</v>
      </c>
      <c r="C1488" s="2" t="s">
        <v>569</v>
      </c>
      <c r="D1488" s="2" t="str">
        <f t="shared" si="22"/>
        <v>Error?</v>
      </c>
    </row>
    <row r="1489" spans="1:4" x14ac:dyDescent="0.2">
      <c r="A1489" s="5">
        <v>1428</v>
      </c>
      <c r="B1489" s="1832">
        <f>'Expenditures 15-22'!K259</f>
        <v>13512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13512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11304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39275</v>
      </c>
      <c r="C1495" s="2" t="s">
        <v>569</v>
      </c>
      <c r="D1495" s="2" t="str">
        <f t="shared" si="22"/>
        <v>Error?</v>
      </c>
    </row>
    <row r="1496" spans="1:4" x14ac:dyDescent="0.2">
      <c r="A1496" s="5">
        <v>1435</v>
      </c>
      <c r="B1496" s="1832">
        <f>'Expenditures 15-22'!K267</f>
        <v>24198</v>
      </c>
      <c r="C1496" s="2" t="s">
        <v>569</v>
      </c>
      <c r="D1496" s="2" t="str">
        <f t="shared" si="22"/>
        <v>Error?</v>
      </c>
    </row>
    <row r="1497" spans="1:4" x14ac:dyDescent="0.2">
      <c r="A1497" s="5">
        <v>1436</v>
      </c>
      <c r="B1497" s="1832">
        <f>'Expenditures 15-22'!K268</f>
        <v>10261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85038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159475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202462</v>
      </c>
      <c r="C1517" s="2" t="s">
        <v>569</v>
      </c>
      <c r="D1517" s="2" t="str">
        <f t="shared" si="22"/>
        <v>Error?</v>
      </c>
    </row>
    <row r="1518" spans="1:4" x14ac:dyDescent="0.2">
      <c r="A1518" s="5">
        <v>1457</v>
      </c>
      <c r="B1518" s="1832">
        <f>'Expenditures 15-22'!K296</f>
        <v>-86423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155593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155593</v>
      </c>
      <c r="C1547" s="2" t="s">
        <v>569</v>
      </c>
      <c r="D1547" s="2" t="str">
        <f t="shared" si="23"/>
        <v>Error?</v>
      </c>
    </row>
    <row r="1548" spans="1:4" x14ac:dyDescent="0.2">
      <c r="A1548" s="5">
        <v>1487</v>
      </c>
      <c r="B1548" s="1832">
        <f>'Expenditures 15-22'!G312</f>
        <v>155593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155593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155593</v>
      </c>
      <c r="C1559" s="2" t="s">
        <v>569</v>
      </c>
      <c r="D1559" s="2" t="str">
        <f t="shared" si="23"/>
        <v>Error?</v>
      </c>
    </row>
    <row r="1560" spans="1:4" x14ac:dyDescent="0.2">
      <c r="A1560" s="5">
        <v>1499</v>
      </c>
      <c r="B1560" s="1832">
        <f>'Expenditures 15-22'!K312</f>
        <v>155593</v>
      </c>
      <c r="C1560" s="2" t="s">
        <v>569</v>
      </c>
      <c r="D1560" s="2" t="str">
        <f t="shared" si="23"/>
        <v>Error?</v>
      </c>
    </row>
    <row r="1561" spans="1:4" x14ac:dyDescent="0.2">
      <c r="A1561" s="5">
        <v>1500</v>
      </c>
      <c r="B1561" s="1832">
        <f>'Expenditures 15-22'!K313</f>
        <v>141760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691123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398798</v>
      </c>
      <c r="C1630" s="2" t="s">
        <v>569</v>
      </c>
      <c r="D1630" s="2" t="str">
        <f t="shared" si="24"/>
        <v>Error?</v>
      </c>
    </row>
    <row r="1631" spans="1:4" x14ac:dyDescent="0.2">
      <c r="A1631" s="5">
        <v>1570</v>
      </c>
      <c r="B1631" s="1832">
        <f>'Acct Summary 7-8'!D79</f>
        <v>1217617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1167311</v>
      </c>
      <c r="C1644" s="2" t="s">
        <v>569</v>
      </c>
      <c r="D1644" s="2" t="str">
        <f t="shared" si="24"/>
        <v>Error?</v>
      </c>
    </row>
    <row r="1645" spans="1:4" x14ac:dyDescent="0.2">
      <c r="A1645" s="5">
        <v>1584</v>
      </c>
      <c r="B1645" s="1832">
        <f>'Acct Summary 7-8'!E79</f>
        <v>372443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291231</v>
      </c>
      <c r="C1658" s="2" t="s">
        <v>569</v>
      </c>
      <c r="D1658" s="2" t="str">
        <f t="shared" si="24"/>
        <v>Error?</v>
      </c>
    </row>
    <row r="1659" spans="1:4" x14ac:dyDescent="0.2">
      <c r="A1659" s="5">
        <v>1598</v>
      </c>
      <c r="B1659" s="1832">
        <f>'Acct Summary 7-8'!F79</f>
        <v>251979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231162</v>
      </c>
      <c r="C1672" s="2" t="s">
        <v>569</v>
      </c>
      <c r="D1672" s="2" t="str">
        <f t="shared" si="25"/>
        <v>Error?</v>
      </c>
    </row>
    <row r="1673" spans="1:4" x14ac:dyDescent="0.2">
      <c r="A1673" s="5">
        <v>1612</v>
      </c>
      <c r="B1673" s="1832">
        <f>'Acct Summary 7-8'!G79</f>
        <v>150556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64133</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141760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2154409</v>
      </c>
      <c r="C1744" s="2" t="s">
        <v>569</v>
      </c>
      <c r="D1744" s="2" t="str">
        <f t="shared" si="26"/>
        <v>Error?</v>
      </c>
    </row>
    <row r="1745" spans="1:5" x14ac:dyDescent="0.2">
      <c r="A1745" s="5">
        <v>1684</v>
      </c>
      <c r="B1745" s="1832">
        <f>'Tax Sched 23'!B5</f>
        <v>277374</v>
      </c>
      <c r="C1745" s="2" t="s">
        <v>569</v>
      </c>
      <c r="D1745" s="2" t="str">
        <f t="shared" si="26"/>
        <v>Error?</v>
      </c>
    </row>
    <row r="1746" spans="1:5" x14ac:dyDescent="0.2">
      <c r="A1746" s="5">
        <v>1685</v>
      </c>
      <c r="B1746" s="1832">
        <f>'Tax Sched 23'!B6</f>
        <v>536047</v>
      </c>
      <c r="C1746" s="2" t="s">
        <v>569</v>
      </c>
      <c r="D1746" s="2" t="str">
        <f t="shared" si="26"/>
        <v>Error?</v>
      </c>
    </row>
    <row r="1747" spans="1:5" x14ac:dyDescent="0.2">
      <c r="A1747" s="5">
        <v>1686</v>
      </c>
      <c r="B1747" s="1832">
        <f>'Tax Sched 23'!B7</f>
        <v>184929</v>
      </c>
      <c r="C1747" s="2" t="s">
        <v>569</v>
      </c>
      <c r="D1747" s="2" t="str">
        <f t="shared" si="26"/>
        <v>Error?</v>
      </c>
    </row>
    <row r="1748" spans="1:5" x14ac:dyDescent="0.2">
      <c r="A1748" s="5">
        <v>1687</v>
      </c>
      <c r="B1748" s="1832">
        <f>'Tax Sched 23'!B8</f>
        <v>56671</v>
      </c>
      <c r="C1748" s="2" t="s">
        <v>569</v>
      </c>
      <c r="D1748" s="2" t="str">
        <f t="shared" si="26"/>
        <v>Error?</v>
      </c>
    </row>
    <row r="1749" spans="1:5" x14ac:dyDescent="0.2">
      <c r="A1749" s="5">
        <v>1688</v>
      </c>
      <c r="B1749" s="1832">
        <f>'Tax Sched 23'!B10</f>
        <v>18548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89493</v>
      </c>
      <c r="C1752" s="2" t="s">
        <v>569</v>
      </c>
      <c r="D1752" s="2" t="str">
        <f t="shared" si="26"/>
        <v>Error?</v>
      </c>
    </row>
    <row r="1753" spans="1:5" x14ac:dyDescent="0.2">
      <c r="A1753" s="5">
        <v>1692</v>
      </c>
      <c r="B1753" s="1832">
        <f>'Tax Sched 23'!B12</f>
        <v>43346</v>
      </c>
      <c r="C1753" s="2" t="s">
        <v>569</v>
      </c>
      <c r="D1753" s="2" t="str">
        <f t="shared" si="26"/>
        <v>Error?</v>
      </c>
    </row>
    <row r="1754" spans="1:5" x14ac:dyDescent="0.2">
      <c r="A1754" s="5">
        <v>1693</v>
      </c>
      <c r="B1754" s="1832">
        <f>'Tax Sched 23'!B14</f>
        <v>30887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3448375</v>
      </c>
      <c r="C1759" s="2" t="s">
        <v>569</v>
      </c>
      <c r="D1759" s="2" t="str">
        <f t="shared" si="26"/>
        <v>Error?</v>
      </c>
    </row>
    <row r="1760" spans="1:5" x14ac:dyDescent="0.2">
      <c r="A1760" s="5">
        <v>1699</v>
      </c>
      <c r="B1760" s="1832">
        <f>'Tax Sched 23'!D4</f>
        <v>1065542</v>
      </c>
      <c r="C1760" s="2" t="s">
        <v>569</v>
      </c>
      <c r="D1760" s="2" t="str">
        <f t="shared" si="26"/>
        <v>Error?</v>
      </c>
    </row>
    <row r="1761" spans="1:7" x14ac:dyDescent="0.2">
      <c r="A1761" s="5">
        <v>1700</v>
      </c>
      <c r="B1761" s="1832">
        <f>'Tax Sched 23'!D5</f>
        <v>137169</v>
      </c>
      <c r="C1761" s="2" t="s">
        <v>569</v>
      </c>
      <c r="D1761" s="2" t="str">
        <f t="shared" si="26"/>
        <v>Error?</v>
      </c>
    </row>
    <row r="1762" spans="1:7" s="8" customFormat="1" x14ac:dyDescent="0.2">
      <c r="A1762" s="5">
        <v>1701</v>
      </c>
      <c r="B1762" s="1832">
        <f>'Tax Sched 23'!D6</f>
        <v>268831</v>
      </c>
      <c r="C1762" s="2" t="s">
        <v>569</v>
      </c>
      <c r="D1762" s="2" t="str">
        <f t="shared" si="26"/>
        <v>Error?</v>
      </c>
      <c r="E1762" s="9"/>
      <c r="G1762"/>
    </row>
    <row r="1763" spans="1:7" x14ac:dyDescent="0.2">
      <c r="A1763" s="5">
        <v>1702</v>
      </c>
      <c r="B1763" s="1832">
        <f>'Tax Sched 23'!D7</f>
        <v>91459</v>
      </c>
      <c r="C1763" s="2" t="s">
        <v>569</v>
      </c>
      <c r="D1763" s="2" t="str">
        <f t="shared" si="26"/>
        <v>Error?</v>
      </c>
    </row>
    <row r="1764" spans="1:7" x14ac:dyDescent="0.2">
      <c r="A1764" s="5">
        <v>1703</v>
      </c>
      <c r="B1764" s="1832">
        <f>'Tax Sched 23'!D8</f>
        <v>28026</v>
      </c>
      <c r="C1764" s="2" t="s">
        <v>569</v>
      </c>
      <c r="D1764" s="2" t="str">
        <f t="shared" si="26"/>
        <v>Error?</v>
      </c>
    </row>
    <row r="1765" spans="1:7" x14ac:dyDescent="0.2">
      <c r="A1765" s="5">
        <v>1704</v>
      </c>
      <c r="B1765" s="1832">
        <f>'Tax Sched 23'!D10</f>
        <v>9178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44249</v>
      </c>
      <c r="C1768" s="2" t="s">
        <v>569</v>
      </c>
      <c r="D1768" s="2" t="str">
        <f t="shared" si="26"/>
        <v>Error?</v>
      </c>
    </row>
    <row r="1769" spans="1:7" x14ac:dyDescent="0.2">
      <c r="A1769" s="5">
        <v>1708</v>
      </c>
      <c r="B1769" s="1832">
        <f>'Tax Sched 23'!D12</f>
        <v>21432</v>
      </c>
      <c r="C1769" s="2" t="s">
        <v>569</v>
      </c>
      <c r="D1769" s="2" t="str">
        <f t="shared" si="26"/>
        <v>Error?</v>
      </c>
    </row>
    <row r="1770" spans="1:7" x14ac:dyDescent="0.2">
      <c r="A1770" s="5">
        <v>1709</v>
      </c>
      <c r="B1770" s="1832">
        <f>'Tax Sched 23'!D14</f>
        <v>15245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1709157</v>
      </c>
      <c r="C1775" s="2" t="s">
        <v>569</v>
      </c>
      <c r="D1775" s="2" t="str">
        <f t="shared" si="26"/>
        <v>Error?</v>
      </c>
    </row>
    <row r="1776" spans="1:7" x14ac:dyDescent="0.2">
      <c r="A1776" s="5">
        <v>1715</v>
      </c>
      <c r="B1776" s="1832">
        <f>'Tax Sched 23'!C4</f>
        <v>1088867</v>
      </c>
      <c r="D1776" s="2" t="str">
        <f t="shared" si="26"/>
        <v>Error?</v>
      </c>
    </row>
    <row r="1777" spans="1:4" x14ac:dyDescent="0.2">
      <c r="A1777" s="5">
        <v>1716</v>
      </c>
      <c r="B1777" s="1832">
        <f>'Tax Sched 23'!C5</f>
        <v>140205</v>
      </c>
      <c r="D1777" s="2" t="str">
        <f t="shared" si="26"/>
        <v>Error?</v>
      </c>
    </row>
    <row r="1778" spans="1:4" x14ac:dyDescent="0.2">
      <c r="A1778" s="5">
        <v>1717</v>
      </c>
      <c r="B1778" s="1832">
        <f>'Tax Sched 23'!C6</f>
        <v>267216</v>
      </c>
      <c r="D1778" s="2" t="str">
        <f t="shared" si="26"/>
        <v>Error?</v>
      </c>
    </row>
    <row r="1779" spans="1:4" x14ac:dyDescent="0.2">
      <c r="A1779" s="5">
        <v>1718</v>
      </c>
      <c r="B1779" s="1832">
        <f>'Tax Sched 23'!C7</f>
        <v>93470</v>
      </c>
      <c r="D1779" s="2" t="str">
        <f t="shared" si="26"/>
        <v>Error?</v>
      </c>
    </row>
    <row r="1780" spans="1:4" x14ac:dyDescent="0.2">
      <c r="A1780" s="5">
        <v>1719</v>
      </c>
      <c r="B1780" s="1832">
        <f>'Tax Sched 23'!C8</f>
        <v>28645</v>
      </c>
      <c r="D1780" s="2" t="str">
        <f t="shared" si="26"/>
        <v>Error?</v>
      </c>
    </row>
    <row r="1781" spans="1:4" x14ac:dyDescent="0.2">
      <c r="A1781" s="5">
        <v>1720</v>
      </c>
      <c r="B1781" s="1832">
        <f>'Tax Sched 23'!C10</f>
        <v>9370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45244</v>
      </c>
      <c r="D1784" s="2" t="str">
        <f t="shared" si="26"/>
        <v>Error?</v>
      </c>
    </row>
    <row r="1785" spans="1:4" x14ac:dyDescent="0.2">
      <c r="A1785" s="5">
        <v>1724</v>
      </c>
      <c r="B1785" s="1832">
        <f>'Tax Sched 23'!C12</f>
        <v>21914</v>
      </c>
      <c r="D1785" s="2" t="str">
        <f t="shared" si="26"/>
        <v>Error?</v>
      </c>
    </row>
    <row r="1786" spans="1:4" x14ac:dyDescent="0.2">
      <c r="A1786" s="5">
        <v>1725</v>
      </c>
      <c r="B1786" s="1832">
        <f>'Tax Sched 23'!C14</f>
        <v>15642</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1739218</v>
      </c>
      <c r="C1791" s="2" t="s">
        <v>569</v>
      </c>
      <c r="D1791" s="2" t="str">
        <f t="shared" ref="D1791:D1854" si="27">IF(ISBLANK(B1791),"OK",IF(A1791-B1791=0,"OK","Error?"))</f>
        <v>Error?</v>
      </c>
    </row>
    <row r="1792" spans="1:4" x14ac:dyDescent="0.2">
      <c r="A1792" s="5">
        <v>1731</v>
      </c>
      <c r="B1792" s="1832">
        <f>'Tax Sched 23'!F4</f>
        <v>1413797</v>
      </c>
      <c r="C1792" s="2" t="s">
        <v>569</v>
      </c>
      <c r="D1792" s="2" t="str">
        <f t="shared" si="27"/>
        <v>Error?</v>
      </c>
    </row>
    <row r="1793" spans="1:4" x14ac:dyDescent="0.2">
      <c r="A1793" s="5">
        <v>1732</v>
      </c>
      <c r="B1793" s="1832">
        <f>'Tax Sched 23'!F5</f>
        <v>182045</v>
      </c>
      <c r="C1793" s="2" t="s">
        <v>569</v>
      </c>
      <c r="D1793" s="2" t="str">
        <f t="shared" si="27"/>
        <v>Error?</v>
      </c>
    </row>
    <row r="1794" spans="1:4" x14ac:dyDescent="0.2">
      <c r="A1794" s="5">
        <v>1733</v>
      </c>
      <c r="B1794" s="1832">
        <f>'Tax Sched 23'!F6</f>
        <v>346957</v>
      </c>
      <c r="C1794" s="2" t="s">
        <v>569</v>
      </c>
      <c r="D1794" s="2" t="str">
        <f t="shared" si="27"/>
        <v>Error?</v>
      </c>
    </row>
    <row r="1795" spans="1:4" x14ac:dyDescent="0.2">
      <c r="A1795" s="5">
        <v>1734</v>
      </c>
      <c r="B1795" s="1832">
        <f>'Tax Sched 23'!F7</f>
        <v>121363</v>
      </c>
      <c r="C1795" s="2" t="s">
        <v>569</v>
      </c>
      <c r="D1795" s="2" t="str">
        <f t="shared" si="27"/>
        <v>Error?</v>
      </c>
    </row>
    <row r="1796" spans="1:4" x14ac:dyDescent="0.2">
      <c r="A1796" s="5">
        <v>1735</v>
      </c>
      <c r="B1796" s="1832">
        <f>'Tax Sched 23'!F8</f>
        <v>37194</v>
      </c>
      <c r="C1796" s="2" t="s">
        <v>569</v>
      </c>
      <c r="D1796" s="2" t="str">
        <f t="shared" si="27"/>
        <v>Error?</v>
      </c>
    </row>
    <row r="1797" spans="1:4" x14ac:dyDescent="0.2">
      <c r="A1797" s="5">
        <v>1736</v>
      </c>
      <c r="B1797" s="1832">
        <f>'Tax Sched 23'!F10</f>
        <v>12166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58744</v>
      </c>
      <c r="C1800" s="2" t="s">
        <v>569</v>
      </c>
      <c r="D1800" s="2" t="str">
        <f t="shared" si="27"/>
        <v>Error?</v>
      </c>
    </row>
    <row r="1801" spans="1:4" x14ac:dyDescent="0.2">
      <c r="A1801" s="5">
        <v>1740</v>
      </c>
      <c r="B1801" s="1832">
        <f>'Tax Sched 23'!F12</f>
        <v>28454</v>
      </c>
      <c r="C1801" s="2" t="s">
        <v>569</v>
      </c>
      <c r="D1801" s="2" t="str">
        <f t="shared" si="27"/>
        <v>Error?</v>
      </c>
    </row>
    <row r="1802" spans="1:4" x14ac:dyDescent="0.2">
      <c r="A1802" s="5">
        <v>1741</v>
      </c>
      <c r="B1802" s="1832">
        <f>'Tax Sched 23'!F14</f>
        <v>20310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2258224</v>
      </c>
      <c r="C1807" s="2" t="s">
        <v>569</v>
      </c>
      <c r="D1807" s="2" t="str">
        <f t="shared" si="27"/>
        <v>Error?</v>
      </c>
    </row>
    <row r="1808" spans="1:4" x14ac:dyDescent="0.2">
      <c r="A1808" s="5">
        <v>1747</v>
      </c>
      <c r="B1808" s="1832">
        <f>'Tax Sched 23'!E4</f>
        <v>2502664</v>
      </c>
      <c r="D1808" s="2" t="str">
        <f t="shared" si="27"/>
        <v>Error?</v>
      </c>
    </row>
    <row r="1809" spans="1:4" x14ac:dyDescent="0.2">
      <c r="A1809" s="5">
        <v>1748</v>
      </c>
      <c r="B1809" s="1832">
        <f>'Tax Sched 23'!E5</f>
        <v>322250</v>
      </c>
      <c r="D1809" s="2" t="str">
        <f t="shared" si="27"/>
        <v>Error?</v>
      </c>
    </row>
    <row r="1810" spans="1:4" x14ac:dyDescent="0.2">
      <c r="A1810" s="5">
        <v>1749</v>
      </c>
      <c r="B1810" s="1832">
        <f>'Tax Sched 23'!E6</f>
        <v>614173</v>
      </c>
      <c r="D1810" s="2" t="str">
        <f t="shared" si="27"/>
        <v>Error?</v>
      </c>
    </row>
    <row r="1811" spans="1:4" x14ac:dyDescent="0.2">
      <c r="A1811" s="5">
        <v>1750</v>
      </c>
      <c r="B1811" s="1832">
        <f>'Tax Sched 23'!E7</f>
        <v>214833</v>
      </c>
      <c r="D1811" s="2" t="str">
        <f t="shared" si="27"/>
        <v>Error?</v>
      </c>
    </row>
    <row r="1812" spans="1:4" x14ac:dyDescent="0.2">
      <c r="A1812" s="5">
        <v>1751</v>
      </c>
      <c r="B1812" s="1832">
        <f>'Tax Sched 23'!E8</f>
        <v>65839</v>
      </c>
      <c r="D1812" s="2" t="str">
        <f t="shared" si="27"/>
        <v>Error?</v>
      </c>
    </row>
    <row r="1813" spans="1:4" x14ac:dyDescent="0.2">
      <c r="A1813" s="5">
        <v>1752</v>
      </c>
      <c r="B1813" s="1832">
        <f>'Tax Sched 23'!E10</f>
        <v>21536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103988</v>
      </c>
      <c r="D1816" s="2" t="str">
        <f t="shared" si="27"/>
        <v>Error?</v>
      </c>
    </row>
    <row r="1817" spans="1:4" x14ac:dyDescent="0.2">
      <c r="A1817" s="5">
        <v>1756</v>
      </c>
      <c r="B1817" s="1832">
        <f>'Tax Sched 23'!E12</f>
        <v>50368</v>
      </c>
      <c r="D1817" s="2" t="str">
        <f t="shared" si="27"/>
        <v>Error?</v>
      </c>
    </row>
    <row r="1818" spans="1:4" x14ac:dyDescent="0.2">
      <c r="A1818" s="5">
        <v>1757</v>
      </c>
      <c r="B1818" s="1832">
        <f>'Tax Sched 23'!E14</f>
        <v>35952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3997442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4130000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30887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30887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30887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9654452</v>
      </c>
      <c r="D2009" s="2" t="str">
        <f t="shared" si="30"/>
        <v>Error?</v>
      </c>
    </row>
    <row r="2010" spans="1:4" x14ac:dyDescent="0.2">
      <c r="A2010" s="5">
        <v>1949</v>
      </c>
      <c r="B2010" s="1832">
        <f>'Cap Outlay Deprec 26'!C10</f>
        <v>85781</v>
      </c>
      <c r="D2010" s="2" t="str">
        <f t="shared" si="30"/>
        <v>Error?</v>
      </c>
    </row>
    <row r="2011" spans="1:4" x14ac:dyDescent="0.2">
      <c r="A2011" s="5">
        <v>1950</v>
      </c>
      <c r="B2011" s="1832">
        <f>'Cap Outlay Deprec 26'!C12</f>
        <v>648728</v>
      </c>
      <c r="D2011" s="2" t="str">
        <f t="shared" si="30"/>
        <v>Error?</v>
      </c>
    </row>
    <row r="2012" spans="1:4" x14ac:dyDescent="0.2">
      <c r="A2012" s="5">
        <v>1951</v>
      </c>
      <c r="B2012" s="1832">
        <f>'Cap Outlay Deprec 26'!C13</f>
        <v>205805</v>
      </c>
      <c r="D2012" s="2" t="str">
        <f t="shared" si="30"/>
        <v>Error?</v>
      </c>
    </row>
    <row r="2013" spans="1:4" x14ac:dyDescent="0.2">
      <c r="A2013" s="5">
        <v>1952</v>
      </c>
      <c r="B2013" s="1832">
        <f>'Cap Outlay Deprec 26'!C16</f>
        <v>10632942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3500</v>
      </c>
      <c r="D2017" s="2" t="str">
        <f t="shared" si="30"/>
        <v>Error?</v>
      </c>
    </row>
    <row r="2018" spans="1:4" x14ac:dyDescent="0.2">
      <c r="A2018" s="5">
        <v>1957</v>
      </c>
      <c r="B2018" s="1832">
        <f>'Cap Outlay Deprec 26'!D13</f>
        <v>294908</v>
      </c>
      <c r="D2018" s="2" t="str">
        <f t="shared" si="30"/>
        <v>Error?</v>
      </c>
    </row>
    <row r="2019" spans="1:4" x14ac:dyDescent="0.2">
      <c r="A2019" s="5">
        <v>1958</v>
      </c>
      <c r="B2019" s="1832">
        <f>'Cap Outlay Deprec 26'!D16</f>
        <v>298408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20155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20155</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9654452</v>
      </c>
      <c r="C2027" s="2" t="s">
        <v>569</v>
      </c>
      <c r="D2027" s="2" t="str">
        <f t="shared" si="30"/>
        <v>Error?</v>
      </c>
    </row>
    <row r="2028" spans="1:4" x14ac:dyDescent="0.2">
      <c r="A2028" s="5">
        <v>1967</v>
      </c>
      <c r="B2028" s="1832">
        <f>'Cap Outlay Deprec 26'!F10</f>
        <v>85781</v>
      </c>
      <c r="C2028" s="2" t="s">
        <v>569</v>
      </c>
      <c r="D2028" s="2" t="str">
        <f t="shared" si="30"/>
        <v>Error?</v>
      </c>
    </row>
    <row r="2029" spans="1:4" x14ac:dyDescent="0.2">
      <c r="A2029" s="5">
        <v>1968</v>
      </c>
      <c r="B2029" s="1832">
        <f>'Cap Outlay Deprec 26'!F12</f>
        <v>632073</v>
      </c>
      <c r="C2029" s="2" t="s">
        <v>569</v>
      </c>
      <c r="D2029" s="2" t="str">
        <f t="shared" si="30"/>
        <v>Error?</v>
      </c>
    </row>
    <row r="2030" spans="1:4" x14ac:dyDescent="0.2">
      <c r="A2030" s="5">
        <v>1969</v>
      </c>
      <c r="B2030" s="1832">
        <f>'Cap Outlay Deprec 26'!F13</f>
        <v>500713</v>
      </c>
      <c r="C2030" s="2" t="s">
        <v>569</v>
      </c>
      <c r="D2030" s="2" t="str">
        <f t="shared" si="30"/>
        <v>Error?</v>
      </c>
    </row>
    <row r="2031" spans="1:4" x14ac:dyDescent="0.2">
      <c r="A2031" s="5">
        <v>1970</v>
      </c>
      <c r="B2031" s="1832">
        <f>'Cap Outlay Deprec 26'!F16</f>
        <v>10911195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3795821</v>
      </c>
      <c r="D2033" s="2" t="str">
        <f t="shared" si="30"/>
        <v>Error?</v>
      </c>
    </row>
    <row r="2034" spans="1:4" x14ac:dyDescent="0.2">
      <c r="A2034" s="5">
        <v>1973</v>
      </c>
      <c r="B2034" s="1832">
        <f>'Cap Outlay Deprec 26'!H10</f>
        <v>56669</v>
      </c>
      <c r="D2034" s="2" t="str">
        <f t="shared" si="30"/>
        <v>Error?</v>
      </c>
    </row>
    <row r="2035" spans="1:4" x14ac:dyDescent="0.2">
      <c r="A2035" s="5">
        <v>1974</v>
      </c>
      <c r="B2035" s="1832">
        <f>'Cap Outlay Deprec 26'!H12</f>
        <v>493892</v>
      </c>
      <c r="D2035" s="2" t="str">
        <f t="shared" si="30"/>
        <v>Error?</v>
      </c>
    </row>
    <row r="2036" spans="1:4" x14ac:dyDescent="0.2">
      <c r="A2036" s="5">
        <v>1975</v>
      </c>
      <c r="B2036" s="1832">
        <f>'Cap Outlay Deprec 26'!H13</f>
        <v>198046</v>
      </c>
      <c r="D2036" s="2" t="str">
        <f t="shared" si="30"/>
        <v>Error?</v>
      </c>
    </row>
    <row r="2037" spans="1:4" x14ac:dyDescent="0.2">
      <c r="A2037" s="5">
        <v>1976</v>
      </c>
      <c r="B2037" s="1832">
        <f>'Cap Outlay Deprec 26'!H16</f>
        <v>4544428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164843</v>
      </c>
      <c r="D2039" s="2" t="str">
        <f t="shared" si="30"/>
        <v>Error?</v>
      </c>
    </row>
    <row r="2040" spans="1:4" x14ac:dyDescent="0.2">
      <c r="A2040" s="5">
        <v>1979</v>
      </c>
      <c r="B2040" s="1832">
        <f>'Cap Outlay Deprec 26'!I10</f>
        <v>677</v>
      </c>
      <c r="D2040" s="2" t="str">
        <f t="shared" si="30"/>
        <v>Error?</v>
      </c>
    </row>
    <row r="2041" spans="1:4" x14ac:dyDescent="0.2">
      <c r="A2041" s="5">
        <v>1980</v>
      </c>
      <c r="B2041" s="1832">
        <f>'Cap Outlay Deprec 26'!I12</f>
        <v>36878</v>
      </c>
      <c r="D2041" s="2" t="str">
        <f t="shared" si="30"/>
        <v>Error?</v>
      </c>
    </row>
    <row r="2042" spans="1:4" x14ac:dyDescent="0.2">
      <c r="A2042" s="5">
        <v>1981</v>
      </c>
      <c r="B2042" s="1832">
        <f>'Cap Outlay Deprec 26'!I13</f>
        <v>34315</v>
      </c>
      <c r="D2042" s="2" t="str">
        <f t="shared" si="30"/>
        <v>Error?</v>
      </c>
    </row>
    <row r="2043" spans="1:4" x14ac:dyDescent="0.2">
      <c r="A2043" s="5">
        <v>1982</v>
      </c>
      <c r="B2043" s="1832">
        <f>'Cap Outlay Deprec 26'!I16</f>
        <v>236713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2464</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2464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3960664</v>
      </c>
      <c r="C2051" s="2" t="s">
        <v>569</v>
      </c>
      <c r="D2051" s="2" t="str">
        <f t="shared" si="31"/>
        <v>Error?</v>
      </c>
    </row>
    <row r="2052" spans="1:4" x14ac:dyDescent="0.2">
      <c r="A2052" s="5">
        <v>1991</v>
      </c>
      <c r="B2052" s="1832">
        <f>'Cap Outlay Deprec 26'!K10</f>
        <v>57346</v>
      </c>
      <c r="C2052" s="2" t="s">
        <v>569</v>
      </c>
      <c r="D2052" s="2" t="str">
        <f t="shared" si="31"/>
        <v>Error?</v>
      </c>
    </row>
    <row r="2053" spans="1:4" x14ac:dyDescent="0.2">
      <c r="A2053" s="5">
        <v>1992</v>
      </c>
      <c r="B2053" s="1832">
        <f>'Cap Outlay Deprec 26'!K12</f>
        <v>528306</v>
      </c>
      <c r="C2053" s="2" t="s">
        <v>569</v>
      </c>
      <c r="D2053" s="2" t="str">
        <f t="shared" si="31"/>
        <v>Error?</v>
      </c>
    </row>
    <row r="2054" spans="1:4" x14ac:dyDescent="0.2">
      <c r="A2054" s="5">
        <v>1993</v>
      </c>
      <c r="B2054" s="1832">
        <f>'Cap Outlay Deprec 26'!K13</f>
        <v>232361</v>
      </c>
      <c r="C2054" s="2" t="s">
        <v>569</v>
      </c>
      <c r="D2054" s="2" t="str">
        <f t="shared" si="31"/>
        <v>Error?</v>
      </c>
    </row>
    <row r="2055" spans="1:4" x14ac:dyDescent="0.2">
      <c r="A2055" s="5">
        <v>1994</v>
      </c>
      <c r="B2055" s="1832">
        <f>'Cap Outlay Deprec 26'!K16</f>
        <v>4778677</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5693788</v>
      </c>
      <c r="C2057" s="2" t="s">
        <v>569</v>
      </c>
      <c r="D2057" s="2" t="str">
        <f t="shared" si="31"/>
        <v>Error?</v>
      </c>
    </row>
    <row r="2058" spans="1:4" x14ac:dyDescent="0.2">
      <c r="A2058" s="5">
        <v>1997</v>
      </c>
      <c r="B2058" s="1832">
        <f>'Cap Outlay Deprec 26'!L10</f>
        <v>28435</v>
      </c>
      <c r="C2058" s="2" t="s">
        <v>569</v>
      </c>
      <c r="D2058" s="2" t="str">
        <f t="shared" si="31"/>
        <v>Error?</v>
      </c>
    </row>
    <row r="2059" spans="1:4" x14ac:dyDescent="0.2">
      <c r="A2059" s="5">
        <v>1998</v>
      </c>
      <c r="B2059" s="1832">
        <f>'Cap Outlay Deprec 26'!L12</f>
        <v>103767</v>
      </c>
      <c r="C2059" s="2" t="s">
        <v>569</v>
      </c>
      <c r="D2059" s="2" t="str">
        <f t="shared" si="31"/>
        <v>Error?</v>
      </c>
    </row>
    <row r="2060" spans="1:4" x14ac:dyDescent="0.2">
      <c r="A2060" s="5">
        <v>1999</v>
      </c>
      <c r="B2060" s="1832">
        <f>'Cap Outlay Deprec 26'!L13</f>
        <v>268352</v>
      </c>
      <c r="C2060" s="2" t="s">
        <v>569</v>
      </c>
      <c r="D2060" s="2" t="str">
        <f t="shared" si="31"/>
        <v>Error?</v>
      </c>
    </row>
    <row r="2061" spans="1:4" x14ac:dyDescent="0.2">
      <c r="A2061" s="5">
        <v>2000</v>
      </c>
      <c r="B2061" s="1832">
        <f>'Cap Outlay Deprec 26'!L16</f>
        <v>6132518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355986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355986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141574</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2382856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1297122</v>
      </c>
      <c r="C2553" s="2" t="s">
        <v>569</v>
      </c>
      <c r="D2553" s="2" t="str">
        <f t="shared" si="38"/>
        <v>Error?</v>
      </c>
    </row>
    <row r="2554" spans="1:4" x14ac:dyDescent="0.2">
      <c r="A2554" s="5">
        <v>2493</v>
      </c>
      <c r="B2554" s="1832">
        <f>'Acct Summary 7-8'!C7</f>
        <v>532602</v>
      </c>
      <c r="C2554" s="2" t="s">
        <v>569</v>
      </c>
      <c r="D2554" s="2" t="str">
        <f t="shared" si="38"/>
        <v>Error?</v>
      </c>
    </row>
    <row r="2555" spans="1:4" x14ac:dyDescent="0.2">
      <c r="A2555" s="5">
        <v>2494</v>
      </c>
      <c r="B2555" s="1832">
        <f>'Acct Summary 7-8'!C8</f>
        <v>4212580</v>
      </c>
      <c r="C2555" s="2" t="s">
        <v>569</v>
      </c>
      <c r="D2555" s="2" t="str">
        <f t="shared" si="38"/>
        <v>Error?</v>
      </c>
    </row>
    <row r="2556" spans="1:4" x14ac:dyDescent="0.2">
      <c r="A2556" s="5">
        <v>2495</v>
      </c>
      <c r="B2556" s="1832">
        <f>'Acct Summary 7-8'!C12</f>
        <v>2920532</v>
      </c>
      <c r="C2556" s="2" t="s">
        <v>569</v>
      </c>
      <c r="D2556" s="2" t="str">
        <f t="shared" si="38"/>
        <v>Error?</v>
      </c>
    </row>
    <row r="2557" spans="1:4" x14ac:dyDescent="0.2">
      <c r="A2557" s="5">
        <v>2496</v>
      </c>
      <c r="B2557" s="1832">
        <f>'Acct Summary 7-8'!C13</f>
        <v>1228387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355986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4504905</v>
      </c>
      <c r="C2561" s="2" t="s">
        <v>569</v>
      </c>
      <c r="D2561" s="2" t="str">
        <f t="shared" si="39"/>
        <v>Error?</v>
      </c>
    </row>
    <row r="2562" spans="1:4" x14ac:dyDescent="0.2">
      <c r="A2562" s="5">
        <v>2501</v>
      </c>
      <c r="B2562" s="1832">
        <f>'Acct Summary 7-8'!C20</f>
        <v>-292325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400223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162201</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562424</v>
      </c>
      <c r="C2568" s="2" t="s">
        <v>569</v>
      </c>
      <c r="D2568" s="2" t="str">
        <f t="shared" si="39"/>
        <v>Error?</v>
      </c>
    </row>
    <row r="2569" spans="1:4" x14ac:dyDescent="0.2">
      <c r="A2569" s="5">
        <v>2508</v>
      </c>
      <c r="B2569" s="1832">
        <f>'Acct Summary 7-8'!D13</f>
        <v>612730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612730</v>
      </c>
      <c r="C2573" s="2" t="s">
        <v>569</v>
      </c>
      <c r="D2573" s="2" t="str">
        <f t="shared" si="39"/>
        <v>Error?</v>
      </c>
    </row>
    <row r="2574" spans="1:4" x14ac:dyDescent="0.2">
      <c r="A2574" s="5">
        <v>2513</v>
      </c>
      <c r="B2574" s="1832">
        <f>'Acct Summary 7-8'!D20</f>
        <v>-50306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184960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175057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360017</v>
      </c>
      <c r="C2595" s="2" t="s">
        <v>569</v>
      </c>
      <c r="D2595" s="2" t="str">
        <f t="shared" si="39"/>
        <v>Error?</v>
      </c>
    </row>
    <row r="2596" spans="1:4" x14ac:dyDescent="0.2">
      <c r="A2596" s="5">
        <v>2535</v>
      </c>
      <c r="B2596" s="1832">
        <f>'Acct Summary 7-8'!F13</f>
        <v>382184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382184</v>
      </c>
      <c r="C2600" s="2" t="s">
        <v>569</v>
      </c>
      <c r="D2600" s="2" t="str">
        <f t="shared" si="39"/>
        <v>Error?</v>
      </c>
    </row>
    <row r="2601" spans="1:4" x14ac:dyDescent="0.2">
      <c r="A2601" s="5">
        <v>2540</v>
      </c>
      <c r="B2601" s="1832">
        <f>'Acct Summary 7-8'!F20</f>
        <v>-22167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116039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116039</v>
      </c>
      <c r="C2606" s="2" t="s">
        <v>569</v>
      </c>
      <c r="D2606" s="2" t="str">
        <f t="shared" si="39"/>
        <v>Error?</v>
      </c>
    </row>
    <row r="2607" spans="1:4" x14ac:dyDescent="0.2">
      <c r="A2607" s="5">
        <v>2546</v>
      </c>
      <c r="B2607" s="1832">
        <f>'Acct Summary 7-8'!G12</f>
        <v>42987</v>
      </c>
      <c r="C2607" s="2" t="s">
        <v>569</v>
      </c>
      <c r="D2607" s="2" t="str">
        <f t="shared" si="39"/>
        <v>Error?</v>
      </c>
    </row>
    <row r="2608" spans="1:4" x14ac:dyDescent="0.2">
      <c r="A2608" s="5">
        <v>2547</v>
      </c>
      <c r="B2608" s="1832">
        <f>'Acct Summary 7-8'!G13</f>
        <v>159475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202462</v>
      </c>
      <c r="C2612" s="2" t="s">
        <v>569</v>
      </c>
      <c r="D2612" s="2" t="str">
        <f t="shared" si="39"/>
        <v>Error?</v>
      </c>
    </row>
    <row r="2613" spans="1:4" x14ac:dyDescent="0.2">
      <c r="A2613" s="5">
        <v>2552</v>
      </c>
      <c r="B2613" s="1832">
        <f>'Acct Summary 7-8'!G20</f>
        <v>-86423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536051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536051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617263</v>
      </c>
      <c r="C2634" s="2" t="s">
        <v>569</v>
      </c>
      <c r="D2634" s="2" t="str">
        <f t="shared" si="40"/>
        <v>Error?</v>
      </c>
    </row>
    <row r="2635" spans="1:4" x14ac:dyDescent="0.2">
      <c r="A2635" s="5">
        <v>2574</v>
      </c>
      <c r="B2635" s="1832">
        <f>'Acct Summary 7-8'!E17</f>
        <v>617263</v>
      </c>
      <c r="C2635" s="2" t="s">
        <v>569</v>
      </c>
      <c r="D2635" s="2" t="str">
        <f t="shared" si="40"/>
        <v>Error?</v>
      </c>
    </row>
    <row r="2636" spans="1:4" x14ac:dyDescent="0.2">
      <c r="A2636" s="5">
        <v>2575</v>
      </c>
      <c r="B2636" s="1832">
        <f>'Acct Summary 7-8'!E20</f>
        <v>-81212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297353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297353</v>
      </c>
      <c r="C2658" s="2" t="s">
        <v>569</v>
      </c>
      <c r="D2658" s="2" t="str">
        <f t="shared" si="40"/>
        <v>Error?</v>
      </c>
    </row>
    <row r="2659" spans="1:4" x14ac:dyDescent="0.2">
      <c r="A2659" s="5">
        <v>2598</v>
      </c>
      <c r="B2659" s="1832">
        <f>'Acct Summary 7-8'!H13</f>
        <v>155593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155593</v>
      </c>
      <c r="C2661" s="2" t="s">
        <v>569</v>
      </c>
      <c r="D2661" s="2" t="str">
        <f t="shared" si="40"/>
        <v>Error?</v>
      </c>
    </row>
    <row r="2662" spans="1:4" x14ac:dyDescent="0.2">
      <c r="A2662" s="5">
        <v>2601</v>
      </c>
      <c r="B2662" s="1832">
        <f>'Acct Summary 7-8'!H20</f>
        <v>141760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461641</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462294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78693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462294</v>
      </c>
      <c r="D2912" s="2" t="str">
        <f t="shared" si="44"/>
        <v>Error?</v>
      </c>
    </row>
    <row r="2913" spans="1:4" x14ac:dyDescent="0.2">
      <c r="A2913" s="5">
        <v>2852</v>
      </c>
      <c r="B2913" s="1832">
        <f>'Assets-Liab 5-6'!I41</f>
        <v>462294</v>
      </c>
      <c r="C2913" s="2" t="s">
        <v>569</v>
      </c>
      <c r="D2913" s="2" t="str">
        <f t="shared" si="44"/>
        <v>Error?</v>
      </c>
    </row>
    <row r="2914" spans="1:4" x14ac:dyDescent="0.2">
      <c r="A2914" s="5">
        <v>2853</v>
      </c>
      <c r="B2914" s="1832">
        <f>'Assets-Liab 5-6'!L33</f>
        <v>78693</v>
      </c>
      <c r="D2914" s="2" t="str">
        <f t="shared" si="44"/>
        <v>Error?</v>
      </c>
    </row>
    <row r="2915" spans="1:4" x14ac:dyDescent="0.2">
      <c r="A2915" s="10">
        <v>2854</v>
      </c>
      <c r="B2915" s="1832"/>
      <c r="D2915" s="2" t="str">
        <f t="shared" si="44"/>
        <v>OK</v>
      </c>
    </row>
    <row r="2916" spans="1:4" x14ac:dyDescent="0.2">
      <c r="A2916" s="5">
        <v>2855</v>
      </c>
      <c r="B2916" s="1832">
        <f>'Assets-Liab 5-6'!L34</f>
        <v>78693</v>
      </c>
      <c r="C2916" s="2" t="s">
        <v>569</v>
      </c>
      <c r="D2916" s="2" t="str">
        <f t="shared" si="44"/>
        <v>Error?</v>
      </c>
    </row>
    <row r="2917" spans="1:4" x14ac:dyDescent="0.2">
      <c r="A2917" s="5">
        <v>2856</v>
      </c>
      <c r="B2917" s="1832">
        <f>'Assets-Liab 5-6'!L41</f>
        <v>78693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343386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12600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343386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12600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105141</v>
      </c>
      <c r="D3055" s="2" t="str">
        <f t="shared" si="46"/>
        <v>Error?</v>
      </c>
    </row>
    <row r="3056" spans="1:4" x14ac:dyDescent="0.2">
      <c r="A3056" s="5">
        <v>2995</v>
      </c>
      <c r="B3056" s="1832">
        <f>'Expenditures 15-22'!D10</f>
        <v>10102</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16518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131761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973</v>
      </c>
      <c r="D3064" s="2" t="str">
        <f t="shared" si="46"/>
        <v>Error?</v>
      </c>
    </row>
    <row r="3065" spans="1:4" x14ac:dyDescent="0.2">
      <c r="A3065" s="5">
        <v>3004</v>
      </c>
      <c r="B3065" s="1832">
        <f>'Expenditures 15-22'!K219</f>
        <v>973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18638</v>
      </c>
      <c r="C3225" s="2" t="s">
        <v>569</v>
      </c>
      <c r="D3225" s="2" t="str">
        <f t="shared" si="49"/>
        <v>Error?</v>
      </c>
    </row>
    <row r="3226" spans="1:4" x14ac:dyDescent="0.2">
      <c r="A3226" s="5">
        <v>3165</v>
      </c>
      <c r="B3226" s="1832">
        <f>'Acct Summary 7-8'!I8</f>
        <v>18638</v>
      </c>
      <c r="C3226" s="2" t="s">
        <v>569</v>
      </c>
      <c r="D3226" s="2" t="str">
        <f t="shared" si="49"/>
        <v>Error?</v>
      </c>
    </row>
    <row r="3227" spans="1:4" x14ac:dyDescent="0.2">
      <c r="A3227" s="5">
        <v>3166</v>
      </c>
      <c r="B3227" s="1832">
        <f>'Acct Summary 7-8'!I20</f>
        <v>18638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-292325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-50306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1350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1350</v>
      </c>
      <c r="C3255" s="2" t="s">
        <v>569</v>
      </c>
      <c r="D3255" s="2" t="str">
        <f t="shared" si="49"/>
        <v>Error?</v>
      </c>
    </row>
    <row r="3256" spans="1:4" x14ac:dyDescent="0.2">
      <c r="A3256" s="5">
        <v>3195</v>
      </c>
      <c r="B3256" s="1832">
        <f>'Acct Summary 7-8'!F78</f>
        <v>-20817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-86423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-81212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141760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18638</v>
      </c>
      <c r="C3320" s="2" t="s">
        <v>569</v>
      </c>
      <c r="D3320" s="2" t="str">
        <f t="shared" si="50"/>
        <v>Error?</v>
      </c>
    </row>
    <row r="3321" spans="1:4" x14ac:dyDescent="0.2">
      <c r="A3321" s="5">
        <v>3260</v>
      </c>
      <c r="B3321" s="1832">
        <f>'Acct Summary 7-8'!I79</f>
        <v>443656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462294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249008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31577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280585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23734</v>
      </c>
      <c r="D3387" s="2" t="str">
        <f t="shared" si="51"/>
        <v>Error?</v>
      </c>
    </row>
    <row r="3388" spans="1:4" x14ac:dyDescent="0.2">
      <c r="A3388" s="5">
        <v>3327</v>
      </c>
      <c r="B3388" s="1832">
        <f>'Expenditures 15-22'!D217</f>
        <v>3479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23734</v>
      </c>
      <c r="C3390" s="2" t="s">
        <v>569</v>
      </c>
      <c r="D3390" s="2" t="str">
        <f t="shared" si="51"/>
        <v>Error?</v>
      </c>
    </row>
    <row r="3391" spans="1:4" x14ac:dyDescent="0.2">
      <c r="A3391" s="5">
        <v>3330</v>
      </c>
      <c r="B3391" s="1832">
        <f>'Expenditures 15-22'!K217</f>
        <v>3479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86895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180211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768</v>
      </c>
      <c r="D3417" s="2" t="str">
        <f t="shared" si="52"/>
        <v>Error?</v>
      </c>
    </row>
    <row r="3418" spans="1:4" x14ac:dyDescent="0.2">
      <c r="A3418" s="10">
        <v>3357</v>
      </c>
      <c r="B3418" s="1832"/>
      <c r="D3418" s="2" t="str">
        <f t="shared" si="52"/>
        <v>OK</v>
      </c>
    </row>
    <row r="3419" spans="1:4" x14ac:dyDescent="0.2">
      <c r="A3419" s="5">
        <v>3358</v>
      </c>
      <c r="B3419" s="1832">
        <f>'Assets-Liab 5-6'!F4</f>
        <v>13728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340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10788</v>
      </c>
      <c r="D3425" s="2" t="str">
        <f t="shared" si="52"/>
        <v>Error?</v>
      </c>
    </row>
    <row r="3426" spans="1:4" x14ac:dyDescent="0.2">
      <c r="A3426" s="10">
        <v>3365</v>
      </c>
      <c r="B3426" s="1832"/>
      <c r="D3426" s="2" t="str">
        <f t="shared" si="52"/>
        <v>OK</v>
      </c>
    </row>
    <row r="3427" spans="1:4" x14ac:dyDescent="0.2">
      <c r="A3427" s="5">
        <v>3366</v>
      </c>
      <c r="B3427" s="1832">
        <f>'Assets-Liab 5-6'!I4</f>
        <v>653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78693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56671</v>
      </c>
      <c r="C3446" s="2" t="s">
        <v>569</v>
      </c>
      <c r="D3446" s="2" t="str">
        <f t="shared" si="52"/>
        <v>Error?</v>
      </c>
    </row>
    <row r="3447" spans="1:4" x14ac:dyDescent="0.2">
      <c r="A3447" s="5">
        <v>3386</v>
      </c>
      <c r="B3447" s="1832">
        <f>'Tax Sched 23'!D16</f>
        <v>28026</v>
      </c>
      <c r="C3447" s="2" t="s">
        <v>569</v>
      </c>
      <c r="D3447" s="2" t="str">
        <f t="shared" si="52"/>
        <v>Error?</v>
      </c>
    </row>
    <row r="3448" spans="1:4" x14ac:dyDescent="0.2">
      <c r="A3448" s="5">
        <v>3387</v>
      </c>
      <c r="B3448" s="1832">
        <f>'Tax Sched 23'!C16</f>
        <v>28645</v>
      </c>
      <c r="D3448" s="2" t="str">
        <f t="shared" si="52"/>
        <v>Error?</v>
      </c>
    </row>
    <row r="3449" spans="1:4" x14ac:dyDescent="0.2">
      <c r="A3449" s="5">
        <v>3388</v>
      </c>
      <c r="B3449" s="1832">
        <f>'Tax Sched 23'!F16</f>
        <v>37194</v>
      </c>
      <c r="C3449" s="2" t="s">
        <v>569</v>
      </c>
      <c r="D3449" s="2" t="str">
        <f t="shared" si="52"/>
        <v>Error?</v>
      </c>
    </row>
    <row r="3450" spans="1:4" x14ac:dyDescent="0.2">
      <c r="A3450" s="5">
        <v>3389</v>
      </c>
      <c r="B3450" s="1832">
        <f>'Tax Sched 23'!E16</f>
        <v>65839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1350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296147</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296190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296190</v>
      </c>
      <c r="D3567" s="2" t="str">
        <f t="shared" si="54"/>
        <v>Error?</v>
      </c>
    </row>
    <row r="3568" spans="1:4" x14ac:dyDescent="0.2">
      <c r="A3568" s="5">
        <v>3507</v>
      </c>
      <c r="B3568" s="1832">
        <f>'Assets-Liab 5-6'!K41</f>
        <v>296190</v>
      </c>
      <c r="C3568" s="2" t="s">
        <v>569</v>
      </c>
      <c r="D3568" s="2" t="str">
        <f t="shared" si="54"/>
        <v>Error?</v>
      </c>
    </row>
    <row r="3569" spans="1:4" x14ac:dyDescent="0.2">
      <c r="A3569" s="5">
        <v>3508</v>
      </c>
      <c r="B3569" s="1832">
        <f>'Acct Summary 7-8'!K4</f>
        <v>43356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43356</v>
      </c>
      <c r="C3571" s="2" t="s">
        <v>569</v>
      </c>
      <c r="D3571" s="2" t="str">
        <f t="shared" si="54"/>
        <v>Error?</v>
      </c>
    </row>
    <row r="3572" spans="1:4" x14ac:dyDescent="0.2">
      <c r="A3572" s="5">
        <v>3511</v>
      </c>
      <c r="B3572" s="1832">
        <f>'Acct Summary 7-8'!K13</f>
        <v>29181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29181</v>
      </c>
      <c r="C3575" s="2" t="s">
        <v>569</v>
      </c>
      <c r="D3575" s="2" t="str">
        <f t="shared" si="54"/>
        <v>Error?</v>
      </c>
    </row>
    <row r="3576" spans="1:4" x14ac:dyDescent="0.2">
      <c r="A3576" s="5">
        <v>3515</v>
      </c>
      <c r="B3576" s="1832">
        <f>'Acct Summary 7-8'!K20</f>
        <v>14175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14175</v>
      </c>
      <c r="C3588" s="2" t="s">
        <v>569</v>
      </c>
      <c r="D3588" s="2" t="str">
        <f t="shared" si="55"/>
        <v>Error?</v>
      </c>
    </row>
    <row r="3589" spans="1:4" x14ac:dyDescent="0.2">
      <c r="A3589" s="5">
        <v>3528</v>
      </c>
      <c r="B3589" s="1832">
        <f>'Acct Summary 7-8'!K79</f>
        <v>282015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296190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1065</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1065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1065</v>
      </c>
      <c r="C3635" s="2" t="s">
        <v>569</v>
      </c>
      <c r="D3635" s="2" t="str">
        <f t="shared" si="55"/>
        <v>Error?</v>
      </c>
    </row>
    <row r="3636" spans="1:4" x14ac:dyDescent="0.2">
      <c r="A3636" s="5">
        <v>3575</v>
      </c>
      <c r="B3636" s="1832">
        <f>'Expenditures 15-22'!E367</f>
        <v>1065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28116</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28116</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28116</v>
      </c>
      <c r="C3649" s="2" t="s">
        <v>569</v>
      </c>
      <c r="D3649" s="2" t="str">
        <f t="shared" si="56"/>
        <v>Error?</v>
      </c>
    </row>
    <row r="3650" spans="1:4" x14ac:dyDescent="0.2">
      <c r="A3650" s="5">
        <v>3589</v>
      </c>
      <c r="B3650" s="1832">
        <f>'Expenditures 15-22'!G367</f>
        <v>28116</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29181</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29181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29181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29181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14175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171749</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2085687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6298267</v>
      </c>
      <c r="C4122" s="2" t="s">
        <v>569</v>
      </c>
      <c r="D4122" s="2" t="str">
        <f t="shared" si="63"/>
        <v>Error?</v>
      </c>
    </row>
    <row r="4123" spans="1:4" x14ac:dyDescent="0.2">
      <c r="A4123" s="5">
        <v>4062</v>
      </c>
      <c r="B4123" s="1832">
        <f>'Acct Summary 7-8'!D10</f>
        <v>562424</v>
      </c>
      <c r="C4123" s="2" t="s">
        <v>569</v>
      </c>
      <c r="D4123" s="2" t="str">
        <f t="shared" si="63"/>
        <v>Error?</v>
      </c>
    </row>
    <row r="4124" spans="1:4" x14ac:dyDescent="0.2">
      <c r="A4124" s="5">
        <v>4063</v>
      </c>
      <c r="B4124" s="1832">
        <f>'Acct Summary 7-8'!E10</f>
        <v>536051</v>
      </c>
      <c r="C4124" s="2" t="s">
        <v>569</v>
      </c>
      <c r="D4124" s="2" t="str">
        <f t="shared" si="63"/>
        <v>Error?</v>
      </c>
    </row>
    <row r="4125" spans="1:4" x14ac:dyDescent="0.2">
      <c r="A4125" s="5">
        <v>4064</v>
      </c>
      <c r="B4125" s="1832">
        <f>'Acct Summary 7-8'!F10</f>
        <v>360017</v>
      </c>
      <c r="C4125" s="2" t="s">
        <v>569</v>
      </c>
      <c r="D4125" s="2" t="str">
        <f t="shared" si="63"/>
        <v>Error?</v>
      </c>
    </row>
    <row r="4126" spans="1:4" x14ac:dyDescent="0.2">
      <c r="A4126" s="5">
        <v>4065</v>
      </c>
      <c r="B4126" s="1832">
        <f>'Acct Summary 7-8'!G10</f>
        <v>116039</v>
      </c>
      <c r="C4126" s="2" t="s">
        <v>569</v>
      </c>
      <c r="D4126" s="2" t="str">
        <f t="shared" si="63"/>
        <v>Error?</v>
      </c>
    </row>
    <row r="4127" spans="1:4" x14ac:dyDescent="0.2">
      <c r="A4127" s="5">
        <v>4066</v>
      </c>
      <c r="B4127" s="1832">
        <f>'Acct Summary 7-8'!H10</f>
        <v>297353</v>
      </c>
      <c r="C4127" s="2" t="s">
        <v>569</v>
      </c>
      <c r="D4127" s="2" t="str">
        <f t="shared" si="63"/>
        <v>Error?</v>
      </c>
    </row>
    <row r="4128" spans="1:4" x14ac:dyDescent="0.2">
      <c r="A4128" s="5">
        <v>4067</v>
      </c>
      <c r="B4128" s="1832">
        <f>'Acct Summary 7-8'!I10</f>
        <v>18638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43356</v>
      </c>
      <c r="C4130" s="2" t="s">
        <v>569</v>
      </c>
      <c r="D4130" s="2" t="str">
        <f t="shared" si="63"/>
        <v>Error?</v>
      </c>
    </row>
    <row r="4131" spans="1:4" x14ac:dyDescent="0.2">
      <c r="A4131" s="5">
        <v>4070</v>
      </c>
      <c r="B4131" s="1832">
        <f>'Acct Summary 7-8'!C18</f>
        <v>2085687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6590592</v>
      </c>
      <c r="C4136" s="2" t="s">
        <v>569</v>
      </c>
      <c r="D4136" s="2" t="str">
        <f t="shared" si="63"/>
        <v>Error?</v>
      </c>
    </row>
    <row r="4137" spans="1:4" x14ac:dyDescent="0.2">
      <c r="A4137" s="5">
        <v>4076</v>
      </c>
      <c r="B4137" s="1832">
        <f>'Acct Summary 7-8'!D19</f>
        <v>612730</v>
      </c>
      <c r="C4137" s="2" t="s">
        <v>569</v>
      </c>
      <c r="D4137" s="2" t="str">
        <f t="shared" si="63"/>
        <v>Error?</v>
      </c>
    </row>
    <row r="4138" spans="1:4" x14ac:dyDescent="0.2">
      <c r="A4138" s="5">
        <v>4077</v>
      </c>
      <c r="B4138" s="1832">
        <f>'Acct Summary 7-8'!E19</f>
        <v>617263</v>
      </c>
      <c r="C4138" s="2" t="s">
        <v>569</v>
      </c>
      <c r="D4138" s="2" t="str">
        <f t="shared" si="63"/>
        <v>Error?</v>
      </c>
    </row>
    <row r="4139" spans="1:4" x14ac:dyDescent="0.2">
      <c r="A4139" s="5">
        <v>4078</v>
      </c>
      <c r="B4139" s="1832">
        <f>'Acct Summary 7-8'!F19</f>
        <v>382184</v>
      </c>
      <c r="C4139" s="2" t="s">
        <v>569</v>
      </c>
      <c r="D4139" s="2" t="str">
        <f t="shared" si="63"/>
        <v>Error?</v>
      </c>
    </row>
    <row r="4140" spans="1:4" x14ac:dyDescent="0.2">
      <c r="A4140" s="5">
        <v>4079</v>
      </c>
      <c r="B4140" s="1832">
        <f>'Acct Summary 7-8'!G19</f>
        <v>202462</v>
      </c>
      <c r="C4140" s="2" t="s">
        <v>569</v>
      </c>
      <c r="D4140" s="2" t="str">
        <f t="shared" si="63"/>
        <v>Error?</v>
      </c>
    </row>
    <row r="4141" spans="1:4" x14ac:dyDescent="0.2">
      <c r="A4141" s="5">
        <v>4080</v>
      </c>
      <c r="B4141" s="1832">
        <f>'Acct Summary 7-8'!H19</f>
        <v>155593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29181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3665000</v>
      </c>
      <c r="C4171" s="2" t="s">
        <v>569</v>
      </c>
      <c r="D4171" s="2" t="str">
        <f t="shared" si="64"/>
        <v>Error?</v>
      </c>
    </row>
    <row r="4172" spans="1:4" x14ac:dyDescent="0.2">
      <c r="A4172" s="5">
        <v>4111</v>
      </c>
      <c r="B4172" s="1832">
        <f>'Short-Term Long-Term Debt 24'!J49</f>
        <v>3373769</v>
      </c>
      <c r="C4172" s="2" t="s">
        <v>569</v>
      </c>
      <c r="D4172" s="2" t="str">
        <f t="shared" si="64"/>
        <v>Error?</v>
      </c>
    </row>
    <row r="4173" spans="1:4" x14ac:dyDescent="0.2">
      <c r="A4173" s="5">
        <v>4112</v>
      </c>
      <c r="B4173" s="1832">
        <f>'Short-Term Long-Term Debt 24'!H49</f>
        <v>465000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892</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2847.1</v>
      </c>
      <c r="C4265" s="2" t="s">
        <v>569</v>
      </c>
      <c r="D4265" s="2" t="str">
        <f t="shared" si="65"/>
        <v>Error?</v>
      </c>
      <c r="E4265" s="125"/>
    </row>
    <row r="4266" spans="1:5" x14ac:dyDescent="0.2">
      <c r="A4266" s="12">
        <v>4205</v>
      </c>
      <c r="B4266" s="1832">
        <f>('FP Info 3'!F10)*100000</f>
        <v>366.6</v>
      </c>
      <c r="C4266" s="2" t="s">
        <v>569</v>
      </c>
      <c r="D4266" s="2" t="str">
        <f t="shared" si="65"/>
        <v>Error?</v>
      </c>
      <c r="E4266" s="125"/>
    </row>
    <row r="4267" spans="1:5" x14ac:dyDescent="0.2">
      <c r="A4267" s="12">
        <v>4206</v>
      </c>
      <c r="B4267" s="1832">
        <f>('FP Info 3'!H10)*100000</f>
        <v>244.4</v>
      </c>
      <c r="C4267" s="2" t="s">
        <v>569</v>
      </c>
      <c r="D4267" s="2" t="str">
        <f t="shared" si="65"/>
        <v>Error?</v>
      </c>
      <c r="E4267" s="125"/>
    </row>
    <row r="4268" spans="1:5" x14ac:dyDescent="0.2">
      <c r="A4268" s="12">
        <v>4207</v>
      </c>
      <c r="B4268" s="1832">
        <f>('FP Info 3'!J10)*100000</f>
        <v>3458</v>
      </c>
      <c r="C4268" s="2" t="s">
        <v>569</v>
      </c>
      <c r="D4268" s="2" t="str">
        <f t="shared" si="65"/>
        <v>Error?</v>
      </c>
    </row>
    <row r="4269" spans="1:5" x14ac:dyDescent="0.2">
      <c r="A4269" s="12">
        <v>4208</v>
      </c>
      <c r="B4269" s="1832">
        <f>'FP Info 3'!J16</f>
        <v>2259565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141152</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14581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63038</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63038</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29812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24.5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9763</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16590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87902212</v>
      </c>
      <c r="D4995" s="2" t="str">
        <f t="shared" si="77"/>
        <v>Error?</v>
      </c>
    </row>
    <row r="4996" spans="1:4" x14ac:dyDescent="0.2">
      <c r="A4996" s="12">
        <v>4935</v>
      </c>
      <c r="B4996" s="1832">
        <f>'FP Info 3'!H31</f>
        <v>12130505.256000001</v>
      </c>
      <c r="D4996" s="2" t="str">
        <f t="shared" si="77"/>
        <v>Error?</v>
      </c>
    </row>
    <row r="4997" spans="1:4" x14ac:dyDescent="0.2">
      <c r="A4997" s="12">
        <v>4936</v>
      </c>
      <c r="B4997" s="1832">
        <f>'FP Info 3'!H37</f>
        <v>3665000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2154409</v>
      </c>
      <c r="D5061" s="2" t="str">
        <f t="shared" si="78"/>
        <v>Error?</v>
      </c>
    </row>
    <row r="5062" spans="1:4" x14ac:dyDescent="0.2">
      <c r="A5062" s="10">
        <v>5001</v>
      </c>
      <c r="B5062" s="1832"/>
      <c r="D5062" s="2" t="str">
        <f t="shared" si="78"/>
        <v>OK</v>
      </c>
    </row>
    <row r="5063" spans="1:4" x14ac:dyDescent="0.2">
      <c r="A5063" s="5">
        <v>5002</v>
      </c>
      <c r="B5063" s="1832">
        <f>'Revenues 9-14'!C7</f>
        <v>30887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2185296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9679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9679</v>
      </c>
      <c r="C5090" s="2" t="s">
        <v>569</v>
      </c>
      <c r="D5090" s="2" t="str">
        <f t="shared" si="78"/>
        <v>Error?</v>
      </c>
    </row>
    <row r="5091" spans="1:4" x14ac:dyDescent="0.2">
      <c r="A5091" s="5">
        <v>5030</v>
      </c>
      <c r="B5091" s="1832">
        <f>'Revenues 9-14'!C70</f>
        <v>6614</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964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62310</v>
      </c>
      <c r="C5096" s="2" t="s">
        <v>569</v>
      </c>
      <c r="D5096" s="2" t="str">
        <f t="shared" si="78"/>
        <v>Error?</v>
      </c>
    </row>
    <row r="5097" spans="1:4" x14ac:dyDescent="0.2">
      <c r="A5097" s="5">
        <v>5036</v>
      </c>
      <c r="B5097" s="1832">
        <f>'Revenues 9-14'!C77</f>
        <v>13361</v>
      </c>
      <c r="D5097" s="2" t="str">
        <f t="shared" si="78"/>
        <v>Error?</v>
      </c>
    </row>
    <row r="5098" spans="1:4" x14ac:dyDescent="0.2">
      <c r="A5098" s="5">
        <v>5037</v>
      </c>
      <c r="B5098" s="1832">
        <f>'Revenues 9-14'!C78</f>
        <v>49980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63341</v>
      </c>
      <c r="C5102" s="2" t="s">
        <v>569</v>
      </c>
      <c r="D5102" s="2" t="str">
        <f t="shared" si="78"/>
        <v>Error?</v>
      </c>
    </row>
    <row r="5103" spans="1:4" x14ac:dyDescent="0.2">
      <c r="A5103" s="5">
        <v>5042</v>
      </c>
      <c r="B5103" s="1832">
        <f>'Revenues 9-14'!C84</f>
        <v>39812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39812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4800</v>
      </c>
      <c r="D5119" s="2" t="str">
        <f t="shared" ref="D5119:D5182" si="79">IF(ISBLANK(B5119),"OK",IF(A5119-B5119=0,"OK","Error?"))</f>
        <v>Error?</v>
      </c>
    </row>
    <row r="5120" spans="1:4" x14ac:dyDescent="0.2">
      <c r="A5120" s="5">
        <v>5059</v>
      </c>
      <c r="B5120" s="1832">
        <f>'Revenues 9-14'!C108</f>
        <v>22418</v>
      </c>
      <c r="C5120" s="2" t="s">
        <v>569</v>
      </c>
      <c r="D5120" s="2" t="str">
        <f t="shared" si="79"/>
        <v>Error?</v>
      </c>
    </row>
    <row r="5121" spans="1:4" x14ac:dyDescent="0.2">
      <c r="A5121" s="5">
        <v>5060</v>
      </c>
      <c r="B5121" s="1832">
        <f>'Revenues 9-14'!C109</f>
        <v>2382856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1027274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1027274</v>
      </c>
      <c r="C5132" s="2" t="s">
        <v>569</v>
      </c>
      <c r="D5132" s="2" t="str">
        <f t="shared" si="79"/>
        <v>Error?</v>
      </c>
    </row>
    <row r="5133" spans="1:4" x14ac:dyDescent="0.2">
      <c r="A5133" s="5">
        <v>5072</v>
      </c>
      <c r="B5133" s="1832">
        <f>'Revenues 9-14'!C125</f>
        <v>28216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28216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20552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1184</v>
      </c>
      <c r="D5167" s="2" t="str">
        <f t="shared" si="79"/>
        <v>Error?</v>
      </c>
    </row>
    <row r="5168" spans="1:4" x14ac:dyDescent="0.2">
      <c r="A5168" s="5">
        <v>5107</v>
      </c>
      <c r="B5168" s="1832">
        <f>'Revenues 9-14'!C148</f>
        <v>4756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198550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269848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1297122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66688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20203</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86891</v>
      </c>
      <c r="C5246" s="2" t="s">
        <v>569</v>
      </c>
      <c r="D5246" s="2" t="str">
        <f t="shared" si="80"/>
        <v>Error?</v>
      </c>
    </row>
    <row r="5247" spans="1:4" x14ac:dyDescent="0.2">
      <c r="A5247" s="5">
        <v>5186</v>
      </c>
      <c r="B5247" s="1832">
        <f>'Revenues 9-14'!C200</f>
        <v>104540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30000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245692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6976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52402</v>
      </c>
      <c r="D5278" s="2" t="str">
        <f t="shared" si="81"/>
        <v>Error?</v>
      </c>
    </row>
    <row r="5279" spans="1:4" x14ac:dyDescent="0.2">
      <c r="A5279" s="5">
        <v>5218</v>
      </c>
      <c r="B5279" s="1832">
        <f>'Revenues 9-14'!C214</f>
        <v>3210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62588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532602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532602</v>
      </c>
      <c r="C5326" s="2" t="s">
        <v>569</v>
      </c>
      <c r="D5326" s="2" t="str">
        <f t="shared" si="82"/>
        <v>Error?</v>
      </c>
    </row>
    <row r="5327" spans="1:5" x14ac:dyDescent="0.2">
      <c r="A5327" s="5">
        <v>5266</v>
      </c>
      <c r="B5327" s="1832">
        <f>'Revenues 9-14'!C268</f>
        <v>4212580</v>
      </c>
      <c r="C5327" s="2" t="s">
        <v>569</v>
      </c>
      <c r="D5327" s="2" t="str">
        <f t="shared" si="82"/>
        <v>Error?</v>
      </c>
    </row>
    <row r="5328" spans="1:5" x14ac:dyDescent="0.2">
      <c r="A5328" s="5">
        <v>5267</v>
      </c>
      <c r="B5328" s="1832">
        <f>'Revenues 9-14'!D5</f>
        <v>277374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277374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94375</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94375</v>
      </c>
      <c r="C5339" s="2" t="s">
        <v>569</v>
      </c>
      <c r="D5339" s="2" t="str">
        <f t="shared" si="82"/>
        <v>Error?</v>
      </c>
    </row>
    <row r="5340" spans="1:4" x14ac:dyDescent="0.2">
      <c r="A5340" s="5">
        <v>5279</v>
      </c>
      <c r="B5340" s="1832">
        <f>'Revenues 9-14'!D65</f>
        <v>47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28427</v>
      </c>
      <c r="C5355" s="2" t="s">
        <v>569</v>
      </c>
      <c r="D5355" s="2" t="str">
        <f t="shared" si="82"/>
        <v>Error?</v>
      </c>
    </row>
    <row r="5356" spans="1:4" x14ac:dyDescent="0.2">
      <c r="A5356" s="5">
        <v>5295</v>
      </c>
      <c r="B5356" s="1832">
        <f>'Revenues 9-14'!D109</f>
        <v>400223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162201</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162201</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162201</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562424</v>
      </c>
      <c r="C5508" s="2" t="s">
        <v>569</v>
      </c>
      <c r="D5508" s="2" t="str">
        <f t="shared" si="85"/>
        <v>Error?</v>
      </c>
    </row>
    <row r="5509" spans="1:4" x14ac:dyDescent="0.2">
      <c r="A5509" s="5">
        <v>5448</v>
      </c>
      <c r="B5509" s="1832">
        <f>'Revenues 9-14'!E5</f>
        <v>536047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536047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536051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536051</v>
      </c>
      <c r="C5552" s="2" t="s">
        <v>569</v>
      </c>
      <c r="D5552" s="2" t="str">
        <f t="shared" si="85"/>
        <v>Error?</v>
      </c>
    </row>
    <row r="5553" spans="1:4" x14ac:dyDescent="0.2">
      <c r="A5553" s="5">
        <v>5492</v>
      </c>
      <c r="B5553" s="1832">
        <f>'Revenues 9-14'!F5</f>
        <v>184929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184929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184960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138710</v>
      </c>
      <c r="D5615" s="2" t="str">
        <f t="shared" si="86"/>
        <v>Error?</v>
      </c>
    </row>
    <row r="5616" spans="1:4" x14ac:dyDescent="0.2">
      <c r="A5616" s="10">
        <v>5555</v>
      </c>
      <c r="B5616" s="1832"/>
      <c r="D5616" s="2" t="str">
        <f t="shared" si="86"/>
        <v>OK</v>
      </c>
    </row>
    <row r="5617" spans="1:5" x14ac:dyDescent="0.2">
      <c r="A5617" s="5">
        <v>5556</v>
      </c>
      <c r="B5617" s="1832">
        <f>'Revenues 9-14'!F153</f>
        <v>36347</v>
      </c>
      <c r="D5617" s="2" t="str">
        <f t="shared" si="86"/>
        <v>Error?</v>
      </c>
    </row>
    <row r="5618" spans="1:5" x14ac:dyDescent="0.2">
      <c r="A5618" s="5">
        <v>5557</v>
      </c>
      <c r="B5618" s="1832">
        <f>'Revenues 9-14'!F155</f>
        <v>175057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175057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175057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360017</v>
      </c>
      <c r="C5720" s="2" t="s">
        <v>569</v>
      </c>
      <c r="D5720" s="2" t="str">
        <f t="shared" si="88"/>
        <v>Error?</v>
      </c>
    </row>
    <row r="5721" spans="1:4" x14ac:dyDescent="0.2">
      <c r="A5721" s="5">
        <v>5660</v>
      </c>
      <c r="B5721" s="1832">
        <f>'Revenues 9-14'!G5</f>
        <v>56671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56671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113342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2678</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2678</v>
      </c>
      <c r="C5730" s="2" t="s">
        <v>569</v>
      </c>
      <c r="D5730" s="2" t="str">
        <f t="shared" si="88"/>
        <v>Error?</v>
      </c>
    </row>
    <row r="5731" spans="1:4" x14ac:dyDescent="0.2">
      <c r="A5731" s="5">
        <v>5670</v>
      </c>
      <c r="B5731" s="1832">
        <f>'Revenues 9-14'!G65</f>
        <v>19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116039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186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186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297167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297353</v>
      </c>
      <c r="C5915" s="2" t="s">
        <v>569</v>
      </c>
      <c r="D5915" s="2" t="str">
        <f t="shared" si="91"/>
        <v>Error?</v>
      </c>
    </row>
    <row r="5916" spans="1:4" x14ac:dyDescent="0.2">
      <c r="A5916" s="5">
        <v>5855</v>
      </c>
      <c r="B5916" s="1832">
        <f>'Revenues 9-14'!I5</f>
        <v>18548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18548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90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90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18638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43346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43346</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43356</v>
      </c>
      <c r="C6023" s="2" t="s">
        <v>569</v>
      </c>
      <c r="D6023" s="2" t="str">
        <f t="shared" si="93"/>
        <v>Error?</v>
      </c>
    </row>
    <row r="6024" spans="1:5" x14ac:dyDescent="0.2">
      <c r="A6024" s="5">
        <v>5963</v>
      </c>
      <c r="B6024" s="1832">
        <f>'Revenues 9-14'!G109</f>
        <v>116039</v>
      </c>
      <c r="C6024" s="2" t="s">
        <v>569</v>
      </c>
      <c r="D6024" s="2" t="str">
        <f t="shared" si="93"/>
        <v>Error?</v>
      </c>
    </row>
    <row r="6025" spans="1:5" x14ac:dyDescent="0.2">
      <c r="A6025" s="5">
        <v>5964</v>
      </c>
      <c r="B6025" s="1832">
        <f>'Revenues 9-14'!H109</f>
        <v>297353</v>
      </c>
      <c r="C6025" s="2" t="s">
        <v>569</v>
      </c>
      <c r="D6025" s="2" t="str">
        <f t="shared" si="93"/>
        <v>Error?</v>
      </c>
    </row>
    <row r="6026" spans="1:5" x14ac:dyDescent="0.2">
      <c r="A6026" s="5">
        <v>5965</v>
      </c>
      <c r="B6026" s="1832">
        <f>'Revenues 9-14'!I109</f>
        <v>18638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43356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54732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18961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500.3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124548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124548</v>
      </c>
      <c r="D6215" s="2" t="str">
        <f t="shared" si="96"/>
        <v>Error?</v>
      </c>
      <c r="E6215" s="2" t="s">
        <v>189</v>
      </c>
    </row>
    <row r="6216" spans="1:5" x14ac:dyDescent="0.2">
      <c r="A6216">
        <v>6155</v>
      </c>
      <c r="B6216" s="1832">
        <f>'Assets-Liab 5-6'!J41</f>
        <v>124548</v>
      </c>
      <c r="D6216" s="2" t="str">
        <f t="shared" si="96"/>
        <v>Error?</v>
      </c>
      <c r="E6216" s="2" t="s">
        <v>189</v>
      </c>
    </row>
    <row r="6217" spans="1:5" x14ac:dyDescent="0.2">
      <c r="A6217">
        <v>6156</v>
      </c>
      <c r="B6217" s="1832">
        <f>'Assets-Liab 5-6'!J4</f>
        <v>224</v>
      </c>
      <c r="D6217" s="2" t="str">
        <f t="shared" si="96"/>
        <v>Error?</v>
      </c>
      <c r="E6217" s="2" t="s">
        <v>189</v>
      </c>
    </row>
    <row r="6218" spans="1:5" x14ac:dyDescent="0.2">
      <c r="A6218">
        <v>6157</v>
      </c>
      <c r="B6218" s="1832">
        <f>'Assets-Liab 5-6'!J5</f>
        <v>124324</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99299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99299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99299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13463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13463</v>
      </c>
      <c r="D6229" s="2" t="str">
        <f t="shared" si="96"/>
        <v>Error?</v>
      </c>
      <c r="E6229" s="2" t="s">
        <v>189</v>
      </c>
    </row>
    <row r="6230" spans="1:5" x14ac:dyDescent="0.2">
      <c r="A6230">
        <v>6169</v>
      </c>
      <c r="B6230" s="1832">
        <f>'Acct Summary 7-8'!J20</f>
        <v>85836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85836</v>
      </c>
      <c r="D6263" s="2" t="str">
        <f t="shared" si="96"/>
        <v>Error?</v>
      </c>
      <c r="E6263" s="2" t="s">
        <v>189</v>
      </c>
    </row>
    <row r="6264" spans="1:5" x14ac:dyDescent="0.2">
      <c r="A6264">
        <v>6203</v>
      </c>
      <c r="B6264" s="1832">
        <f>'Acct Summary 7-8'!J79</f>
        <v>38712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124548</v>
      </c>
      <c r="D6266" s="2" t="str">
        <f t="shared" si="96"/>
        <v>Error?</v>
      </c>
      <c r="E6266" s="2" t="s">
        <v>189</v>
      </c>
    </row>
    <row r="6267" spans="1:5" x14ac:dyDescent="0.2">
      <c r="A6267">
        <v>6206</v>
      </c>
      <c r="B6267" s="1832">
        <f>'Acct Summary 7-8'!C82</f>
        <v>-292325</v>
      </c>
      <c r="D6267" s="2" t="str">
        <f t="shared" si="96"/>
        <v>Error?</v>
      </c>
      <c r="E6267" s="2" t="s">
        <v>189</v>
      </c>
    </row>
    <row r="6268" spans="1:5" x14ac:dyDescent="0.2">
      <c r="A6268">
        <v>6207</v>
      </c>
      <c r="B6268" s="1832">
        <f>'Acct Summary 7-8'!D82</f>
        <v>-50306</v>
      </c>
      <c r="D6268" s="2" t="str">
        <f t="shared" si="96"/>
        <v>Error?</v>
      </c>
      <c r="E6268" s="2" t="s">
        <v>189</v>
      </c>
    </row>
    <row r="6269" spans="1:5" x14ac:dyDescent="0.2">
      <c r="A6269">
        <v>6208</v>
      </c>
      <c r="B6269" s="1832">
        <f>'Acct Summary 7-8'!E82</f>
        <v>-81212</v>
      </c>
      <c r="D6269" s="2" t="str">
        <f t="shared" si="96"/>
        <v>Error?</v>
      </c>
      <c r="E6269" s="2" t="s">
        <v>189</v>
      </c>
    </row>
    <row r="6270" spans="1:5" x14ac:dyDescent="0.2">
      <c r="A6270">
        <v>6209</v>
      </c>
      <c r="B6270" s="1832">
        <f>'Acct Summary 7-8'!F82</f>
        <v>-20817</v>
      </c>
      <c r="D6270" s="2" t="str">
        <f t="shared" si="96"/>
        <v>Error?</v>
      </c>
      <c r="E6270" s="2" t="s">
        <v>189</v>
      </c>
    </row>
    <row r="6271" spans="1:5" x14ac:dyDescent="0.2">
      <c r="A6271">
        <v>6210</v>
      </c>
      <c r="B6271" s="1832">
        <f>'Acct Summary 7-8'!G82</f>
        <v>-86423</v>
      </c>
      <c r="D6271" s="2" t="str">
        <f t="shared" ref="D6271:D6334" si="97">IF(ISBLANK(B6271),"OK",IF(A6271-B6271=0,"OK","Error?"))</f>
        <v>Error?</v>
      </c>
      <c r="E6271" s="2" t="s">
        <v>189</v>
      </c>
    </row>
    <row r="6272" spans="1:5" x14ac:dyDescent="0.2">
      <c r="A6272">
        <v>6211</v>
      </c>
      <c r="B6272" s="1832">
        <f>'Acct Summary 7-8'!H82</f>
        <v>141760</v>
      </c>
      <c r="D6272" s="2" t="str">
        <f t="shared" si="97"/>
        <v>Error?</v>
      </c>
      <c r="E6272" s="2" t="s">
        <v>189</v>
      </c>
    </row>
    <row r="6273" spans="1:5" x14ac:dyDescent="0.2">
      <c r="A6273">
        <v>6212</v>
      </c>
      <c r="B6273" s="1832">
        <f>'Acct Summary 7-8'!I82</f>
        <v>18638</v>
      </c>
      <c r="D6273" s="2" t="str">
        <f t="shared" si="97"/>
        <v>Error?</v>
      </c>
      <c r="E6273" s="2" t="s">
        <v>189</v>
      </c>
    </row>
    <row r="6274" spans="1:5" x14ac:dyDescent="0.2">
      <c r="A6274">
        <v>6213</v>
      </c>
      <c r="B6274" s="1832">
        <f>'Acct Summary 7-8'!J82</f>
        <v>85836</v>
      </c>
      <c r="D6274" s="2" t="str">
        <f t="shared" si="97"/>
        <v>Error?</v>
      </c>
      <c r="E6274" s="2" t="s">
        <v>189</v>
      </c>
    </row>
    <row r="6275" spans="1:5" x14ac:dyDescent="0.2">
      <c r="A6275">
        <v>6214</v>
      </c>
      <c r="B6275" s="1832">
        <f>'Acct Summary 7-8'!K82</f>
        <v>14175</v>
      </c>
      <c r="D6275" s="2" t="str">
        <f t="shared" si="97"/>
        <v>Error?</v>
      </c>
      <c r="E6275" s="2" t="s">
        <v>189</v>
      </c>
    </row>
    <row r="6276" spans="1:5" x14ac:dyDescent="0.2">
      <c r="A6276">
        <v>6215</v>
      </c>
      <c r="B6276" s="1832">
        <f>'Acct Summary 7-8'!C83</f>
        <v>-0.7330152107081781</v>
      </c>
      <c r="D6276" s="2" t="str">
        <f t="shared" si="97"/>
        <v>Error?</v>
      </c>
      <c r="E6276" s="2" t="s">
        <v>189</v>
      </c>
    </row>
    <row r="6277" spans="1:5" x14ac:dyDescent="0.2">
      <c r="A6277">
        <v>6216</v>
      </c>
      <c r="B6277" s="1832">
        <f>'Acct Summary 7-8'!D83</f>
        <v>-4.3095627472027595E-2</v>
      </c>
      <c r="D6277" s="2" t="str">
        <f t="shared" si="97"/>
        <v>Error?</v>
      </c>
      <c r="E6277" s="2" t="s">
        <v>189</v>
      </c>
    </row>
    <row r="6278" spans="1:5" x14ac:dyDescent="0.2">
      <c r="A6278">
        <v>6217</v>
      </c>
      <c r="B6278" s="1832">
        <f>'Acct Summary 7-8'!E83</f>
        <v>-0.2788576765522901</v>
      </c>
      <c r="D6278" s="2" t="str">
        <f t="shared" si="97"/>
        <v>Error?</v>
      </c>
      <c r="E6278" s="2" t="s">
        <v>189</v>
      </c>
    </row>
    <row r="6279" spans="1:5" x14ac:dyDescent="0.2">
      <c r="A6279">
        <v>6218</v>
      </c>
      <c r="B6279" s="1832">
        <f>'Acct Summary 7-8'!F83</f>
        <v>-9.0053728554001095E-2</v>
      </c>
      <c r="D6279" s="2" t="str">
        <f t="shared" si="97"/>
        <v>Error?</v>
      </c>
      <c r="E6279" s="2" t="s">
        <v>189</v>
      </c>
    </row>
    <row r="6280" spans="1:5" x14ac:dyDescent="0.2">
      <c r="A6280">
        <v>6219</v>
      </c>
      <c r="B6280" s="1832">
        <f>'Acct Summary 7-8'!G83</f>
        <v>-1.3475589789967723</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4.0316335492132711E-2</v>
      </c>
      <c r="D6282" s="2" t="str">
        <f t="shared" si="97"/>
        <v>Error?</v>
      </c>
      <c r="E6282" s="2" t="s">
        <v>189</v>
      </c>
    </row>
    <row r="6283" spans="1:5" x14ac:dyDescent="0.2">
      <c r="A6283">
        <v>6222</v>
      </c>
      <c r="B6283" s="1832">
        <f>'Acct Summary 7-8'!J83</f>
        <v>0.68918007515174873</v>
      </c>
      <c r="D6283" s="2" t="str">
        <f t="shared" si="97"/>
        <v>Error?</v>
      </c>
      <c r="E6283" s="2" t="s">
        <v>189</v>
      </c>
    </row>
    <row r="6284" spans="1:5" x14ac:dyDescent="0.2">
      <c r="A6284">
        <v>6223</v>
      </c>
      <c r="B6284" s="1832">
        <f>'Acct Summary 7-8'!K83</f>
        <v>4.7857793983591614E-2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89493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89493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9791</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28427</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7855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9791</v>
      </c>
      <c r="D6351" s="2" t="str">
        <f t="shared" si="98"/>
        <v>Error?</v>
      </c>
      <c r="E6351" s="2" t="s">
        <v>189</v>
      </c>
    </row>
    <row r="6352" spans="1:5" x14ac:dyDescent="0.2">
      <c r="A6352">
        <v>6291</v>
      </c>
      <c r="B6352" s="1832">
        <f>'Revenues 9-14'!J109</f>
        <v>99299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19660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99769</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169969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107734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13463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99299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10250</v>
      </c>
      <c r="D7073" s="2" t="str">
        <f t="shared" si="109"/>
        <v>Error?</v>
      </c>
    </row>
    <row r="7074" spans="1:4" x14ac:dyDescent="0.2">
      <c r="A7074">
        <v>7013</v>
      </c>
      <c r="B7074" s="1832">
        <f>'Expenditures 15-22'!K216</f>
        <v>10250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13463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13463</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13463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13463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13463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13463</v>
      </c>
      <c r="D7224" s="2" t="str">
        <f t="shared" si="111"/>
        <v>Error?</v>
      </c>
    </row>
    <row r="7225" spans="1:4" x14ac:dyDescent="0.2">
      <c r="A7225">
        <v>7164</v>
      </c>
      <c r="B7225" s="1832">
        <f>'Expenditures 15-22'!K343</f>
        <v>85836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3313</v>
      </c>
      <c r="D7246" s="2" t="str">
        <f t="shared" si="112"/>
        <v>Error?</v>
      </c>
    </row>
    <row r="7247" spans="1:4" x14ac:dyDescent="0.2">
      <c r="A7247">
        <f t="shared" si="113"/>
        <v>7186</v>
      </c>
      <c r="B7247" s="1832">
        <f>'Expenditures 15-22'!E7</f>
        <v>28563</v>
      </c>
      <c r="D7247" s="2" t="str">
        <f t="shared" si="112"/>
        <v>Error?</v>
      </c>
    </row>
    <row r="7248" spans="1:4" x14ac:dyDescent="0.2">
      <c r="A7248">
        <f t="shared" si="113"/>
        <v>7187</v>
      </c>
      <c r="B7248" s="1832">
        <f>'Expenditures 15-22'!F7</f>
        <v>26174</v>
      </c>
      <c r="D7248" s="2" t="str">
        <f t="shared" si="112"/>
        <v>Error?</v>
      </c>
    </row>
    <row r="7249" spans="1:4" x14ac:dyDescent="0.2">
      <c r="A7249">
        <f t="shared" si="113"/>
        <v>7188</v>
      </c>
      <c r="B7249" s="1832">
        <f>'Expenditures 15-22'!G7</f>
        <v>12150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79476</v>
      </c>
      <c r="D7263" s="2" t="str">
        <f t="shared" si="112"/>
        <v>Error?</v>
      </c>
    </row>
    <row r="7264" spans="1:4" x14ac:dyDescent="0.2">
      <c r="A7264">
        <f t="shared" si="113"/>
        <v>7203</v>
      </c>
      <c r="B7264" s="1832">
        <f>'Expenditures 15-22'!D17</f>
        <v>12758</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15500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38176</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38176</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38176</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236713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7855</v>
      </c>
      <c r="D7712" s="2" t="str">
        <f t="shared" si="126"/>
        <v>Error?</v>
      </c>
      <c r="E7712" s="2" t="s">
        <v>822</v>
      </c>
    </row>
    <row r="7713" spans="1:6" x14ac:dyDescent="0.2">
      <c r="A7713">
        <v>7652</v>
      </c>
      <c r="B7713" s="1832">
        <f>'Rest Tax Levies-Tort Im 25'!J8</f>
        <v>297167</v>
      </c>
      <c r="D7713" s="2" t="str">
        <f t="shared" si="126"/>
        <v>Error?</v>
      </c>
      <c r="E7713" s="2" t="s">
        <v>822</v>
      </c>
    </row>
    <row r="7714" spans="1:6" x14ac:dyDescent="0.2">
      <c r="A7714">
        <v>7653</v>
      </c>
      <c r="B7714" s="1832">
        <f>'Rest Tax Levies-Tort Im 25'!K9</f>
        <v>4756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297167</v>
      </c>
      <c r="D7718" s="2" t="str">
        <f t="shared" si="126"/>
        <v>Error?</v>
      </c>
      <c r="E7718" s="2" t="s">
        <v>822</v>
      </c>
    </row>
    <row r="7719" spans="1:6" x14ac:dyDescent="0.2">
      <c r="A7719">
        <v>7658</v>
      </c>
      <c r="B7719" s="1832">
        <f>'Rest Tax Levies-Tort Im 25'!K12</f>
        <v>12611</v>
      </c>
      <c r="D7719" s="2" t="str">
        <f t="shared" si="126"/>
        <v>Error?</v>
      </c>
      <c r="E7719" s="2" t="s">
        <v>822</v>
      </c>
    </row>
    <row r="7720" spans="1:6" x14ac:dyDescent="0.2">
      <c r="A7720">
        <v>7659</v>
      </c>
      <c r="B7720" s="1832">
        <f>'Rest Tax Levies-Tort Im 25'!H14</f>
        <v>30887</v>
      </c>
      <c r="D7720" s="2" t="str">
        <f t="shared" si="126"/>
        <v>Error?</v>
      </c>
      <c r="E7720" s="2" t="s">
        <v>822</v>
      </c>
    </row>
    <row r="7721" spans="1:6" x14ac:dyDescent="0.2">
      <c r="A7721">
        <v>7660</v>
      </c>
      <c r="B7721" s="1832">
        <f>'Rest Tax Levies-Tort Im 25'!K14</f>
        <v>12611</v>
      </c>
      <c r="D7721" s="2" t="str">
        <f t="shared" si="126"/>
        <v>Error?</v>
      </c>
      <c r="E7721" s="2" t="s">
        <v>822</v>
      </c>
    </row>
    <row r="7722" spans="1:6" x14ac:dyDescent="0.2">
      <c r="A7722">
        <v>7661</v>
      </c>
      <c r="B7722" s="1832">
        <f>'Rest Tax Levies-Tort Im 25'!J15</f>
        <v>155593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155593</v>
      </c>
      <c r="D7730" s="2" t="str">
        <f t="shared" si="126"/>
        <v>Error?</v>
      </c>
      <c r="E7730" s="2" t="s">
        <v>822</v>
      </c>
    </row>
    <row r="7731" spans="1:6" x14ac:dyDescent="0.2">
      <c r="A7731">
        <v>7670</v>
      </c>
      <c r="B7731" s="1832">
        <f>'Revenues 9-14'!H103</f>
        <v>297167</v>
      </c>
      <c r="D7731" s="2" t="str">
        <f t="shared" si="126"/>
        <v>Error?</v>
      </c>
      <c r="E7731" s="2" t="s">
        <v>822</v>
      </c>
    </row>
    <row r="7732" spans="1:6" x14ac:dyDescent="0.2">
      <c r="A7732">
        <v>7671</v>
      </c>
      <c r="B7732" s="1832">
        <f>'Rest Tax Levies-Tort Im 25'!J24</f>
        <v>141574</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141574</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12611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5505000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6333007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157819</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1085009</v>
      </c>
      <c r="D7834" s="2" t="str">
        <f t="shared" si="129"/>
        <v>Error?</v>
      </c>
      <c r="E7834" s="4" t="s">
        <v>1998</v>
      </c>
    </row>
    <row r="7835" spans="1:5" x14ac:dyDescent="0.2">
      <c r="A7835">
        <v>7774</v>
      </c>
      <c r="B7835" s="1832">
        <f>'PCTC-OEPP 27-28'!F78</f>
        <v>5247998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10489.702178692783</v>
      </c>
      <c r="D7837" s="2" t="str">
        <f t="shared" si="129"/>
        <v>Error?</v>
      </c>
      <c r="E7837" s="4" t="s">
        <v>1998</v>
      </c>
    </row>
    <row r="7838" spans="1:5" x14ac:dyDescent="0.2">
      <c r="A7838">
        <v>7777</v>
      </c>
      <c r="B7838" s="1832">
        <f>'PCTC-OEPP 27-28'!F96</f>
        <v>63341</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9763</v>
      </c>
      <c r="D7841" s="2" t="str">
        <f t="shared" si="129"/>
        <v>Error?</v>
      </c>
      <c r="E7841" s="4" t="s">
        <v>1998</v>
      </c>
    </row>
    <row r="7842" spans="1:5" x14ac:dyDescent="0.2">
      <c r="A7842">
        <v>7781</v>
      </c>
      <c r="B7842" s="1832">
        <f>'PCTC-OEPP 27-28'!F106</f>
        <v>28216</v>
      </c>
      <c r="D7842" s="2" t="str">
        <f t="shared" si="129"/>
        <v>Error?</v>
      </c>
      <c r="E7842" s="4" t="s">
        <v>1998</v>
      </c>
    </row>
    <row r="7843" spans="1:5" x14ac:dyDescent="0.2">
      <c r="A7843">
        <v>7782</v>
      </c>
      <c r="B7843" s="1832">
        <f>'PCTC-OEPP 27-28'!F107</f>
        <v>20552</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4756</v>
      </c>
      <c r="D7846" s="2" t="str">
        <f t="shared" si="129"/>
        <v>Error?</v>
      </c>
      <c r="E7846" s="4" t="s">
        <v>1998</v>
      </c>
    </row>
    <row r="7847" spans="1:5" x14ac:dyDescent="0.2">
      <c r="A7847">
        <v>7786</v>
      </c>
      <c r="B7847" s="1832">
        <f>'PCTC-OEPP 27-28'!F112</f>
        <v>175057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16590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63038</v>
      </c>
      <c r="D7857" s="2" t="str">
        <f t="shared" si="129"/>
        <v>Error?</v>
      </c>
      <c r="E7857" s="4" t="s">
        <v>1998</v>
      </c>
    </row>
    <row r="7858" spans="1:5" x14ac:dyDescent="0.2">
      <c r="A7858">
        <v>7797</v>
      </c>
      <c r="B7858" s="1832">
        <f>'PCTC-OEPP 27-28'!F126</f>
        <v>86891</v>
      </c>
      <c r="D7858" s="2" t="str">
        <f t="shared" si="129"/>
        <v>Error?</v>
      </c>
      <c r="E7858" s="4" t="s">
        <v>1998</v>
      </c>
    </row>
    <row r="7859" spans="1:5" x14ac:dyDescent="0.2">
      <c r="A7859">
        <v>7798</v>
      </c>
      <c r="B7859" s="1832">
        <f>'PCTC-OEPP 27-28'!F127</f>
        <v>245692</v>
      </c>
      <c r="D7859" s="2" t="str">
        <f t="shared" si="129"/>
        <v>Error?</v>
      </c>
      <c r="E7859" s="4" t="s">
        <v>1998</v>
      </c>
    </row>
    <row r="7860" spans="1:5" x14ac:dyDescent="0.2">
      <c r="A7860">
        <v>7799</v>
      </c>
      <c r="B7860" s="1832">
        <f>'PCTC-OEPP 27-28'!F128</f>
        <v>30000</v>
      </c>
      <c r="D7860" s="2" t="str">
        <f t="shared" si="129"/>
        <v>Error?</v>
      </c>
      <c r="E7860" s="4" t="s">
        <v>1998</v>
      </c>
    </row>
    <row r="7861" spans="1:5" x14ac:dyDescent="0.2">
      <c r="A7861">
        <v>7800</v>
      </c>
      <c r="B7861" s="1832">
        <f>'PCTC-OEPP 27-28'!F129</f>
        <v>52402</v>
      </c>
      <c r="D7861" s="2" t="str">
        <f t="shared" si="129"/>
        <v>Error?</v>
      </c>
      <c r="E7861" s="4" t="s">
        <v>1998</v>
      </c>
    </row>
    <row r="7862" spans="1:5" x14ac:dyDescent="0.2">
      <c r="A7862">
        <v>7801</v>
      </c>
      <c r="B7862" s="1832">
        <f>'PCTC-OEPP 27-28'!F130</f>
        <v>3210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29812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14581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947207</v>
      </c>
      <c r="D7877" s="2" t="str">
        <f t="shared" si="129"/>
        <v>Error?</v>
      </c>
      <c r="E7877" s="4" t="s">
        <v>1998</v>
      </c>
    </row>
    <row r="7878" spans="1:5" x14ac:dyDescent="0.2">
      <c r="A7878">
        <v>7817</v>
      </c>
      <c r="B7878" s="1832">
        <f>'PCTC-OEPP 27-28'!F176</f>
        <v>4300791</v>
      </c>
      <c r="D7878" s="2" t="str">
        <f t="shared" si="129"/>
        <v>Error?</v>
      </c>
      <c r="E7878" s="4" t="s">
        <v>1998</v>
      </c>
    </row>
    <row r="7879" spans="1:5" x14ac:dyDescent="0.2">
      <c r="A7879">
        <v>7818</v>
      </c>
      <c r="B7879" s="1832">
        <f>'PCTC-OEPP 27-28'!F178</f>
        <v>4537504</v>
      </c>
      <c r="D7879" s="2" t="str">
        <f t="shared" si="129"/>
        <v>Error?</v>
      </c>
      <c r="E7879" s="4" t="s">
        <v>1998</v>
      </c>
    </row>
    <row r="7880" spans="1:5" x14ac:dyDescent="0.2">
      <c r="A7880">
        <v>7819</v>
      </c>
      <c r="B7880" s="1832">
        <f>'PCTC-OEPP 27-28'!F180</f>
        <v>9069.5662602438533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23" sqref="H2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9" t="s">
        <v>1181</v>
      </c>
      <c r="B2" s="2569"/>
      <c r="C2" s="2569"/>
      <c r="D2" s="2569"/>
      <c r="E2" s="2569"/>
      <c r="F2" s="2569"/>
      <c r="G2" s="2569"/>
      <c r="H2" s="2569"/>
      <c r="I2" s="2569"/>
      <c r="J2" s="2569"/>
      <c r="K2" s="2569"/>
      <c r="L2" s="2569"/>
    </row>
    <row r="3" spans="1:29" ht="13.5" customHeight="1" x14ac:dyDescent="0.2">
      <c r="A3" s="2555" t="s">
        <v>1180</v>
      </c>
      <c r="B3" s="2555"/>
      <c r="C3" s="2555"/>
      <c r="D3" s="2555"/>
      <c r="E3" s="2555"/>
      <c r="F3" s="2555"/>
      <c r="G3" s="2555"/>
      <c r="H3" s="2555"/>
      <c r="I3" s="2555"/>
      <c r="J3" s="2555"/>
      <c r="K3" s="2555"/>
      <c r="L3" s="2555"/>
    </row>
    <row r="4" spans="1:29" ht="13.5" customHeight="1" x14ac:dyDescent="0.2">
      <c r="A4" s="2586" t="str">
        <f>"Year Ending June 30, "&amp;'AFR20'!E2</f>
        <v>Year Ending June 30, 2020</v>
      </c>
      <c r="B4" s="2587"/>
      <c r="C4" s="2587"/>
      <c r="D4" s="2587"/>
      <c r="E4" s="2587"/>
      <c r="F4" s="2587"/>
      <c r="G4" s="2587"/>
      <c r="H4" s="2587"/>
      <c r="I4" s="2587"/>
      <c r="J4" s="2587"/>
      <c r="K4" s="2587"/>
      <c r="L4" s="258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9" t="str">
        <f>COVER!A17</f>
        <v xml:space="preserve">  Tri City CUSD 1</v>
      </c>
      <c r="B7" s="2550"/>
      <c r="C7" s="2550"/>
      <c r="D7" s="2588"/>
      <c r="E7" s="2589">
        <f>COVER!A13</f>
        <v>51084001026</v>
      </c>
      <c r="F7" s="2590"/>
      <c r="G7" s="2556" t="str">
        <f>COVER!T23</f>
        <v>066-003847</v>
      </c>
      <c r="H7" s="2557"/>
      <c r="I7" s="2557"/>
      <c r="J7" s="2557"/>
      <c r="K7" s="2557"/>
      <c r="L7" s="255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9"/>
      <c r="B9" s="2560"/>
      <c r="C9" s="2560"/>
      <c r="D9" s="2560"/>
      <c r="E9" s="2560"/>
      <c r="F9" s="2561"/>
      <c r="G9" s="2562" t="str">
        <f>COVER!T13</f>
        <v>LMHN, Ltd.</v>
      </c>
      <c r="H9" s="2563"/>
      <c r="I9" s="2563"/>
      <c r="J9" s="2563"/>
      <c r="K9" s="2563"/>
      <c r="L9" s="2564"/>
    </row>
    <row r="10" spans="1:29" ht="13.5" customHeight="1" x14ac:dyDescent="0.2">
      <c r="A10" s="2546" t="str">
        <f>COVER!A38</f>
        <v>Chad Colmone</v>
      </c>
      <c r="B10" s="2547"/>
      <c r="C10" s="2547"/>
      <c r="D10" s="2547"/>
      <c r="E10" s="2547"/>
      <c r="F10" s="2548"/>
      <c r="G10" s="2562" t="str">
        <f>COVER!T17</f>
        <v>900 N Webster St - PO Box 87</v>
      </c>
      <c r="H10" s="2575"/>
      <c r="I10" s="2575"/>
      <c r="J10" s="2575"/>
      <c r="K10" s="2575"/>
      <c r="L10" s="2576"/>
    </row>
    <row r="11" spans="1:29" ht="13.5" customHeight="1" x14ac:dyDescent="0.2">
      <c r="A11" s="963" t="s">
        <v>1502</v>
      </c>
      <c r="B11" s="964"/>
      <c r="C11" s="965"/>
      <c r="D11" s="970"/>
      <c r="E11" s="965"/>
      <c r="F11" s="969"/>
      <c r="G11" s="2562" t="str">
        <f>COVER!T19</f>
        <v>Taylorville</v>
      </c>
      <c r="H11" s="2575"/>
      <c r="I11" s="2575"/>
      <c r="J11" s="2575"/>
      <c r="K11" s="2575"/>
      <c r="L11" s="2576"/>
    </row>
    <row r="12" spans="1:29" ht="13.5" customHeight="1" x14ac:dyDescent="0.2">
      <c r="A12" s="2580" t="s">
        <v>1501</v>
      </c>
      <c r="B12" s="2581"/>
      <c r="C12" s="2581"/>
      <c r="D12" s="2581"/>
      <c r="E12" s="2581"/>
      <c r="F12" s="2582"/>
      <c r="G12" s="2577"/>
      <c r="H12" s="2578"/>
      <c r="I12" s="2578"/>
      <c r="J12" s="2578"/>
      <c r="K12" s="2578"/>
      <c r="L12" s="2579"/>
    </row>
    <row r="13" spans="1:29" ht="13.5" customHeight="1" x14ac:dyDescent="0.2">
      <c r="A13" s="2562"/>
      <c r="B13" s="2575"/>
      <c r="C13" s="2575"/>
      <c r="D13" s="2575"/>
      <c r="E13" s="2575"/>
      <c r="F13" s="2576"/>
      <c r="G13" s="2570" t="s">
        <v>1503</v>
      </c>
      <c r="H13" s="2571"/>
      <c r="I13" s="2583" t="str">
        <f>COVER!T25</f>
        <v>lmhncpas@outlook.com</v>
      </c>
      <c r="J13" s="2584"/>
      <c r="K13" s="2584"/>
      <c r="L13" s="2585"/>
    </row>
    <row r="14" spans="1:29" ht="13.5" customHeight="1" x14ac:dyDescent="0.2">
      <c r="A14" s="2562" t="str">
        <f>COVER!A19</f>
        <v>PO Box 290</v>
      </c>
      <c r="B14" s="2575"/>
      <c r="C14" s="2575"/>
      <c r="D14" s="2575"/>
      <c r="E14" s="2575"/>
      <c r="F14" s="2576"/>
      <c r="G14" s="974" t="s">
        <v>1175</v>
      </c>
      <c r="H14" s="972"/>
      <c r="I14" s="972"/>
      <c r="J14" s="972"/>
      <c r="K14" s="972"/>
      <c r="L14" s="973"/>
    </row>
    <row r="15" spans="1:29" ht="13.5" customHeight="1" x14ac:dyDescent="0.2">
      <c r="A15" s="2562" t="str">
        <f>COVER!A21</f>
        <v>Buffalo</v>
      </c>
      <c r="B15" s="2575"/>
      <c r="C15" s="2575"/>
      <c r="D15" s="2575"/>
      <c r="E15" s="2575"/>
      <c r="F15" s="2576"/>
      <c r="G15" s="2572" t="str">
        <f>COVER!T15</f>
        <v>M. Adam Mathias</v>
      </c>
      <c r="H15" s="2573"/>
      <c r="I15" s="2573"/>
      <c r="J15" s="2573"/>
      <c r="K15" s="2573"/>
      <c r="L15" s="2574"/>
    </row>
    <row r="16" spans="1:29" ht="12.2" customHeight="1" x14ac:dyDescent="0.2">
      <c r="A16" s="2552">
        <f>COVER!A25</f>
        <v>62515</v>
      </c>
      <c r="B16" s="2553"/>
      <c r="C16" s="2553"/>
      <c r="D16" s="2553"/>
      <c r="E16" s="2553"/>
      <c r="F16" s="2554"/>
      <c r="G16" s="2565"/>
      <c r="H16" s="2566"/>
      <c r="I16" s="2566"/>
      <c r="J16" s="2566"/>
      <c r="K16" s="2566"/>
      <c r="L16" s="2567"/>
    </row>
    <row r="17" spans="1:13" ht="12.2" customHeight="1" x14ac:dyDescent="0.2">
      <c r="A17" s="2568"/>
      <c r="B17" s="2553"/>
      <c r="C17" s="2553"/>
      <c r="D17" s="2553"/>
      <c r="E17" s="2553"/>
      <c r="F17" s="2554"/>
      <c r="G17" s="974" t="s">
        <v>1174</v>
      </c>
      <c r="H17" s="972"/>
      <c r="I17" s="972"/>
      <c r="J17" s="972"/>
      <c r="K17" s="976" t="s">
        <v>1173</v>
      </c>
      <c r="L17" s="969"/>
      <c r="M17" s="962"/>
    </row>
    <row r="18" spans="1:13" ht="12.2" customHeight="1" x14ac:dyDescent="0.2">
      <c r="A18" s="2546"/>
      <c r="B18" s="2547"/>
      <c r="C18" s="2547"/>
      <c r="D18" s="2547"/>
      <c r="E18" s="2547"/>
      <c r="F18" s="2548"/>
      <c r="G18" s="2549" t="str">
        <f>COVER!T21</f>
        <v>217-824-9661</v>
      </c>
      <c r="H18" s="2550"/>
      <c r="I18" s="2550"/>
      <c r="J18" s="2550"/>
      <c r="K18" s="2549" t="str">
        <f>COVER!X21</f>
        <v>217-824-2415</v>
      </c>
      <c r="L18" s="255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0.75" top="0.75" bottom="0.75" header="0.5" footer="0.5"/>
  <pageSetup scale="87" firstPageNumber="35" fitToHeight="0" orientation="portrait" useFirstPageNumber="1" r:id="rId1"/>
  <headerFooter alignWithMargins="0">
    <oddHeader>&amp;R&amp;8Page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1" t="str">
        <f>'Single Audit Cover'!A7</f>
        <v xml:space="preserve">  Tri City CUSD 1</v>
      </c>
      <c r="B1" s="2592"/>
      <c r="C1" s="2592"/>
      <c r="D1" s="2592"/>
    </row>
    <row r="2" spans="1:11" s="991" customFormat="1" ht="12.75" x14ac:dyDescent="0.2">
      <c r="A2" s="2593">
        <f>'Single Audit Cover'!E7</f>
        <v>51084001026</v>
      </c>
      <c r="B2" s="2594"/>
      <c r="C2" s="2594"/>
      <c r="D2" s="2594"/>
    </row>
    <row r="3" spans="1:11" s="991" customFormat="1" ht="12.75" x14ac:dyDescent="0.2">
      <c r="A3" s="2591" t="s">
        <v>1496</v>
      </c>
      <c r="B3" s="2592"/>
      <c r="C3" s="2592"/>
      <c r="D3" s="259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75" top="0.65" bottom="0.75" header="0.5" footer="0.5"/>
  <pageSetup scale="73" firstPageNumber="36" fitToHeight="0" orientation="portrait" useFirstPageNumber="1" r:id="rId5"/>
  <headerFooter alignWithMargins="0">
    <oddHeader>&amp;R&amp;8Page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8" sqref="F1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6" t="str">
        <f>'Single Audit Cover'!A7</f>
        <v xml:space="preserve">  Tri City CUSD 1</v>
      </c>
      <c r="B1" s="2596"/>
      <c r="C1" s="2596"/>
      <c r="D1" s="2596"/>
      <c r="E1" s="2596"/>
    </row>
    <row r="2" spans="1:5" x14ac:dyDescent="0.2">
      <c r="A2" s="2597">
        <f>'Single Audit Cover'!E7</f>
        <v>51084001026</v>
      </c>
      <c r="B2" s="2597"/>
      <c r="C2" s="2597"/>
      <c r="D2" s="2597"/>
      <c r="E2" s="2597"/>
    </row>
    <row r="3" spans="1:5" ht="4.5" customHeight="1" x14ac:dyDescent="0.2"/>
    <row r="4" spans="1:5" x14ac:dyDescent="0.2">
      <c r="A4" s="2596" t="s">
        <v>1234</v>
      </c>
      <c r="B4" s="2596"/>
      <c r="C4" s="2596"/>
      <c r="D4" s="2596"/>
      <c r="E4" s="2596"/>
    </row>
    <row r="5" spans="1:5" x14ac:dyDescent="0.2">
      <c r="A5" s="2599" t="str">
        <f>'Single Audit Cover'!A4</f>
        <v>Year Ending June 30, 2020</v>
      </c>
      <c r="B5" s="2599"/>
      <c r="C5" s="2599"/>
      <c r="D5" s="2599"/>
      <c r="E5" s="2599"/>
    </row>
    <row r="6" spans="1:5" x14ac:dyDescent="0.2">
      <c r="A6" s="2596" t="s">
        <v>1233</v>
      </c>
      <c r="B6" s="2596"/>
      <c r="C6" s="2596"/>
      <c r="D6" s="2596"/>
      <c r="E6" s="2596"/>
    </row>
    <row r="8" spans="1:5" x14ac:dyDescent="0.2">
      <c r="A8" s="1036" t="s">
        <v>1232</v>
      </c>
    </row>
    <row r="10" spans="1:5" x14ac:dyDescent="0.2">
      <c r="A10" s="1037" t="s">
        <v>1231</v>
      </c>
      <c r="B10" s="1038" t="s">
        <v>1230</v>
      </c>
      <c r="C10" s="1038"/>
      <c r="D10" s="1039">
        <f>SUM('Acct Summary 7-8'!C7:K7)</f>
        <v>532602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18961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-14581</v>
      </c>
    </row>
    <row r="19" spans="1:4" ht="13.5" thickBot="1" x14ac:dyDescent="0.25">
      <c r="A19" s="1041" t="s">
        <v>1224</v>
      </c>
      <c r="D19" s="1042">
        <f>SUM(D10:D17)</f>
        <v>536982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98"/>
      <c r="B24" s="2598"/>
      <c r="D24" s="1044"/>
    </row>
    <row r="25" spans="1:4" x14ac:dyDescent="0.2">
      <c r="A25" s="2595"/>
      <c r="B25" s="2595"/>
      <c r="D25" s="1044"/>
    </row>
    <row r="26" spans="1:4" x14ac:dyDescent="0.2">
      <c r="A26" s="2595"/>
      <c r="B26" s="2595"/>
      <c r="D26" s="1044"/>
    </row>
    <row r="27" spans="1:4" x14ac:dyDescent="0.2">
      <c r="A27" s="2595"/>
      <c r="B27" s="2595"/>
      <c r="D27" s="1044"/>
    </row>
    <row r="28" spans="1:4" x14ac:dyDescent="0.2">
      <c r="A28" s="2595"/>
      <c r="B28" s="2595"/>
      <c r="D28" s="1044"/>
    </row>
    <row r="29" spans="1:4" x14ac:dyDescent="0.2">
      <c r="A29" s="2595"/>
      <c r="B29" s="2595"/>
      <c r="D29" s="1044"/>
    </row>
    <row r="30" spans="1:4" x14ac:dyDescent="0.2">
      <c r="A30" s="2595"/>
      <c r="B30" s="2595"/>
      <c r="D30" s="1044"/>
    </row>
    <row r="32" spans="1:4" x14ac:dyDescent="0.2">
      <c r="A32" s="1036" t="s">
        <v>1222</v>
      </c>
      <c r="D32" s="1039">
        <f>SUM(D19:D30)</f>
        <v>536982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95"/>
      <c r="B40" s="2595"/>
      <c r="D40" s="1044"/>
    </row>
    <row r="41" spans="1:4" x14ac:dyDescent="0.2">
      <c r="A41" s="2595"/>
      <c r="B41" s="2595"/>
      <c r="D41" s="1047"/>
    </row>
    <row r="42" spans="1:4" x14ac:dyDescent="0.2">
      <c r="A42" s="2595"/>
      <c r="B42" s="2595"/>
      <c r="D42" s="1047"/>
    </row>
    <row r="43" spans="1:4" x14ac:dyDescent="0.2">
      <c r="A43" s="2595"/>
      <c r="B43" s="2595"/>
      <c r="D43" s="1047"/>
    </row>
    <row r="44" spans="1:4" x14ac:dyDescent="0.2">
      <c r="A44" s="2595"/>
      <c r="B44" s="2595"/>
      <c r="D44" s="1047"/>
    </row>
    <row r="45" spans="1:4" x14ac:dyDescent="0.2">
      <c r="A45" s="2595"/>
      <c r="B45" s="2595"/>
      <c r="D45" s="1047"/>
    </row>
    <row r="47" spans="1:4" x14ac:dyDescent="0.2">
      <c r="B47" s="1048" t="s">
        <v>1216</v>
      </c>
      <c r="C47" s="1048"/>
      <c r="D47" s="1049">
        <f>SUM(D35:D45)</f>
        <v>0</v>
      </c>
    </row>
    <row r="49" spans="2:4" x14ac:dyDescent="0.2">
      <c r="B49" s="1048" t="s">
        <v>1215</v>
      </c>
      <c r="C49" s="1048"/>
      <c r="D49" s="1049">
        <f>D32-D47</f>
        <v>536982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1" right="0.75" top="0.75" bottom="0.75" header="0.5" footer="0.5"/>
  <pageSetup scale="95" firstPageNumber="37" orientation="portrait" useFirstPageNumber="1" r:id="rId1"/>
  <headerFooter alignWithMargins="0">
    <oddHeader>&amp;R&amp;8Page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5" t="s">
        <v>1158</v>
      </c>
      <c r="B2" s="2185"/>
      <c r="C2" s="2185"/>
      <c r="D2" s="2185"/>
      <c r="E2" s="2185"/>
      <c r="F2" s="2185"/>
      <c r="G2" s="2185"/>
      <c r="H2" s="2185"/>
      <c r="I2" s="2185"/>
      <c r="J2" s="218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9" t="s">
        <v>1616</v>
      </c>
      <c r="B35" s="2200"/>
      <c r="C35" s="2200"/>
      <c r="D35" s="2200"/>
      <c r="E35" s="2201"/>
      <c r="F35" s="2201"/>
      <c r="G35" s="2201"/>
      <c r="H35" s="2201"/>
      <c r="I35" s="220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9" t="s">
        <v>310</v>
      </c>
      <c r="B47" s="2202"/>
      <c r="C47" s="2202"/>
      <c r="D47" s="2202"/>
      <c r="E47" s="2203"/>
      <c r="F47" s="2203"/>
      <c r="G47" s="2203"/>
      <c r="H47" s="2203"/>
      <c r="I47" s="220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2061</v>
      </c>
      <c r="C53" s="174">
        <v>22</v>
      </c>
      <c r="D53" s="242" t="s">
        <v>1445</v>
      </c>
      <c r="E53" s="243"/>
      <c r="F53" s="244"/>
      <c r="G53" s="244" t="s">
        <v>1444</v>
      </c>
      <c r="H53" s="245">
        <v>35431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6"/>
      <c r="C57" s="2207"/>
      <c r="D57" s="2207"/>
      <c r="E57" s="2207"/>
      <c r="F57" s="2207"/>
      <c r="G57" s="2207"/>
      <c r="H57" s="2207"/>
      <c r="I57" s="2207"/>
      <c r="J57" s="2208"/>
    </row>
    <row r="58" spans="1:10" s="176" customFormat="1" x14ac:dyDescent="0.2">
      <c r="A58" s="248"/>
      <c r="B58" s="2209"/>
      <c r="C58" s="2210"/>
      <c r="D58" s="2210"/>
      <c r="E58" s="2210"/>
      <c r="F58" s="2210"/>
      <c r="G58" s="2210"/>
      <c r="H58" s="2210"/>
      <c r="I58" s="2210"/>
      <c r="J58" s="2211"/>
    </row>
    <row r="59" spans="1:10" s="176" customFormat="1" x14ac:dyDescent="0.2">
      <c r="A59" s="248"/>
      <c r="B59" s="2209"/>
      <c r="C59" s="2210"/>
      <c r="D59" s="2210"/>
      <c r="E59" s="2210"/>
      <c r="F59" s="2210"/>
      <c r="G59" s="2210"/>
      <c r="H59" s="2210"/>
      <c r="I59" s="2210"/>
      <c r="J59" s="2211"/>
    </row>
    <row r="60" spans="1:10" s="176" customFormat="1" x14ac:dyDescent="0.2">
      <c r="A60" s="248"/>
      <c r="B60" s="2209"/>
      <c r="C60" s="2210"/>
      <c r="D60" s="2210"/>
      <c r="E60" s="2210"/>
      <c r="F60" s="2210"/>
      <c r="G60" s="2210"/>
      <c r="H60" s="2210"/>
      <c r="I60" s="2210"/>
      <c r="J60" s="2211"/>
    </row>
    <row r="61" spans="1:10" s="176" customFormat="1" x14ac:dyDescent="0.2">
      <c r="A61" s="248"/>
      <c r="B61" s="2209"/>
      <c r="C61" s="2210"/>
      <c r="D61" s="2210"/>
      <c r="E61" s="2210"/>
      <c r="F61" s="2210"/>
      <c r="G61" s="2210"/>
      <c r="H61" s="2210"/>
      <c r="I61" s="2210"/>
      <c r="J61" s="2211"/>
    </row>
    <row r="62" spans="1:10" s="176" customFormat="1" x14ac:dyDescent="0.2">
      <c r="A62" s="248"/>
      <c r="B62" s="2209"/>
      <c r="C62" s="2210"/>
      <c r="D62" s="2210"/>
      <c r="E62" s="2210"/>
      <c r="F62" s="2210"/>
      <c r="G62" s="2210"/>
      <c r="H62" s="2210"/>
      <c r="I62" s="2210"/>
      <c r="J62" s="2211"/>
    </row>
    <row r="63" spans="1:10" s="176" customFormat="1" x14ac:dyDescent="0.2">
      <c r="A63" s="248"/>
      <c r="B63" s="2209"/>
      <c r="C63" s="2210"/>
      <c r="D63" s="2210"/>
      <c r="E63" s="2210"/>
      <c r="F63" s="2210"/>
      <c r="G63" s="2210"/>
      <c r="H63" s="2210"/>
      <c r="I63" s="2210"/>
      <c r="J63" s="2211"/>
    </row>
    <row r="64" spans="1:10" s="176" customFormat="1" x14ac:dyDescent="0.2">
      <c r="A64" s="248"/>
      <c r="B64" s="2209"/>
      <c r="C64" s="2210"/>
      <c r="D64" s="2210"/>
      <c r="E64" s="2210"/>
      <c r="F64" s="2210"/>
      <c r="G64" s="2210"/>
      <c r="H64" s="2210"/>
      <c r="I64" s="2210"/>
      <c r="J64" s="2211"/>
    </row>
    <row r="65" spans="1:11" s="176" customFormat="1" x14ac:dyDescent="0.2">
      <c r="A65" s="248"/>
      <c r="B65" s="2209"/>
      <c r="C65" s="2210"/>
      <c r="D65" s="2210"/>
      <c r="E65" s="2210"/>
      <c r="F65" s="2210"/>
      <c r="G65" s="2210"/>
      <c r="H65" s="2210"/>
      <c r="I65" s="2210"/>
      <c r="J65" s="2211"/>
    </row>
    <row r="66" spans="1:11" s="176" customFormat="1" x14ac:dyDescent="0.2">
      <c r="A66" s="248"/>
      <c r="B66" s="2209"/>
      <c r="C66" s="2210"/>
      <c r="D66" s="2210"/>
      <c r="E66" s="2210"/>
      <c r="F66" s="2210"/>
      <c r="G66" s="2210"/>
      <c r="H66" s="2210"/>
      <c r="I66" s="2210"/>
      <c r="J66" s="2211"/>
    </row>
    <row r="67" spans="1:11" s="176" customFormat="1" ht="9" customHeight="1" x14ac:dyDescent="0.2">
      <c r="A67" s="249"/>
      <c r="B67" s="2212"/>
      <c r="C67" s="2213"/>
      <c r="D67" s="2213"/>
      <c r="E67" s="2213"/>
      <c r="F67" s="2213"/>
      <c r="G67" s="2213"/>
      <c r="H67" s="2213"/>
      <c r="I67" s="2213"/>
      <c r="J67" s="221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9" t="s">
        <v>1312</v>
      </c>
      <c r="B70" s="2202"/>
      <c r="C70" s="2202"/>
      <c r="D70" s="2202"/>
      <c r="E70" s="2203"/>
      <c r="F70" s="2203"/>
      <c r="G70" s="2203"/>
      <c r="H70" s="2203"/>
      <c r="I70" s="220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4" t="s">
        <v>1309</v>
      </c>
      <c r="B83" s="2204"/>
      <c r="C83" s="2204"/>
      <c r="D83" s="220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15" t="s">
        <v>1989</v>
      </c>
      <c r="B85" s="2215"/>
      <c r="C85" s="2215"/>
      <c r="D85" s="2216"/>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17" t="s">
        <v>1989</v>
      </c>
      <c r="B88" s="2218"/>
      <c r="C88" s="2218"/>
      <c r="D88" s="2219"/>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86"/>
      <c r="C102" s="2187"/>
      <c r="D102" s="2187"/>
      <c r="E102" s="2187"/>
      <c r="F102" s="2187"/>
      <c r="G102" s="2187"/>
      <c r="H102" s="2187"/>
      <c r="I102" s="2188"/>
    </row>
    <row r="103" spans="1:9" s="176" customFormat="1" ht="11.25" customHeight="1" x14ac:dyDescent="0.2">
      <c r="A103" s="294"/>
      <c r="B103" s="2189"/>
      <c r="C103" s="2190"/>
      <c r="D103" s="2190"/>
      <c r="E103" s="2190"/>
      <c r="F103" s="2190"/>
      <c r="G103" s="2190"/>
      <c r="H103" s="2190"/>
      <c r="I103" s="2191"/>
    </row>
    <row r="104" spans="1:9" s="176" customFormat="1" ht="11.25" customHeight="1" x14ac:dyDescent="0.2">
      <c r="A104" s="294"/>
      <c r="B104" s="2189"/>
      <c r="C104" s="2190"/>
      <c r="D104" s="2190"/>
      <c r="E104" s="2190"/>
      <c r="F104" s="2190"/>
      <c r="G104" s="2190"/>
      <c r="H104" s="2190"/>
      <c r="I104" s="2191"/>
    </row>
    <row r="105" spans="1:9" s="176" customFormat="1" x14ac:dyDescent="0.2">
      <c r="A105" s="294"/>
      <c r="B105" s="2189"/>
      <c r="C105" s="2190"/>
      <c r="D105" s="2190"/>
      <c r="E105" s="2190"/>
      <c r="F105" s="2190"/>
      <c r="G105" s="2190"/>
      <c r="H105" s="2190"/>
      <c r="I105" s="2191"/>
    </row>
    <row r="106" spans="1:9" s="176" customFormat="1" ht="11.25" customHeight="1" x14ac:dyDescent="0.2">
      <c r="A106" s="294"/>
      <c r="B106" s="2189"/>
      <c r="C106" s="2190"/>
      <c r="D106" s="2190"/>
      <c r="E106" s="2190"/>
      <c r="F106" s="2190"/>
      <c r="G106" s="2190"/>
      <c r="H106" s="2190"/>
      <c r="I106" s="2191"/>
    </row>
    <row r="107" spans="1:9" s="176" customFormat="1" ht="11.25" customHeight="1" x14ac:dyDescent="0.2">
      <c r="A107" s="294"/>
      <c r="B107" s="2189"/>
      <c r="C107" s="2190"/>
      <c r="D107" s="2190"/>
      <c r="E107" s="2190"/>
      <c r="F107" s="2190"/>
      <c r="G107" s="2190"/>
      <c r="H107" s="2190"/>
      <c r="I107" s="2191"/>
    </row>
    <row r="108" spans="1:9" s="176" customFormat="1" ht="11.25" customHeight="1" x14ac:dyDescent="0.2">
      <c r="A108" s="294"/>
      <c r="B108" s="2189"/>
      <c r="C108" s="2190"/>
      <c r="D108" s="2190"/>
      <c r="E108" s="2190"/>
      <c r="F108" s="2190"/>
      <c r="G108" s="2190"/>
      <c r="H108" s="2190"/>
      <c r="I108" s="2191"/>
    </row>
    <row r="109" spans="1:9" s="176" customFormat="1" ht="11.25" customHeight="1" x14ac:dyDescent="0.2">
      <c r="A109" s="294"/>
      <c r="B109" s="2189"/>
      <c r="C109" s="2190"/>
      <c r="D109" s="2190"/>
      <c r="E109" s="2190"/>
      <c r="F109" s="2190"/>
      <c r="G109" s="2190"/>
      <c r="H109" s="2190"/>
      <c r="I109" s="2191"/>
    </row>
    <row r="110" spans="1:9" s="176" customFormat="1" ht="11.25" customHeight="1" x14ac:dyDescent="0.2">
      <c r="A110" s="294"/>
      <c r="B110" s="2189"/>
      <c r="C110" s="2190"/>
      <c r="D110" s="2190"/>
      <c r="E110" s="2190"/>
      <c r="F110" s="2190"/>
      <c r="G110" s="2190"/>
      <c r="H110" s="2190"/>
      <c r="I110" s="2191"/>
    </row>
    <row r="111" spans="1:9" s="176" customFormat="1" ht="11.25" customHeight="1" x14ac:dyDescent="0.2">
      <c r="A111" s="294"/>
      <c r="B111" s="2189"/>
      <c r="C111" s="2190"/>
      <c r="D111" s="2190"/>
      <c r="E111" s="2190"/>
      <c r="F111" s="2190"/>
      <c r="G111" s="2190"/>
      <c r="H111" s="2190"/>
      <c r="I111" s="2191"/>
    </row>
    <row r="112" spans="1:9" s="176" customFormat="1" ht="11.25" customHeight="1" x14ac:dyDescent="0.2">
      <c r="A112" s="294"/>
      <c r="B112" s="2192"/>
      <c r="C112" s="2193"/>
      <c r="D112" s="2193"/>
      <c r="E112" s="2193"/>
      <c r="F112" s="2193"/>
      <c r="G112" s="2193"/>
      <c r="H112" s="2193"/>
      <c r="I112" s="219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5" t="s">
        <v>2051</v>
      </c>
      <c r="D114" s="219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6" t="s">
        <v>1319</v>
      </c>
      <c r="D117" s="2197"/>
      <c r="E117" s="2198"/>
      <c r="F117" s="2198"/>
      <c r="G117" s="2198"/>
      <c r="H117" s="219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rintOptions horizontalCentered="1"/>
  <pageMargins left="1" right="0.75" top="0.75" bottom="0.5" header="0.5" footer="0.25"/>
  <pageSetup scale="70" firstPageNumber="2" orientation="portrait" useFirstPageNumber="1" r:id="rId1"/>
  <headerFooter differentOddEven="1" alignWithMargins="0">
    <oddHeader>&amp;L&amp;8Page &amp;P&amp;C &amp;R&amp;8Page &amp;P</oddHeader>
    <oddFooter>&amp;L&amp;8Printed: &amp;D  &amp;F&amp;CReference should be made to auditor's report regarding this information.
51</oddFooter>
    <evenFooter>&amp;CReference should be made to auditor's report regarding this information.
52</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0" zoomScaleNormal="100" workbookViewId="0">
      <selection activeCell="A19" sqref="A19:XFD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5" t="str">
        <f>'Single Audit Cover'!A7</f>
        <v xml:space="preserve">  Tri City CUSD 1</v>
      </c>
      <c r="C1" s="2600"/>
      <c r="D1" s="2600"/>
      <c r="E1" s="2600"/>
      <c r="F1" s="2600"/>
      <c r="G1" s="2600"/>
      <c r="H1" s="2600"/>
      <c r="I1" s="2600"/>
      <c r="J1" s="2600"/>
      <c r="K1" s="2600"/>
      <c r="L1" s="2600"/>
      <c r="M1" s="2600"/>
    </row>
    <row r="2" spans="2:14" ht="15" x14ac:dyDescent="0.2">
      <c r="B2" s="2601">
        <f>'Single Audit Cover'!E7</f>
        <v>51084001026</v>
      </c>
      <c r="C2" s="2601"/>
      <c r="D2" s="2601"/>
      <c r="E2" s="2601"/>
      <c r="F2" s="2601"/>
      <c r="G2" s="2601"/>
      <c r="H2" s="2601"/>
      <c r="I2" s="2601"/>
      <c r="J2" s="2601"/>
      <c r="K2" s="2601"/>
      <c r="L2" s="2601"/>
      <c r="M2" s="2601"/>
      <c r="N2" s="1078"/>
    </row>
    <row r="3" spans="2:14" ht="15" x14ac:dyDescent="0.2">
      <c r="B3" s="2602" t="s">
        <v>1208</v>
      </c>
      <c r="C3" s="2602"/>
      <c r="D3" s="2602"/>
      <c r="E3" s="2602"/>
      <c r="F3" s="2602"/>
      <c r="G3" s="2602"/>
      <c r="H3" s="2602"/>
      <c r="I3" s="2602"/>
      <c r="J3" s="2602"/>
      <c r="K3" s="2602"/>
      <c r="L3" s="2602"/>
      <c r="M3" s="2602"/>
      <c r="N3" s="1078"/>
    </row>
    <row r="4" spans="2:14" ht="15" x14ac:dyDescent="0.2">
      <c r="B4" s="2603" t="str">
        <f>'Single Audit Cover'!A4</f>
        <v>Year Ending June 30, 2020</v>
      </c>
      <c r="C4" s="2603"/>
      <c r="D4" s="2603"/>
      <c r="E4" s="2603"/>
      <c r="F4" s="2603"/>
      <c r="G4" s="2603"/>
      <c r="H4" s="2603"/>
      <c r="I4" s="2603"/>
      <c r="J4" s="2603"/>
      <c r="K4" s="2603"/>
      <c r="L4" s="2603"/>
      <c r="M4" s="2603"/>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5" right="0.5" top="1" bottom="0.75" header="1" footer="0.5"/>
  <pageSetup scale="73" firstPageNumber="38" orientation="landscape" useFirstPageNumber="1" r:id="rId1"/>
  <headerFooter alignWithMargins="0">
    <oddHeader>&amp;R&amp;8Page 41</oddHeader>
    <oddFooter>&amp;CReference should be made to the auditor's report regarding this information.
The accompanying notes to the Schedule of Expenditures of Federal Awards are an integral part of these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5" t="str">
        <f>'Single Audit Cover'!A7</f>
        <v xml:space="preserve">  Tri City CUSD 1</v>
      </c>
      <c r="B1" s="2605"/>
      <c r="C1" s="2605"/>
      <c r="D1" s="2605"/>
      <c r="E1" s="2605"/>
      <c r="F1" s="2605"/>
    </row>
    <row r="2" spans="1:7" ht="13.5" customHeight="1" x14ac:dyDescent="0.2">
      <c r="A2" s="2601">
        <f>'Single Audit Cover'!E7</f>
        <v>51084001026</v>
      </c>
      <c r="B2" s="2601"/>
      <c r="C2" s="2601"/>
      <c r="D2" s="2601"/>
      <c r="E2" s="2601"/>
      <c r="F2" s="2601"/>
      <c r="G2" s="1051"/>
    </row>
    <row r="3" spans="1:7" ht="15.75" customHeight="1" x14ac:dyDescent="0.2">
      <c r="A3" s="2606" t="s">
        <v>1260</v>
      </c>
      <c r="B3" s="2606"/>
      <c r="C3" s="2606"/>
      <c r="D3" s="2606"/>
      <c r="E3" s="2606"/>
      <c r="F3" s="2606"/>
    </row>
    <row r="4" spans="1:7" ht="13.5" customHeight="1" x14ac:dyDescent="0.2">
      <c r="A4" s="2607" t="str">
        <f>'Single Audit Cover'!A4</f>
        <v>Year Ending June 30, 2020</v>
      </c>
      <c r="B4" s="2607"/>
      <c r="C4" s="2607"/>
      <c r="D4" s="2607"/>
      <c r="E4" s="2607"/>
      <c r="F4" s="2607"/>
    </row>
    <row r="5" spans="1:7" ht="8.25" customHeight="1" x14ac:dyDescent="0.2">
      <c r="C5" s="295"/>
      <c r="D5" s="295"/>
    </row>
    <row r="6" spans="1:7" ht="13.5" customHeight="1" x14ac:dyDescent="0.2">
      <c r="A6" s="1052" t="s">
        <v>1705</v>
      </c>
      <c r="C6" s="295"/>
      <c r="D6" s="295"/>
    </row>
    <row r="7" spans="1:7" ht="60.95" customHeight="1" x14ac:dyDescent="0.2">
      <c r="A7" s="2604" t="s">
        <v>1706</v>
      </c>
      <c r="B7" s="2604"/>
      <c r="C7" s="2604"/>
      <c r="D7" s="2604"/>
      <c r="E7" s="2604"/>
      <c r="F7" s="260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04" t="s">
        <v>1708</v>
      </c>
      <c r="B13" s="2604"/>
      <c r="C13" s="2604"/>
      <c r="D13" s="2604"/>
      <c r="E13" s="2604"/>
      <c r="F13" s="2604"/>
    </row>
    <row r="14" spans="1:7" ht="9.75" customHeight="1" x14ac:dyDescent="0.2">
      <c r="C14" s="1036"/>
      <c r="D14" s="1036"/>
    </row>
    <row r="15" spans="1:7" ht="13.5" customHeight="1" x14ac:dyDescent="0.2">
      <c r="C15" s="1476" t="s">
        <v>1259</v>
      </c>
      <c r="D15" s="2609" t="s">
        <v>1258</v>
      </c>
      <c r="E15" s="2609"/>
      <c r="F15" s="2609"/>
    </row>
    <row r="16" spans="1:7" ht="13.5" customHeight="1" x14ac:dyDescent="0.2">
      <c r="A16" s="1058"/>
      <c r="B16" s="1052" t="s">
        <v>1257</v>
      </c>
      <c r="C16" s="1476" t="s">
        <v>1256</v>
      </c>
      <c r="D16" s="2610" t="s">
        <v>1571</v>
      </c>
      <c r="E16" s="2610"/>
      <c r="F16" s="2610"/>
    </row>
    <row r="17" spans="1:6" ht="20.45" customHeight="1" x14ac:dyDescent="0.2">
      <c r="A17" s="1059"/>
      <c r="B17" s="1060"/>
      <c r="C17" s="1061"/>
      <c r="D17" s="2608"/>
      <c r="E17" s="2608"/>
      <c r="F17" s="2608"/>
    </row>
    <row r="18" spans="1:6" ht="20.65" customHeight="1" x14ac:dyDescent="0.2">
      <c r="A18" s="1059"/>
      <c r="B18" s="1060"/>
      <c r="C18" s="1061"/>
      <c r="D18" s="2608"/>
      <c r="E18" s="2608"/>
      <c r="F18" s="2608"/>
    </row>
    <row r="19" spans="1:6" ht="20.65" customHeight="1" x14ac:dyDescent="0.2">
      <c r="A19" s="1059"/>
      <c r="B19" s="1060"/>
      <c r="C19" s="1061"/>
      <c r="D19" s="2608"/>
      <c r="E19" s="2608"/>
      <c r="F19" s="2608"/>
    </row>
    <row r="20" spans="1:6" ht="20.65" customHeight="1" x14ac:dyDescent="0.2">
      <c r="A20" s="1059"/>
      <c r="B20" s="1060"/>
      <c r="C20" s="1061"/>
      <c r="D20" s="2608"/>
      <c r="E20" s="2608"/>
      <c r="F20" s="2608"/>
    </row>
    <row r="21" spans="1:6" ht="20.65" customHeight="1" x14ac:dyDescent="0.2">
      <c r="A21" s="1059"/>
      <c r="B21" s="1060"/>
      <c r="C21" s="1061"/>
      <c r="D21" s="2608"/>
      <c r="E21" s="2608"/>
      <c r="F21" s="2608"/>
    </row>
    <row r="22" spans="1:6" ht="20.65" customHeight="1" x14ac:dyDescent="0.2">
      <c r="A22" s="1059"/>
      <c r="B22" s="1060"/>
      <c r="C22" s="1061"/>
      <c r="D22" s="2608"/>
      <c r="E22" s="2608"/>
      <c r="F22" s="2608"/>
    </row>
    <row r="23" spans="1:6" ht="20.65" customHeight="1" x14ac:dyDescent="0.2">
      <c r="A23" s="1059"/>
      <c r="B23" s="1060"/>
      <c r="C23" s="1061"/>
      <c r="D23" s="2608"/>
      <c r="E23" s="2608"/>
      <c r="F23" s="2608"/>
    </row>
    <row r="24" spans="1:6" ht="20.65" customHeight="1" x14ac:dyDescent="0.2">
      <c r="A24" s="1059"/>
      <c r="B24" s="1060"/>
      <c r="C24" s="1061"/>
      <c r="D24" s="2608"/>
      <c r="E24" s="2608"/>
      <c r="F24" s="2608"/>
    </row>
    <row r="25" spans="1:6" ht="20.65" customHeight="1" x14ac:dyDescent="0.2">
      <c r="A25" s="1059"/>
      <c r="B25" s="1060"/>
      <c r="C25" s="1061"/>
      <c r="D25" s="2608"/>
      <c r="E25" s="2608"/>
      <c r="F25" s="2608"/>
    </row>
    <row r="26" spans="1:6" ht="20.65" customHeight="1" x14ac:dyDescent="0.2">
      <c r="A26" s="1059"/>
      <c r="B26" s="1060"/>
      <c r="C26" s="1061"/>
      <c r="D26" s="2608"/>
      <c r="E26" s="2608"/>
      <c r="F26" s="2608"/>
    </row>
    <row r="27" spans="1:6" ht="20.65" customHeight="1" x14ac:dyDescent="0.2">
      <c r="A27" s="1059"/>
      <c r="B27" s="1060"/>
      <c r="C27" s="1061"/>
      <c r="D27" s="2608"/>
      <c r="E27" s="2608"/>
      <c r="F27" s="2608"/>
    </row>
    <row r="28" spans="1:6" ht="20.65" customHeight="1" x14ac:dyDescent="0.2">
      <c r="A28" s="1059"/>
      <c r="B28" s="1060"/>
      <c r="C28" s="1061"/>
      <c r="D28" s="2608"/>
      <c r="E28" s="2608"/>
      <c r="F28" s="2608"/>
    </row>
    <row r="29" spans="1:6" ht="20.65" customHeight="1" x14ac:dyDescent="0.2">
      <c r="A29" s="1059"/>
      <c r="B29" s="1060"/>
      <c r="C29" s="1061"/>
      <c r="D29" s="2608"/>
      <c r="E29" s="2608"/>
      <c r="F29" s="2608"/>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12" t="s">
        <v>1709</v>
      </c>
      <c r="B32" s="2612"/>
      <c r="C32" s="2612"/>
      <c r="D32" s="2612"/>
      <c r="E32" s="2612"/>
      <c r="F32" s="261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13">
        <f>+C33+C34</f>
        <v>0</v>
      </c>
      <c r="F34" s="261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5" t="s">
        <v>1573</v>
      </c>
      <c r="C49" s="2615"/>
      <c r="D49" s="2615"/>
      <c r="E49" s="1168"/>
    </row>
    <row r="50" spans="1:5" s="1076" customFormat="1" ht="3.75" customHeight="1" x14ac:dyDescent="0.2">
      <c r="A50" s="1075"/>
      <c r="B50" s="1475"/>
      <c r="C50" s="1475"/>
      <c r="D50" s="1475"/>
      <c r="E50" s="1168"/>
    </row>
    <row r="51" spans="1:5" s="1076" customFormat="1" ht="20.25" customHeight="1" x14ac:dyDescent="0.2">
      <c r="A51" s="1077">
        <v>6</v>
      </c>
      <c r="B51" s="2611" t="s">
        <v>1534</v>
      </c>
      <c r="C51" s="2611"/>
      <c r="D51" s="2611"/>
    </row>
    <row r="52" spans="1:5" ht="14.25" customHeight="1" x14ac:dyDescent="0.2">
      <c r="A52" s="1077"/>
      <c r="B52" s="2611"/>
      <c r="C52" s="2611"/>
      <c r="D52" s="261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1" right="0.75" top="0.75" bottom="0.75" header="0.5" footer="0.5"/>
  <pageSetup scale="85"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0" t="str">
        <f>'Single Audit Cover'!A7</f>
        <v xml:space="preserve">  Tri City CUSD 1</v>
      </c>
      <c r="C1" s="2621"/>
      <c r="D1" s="2621"/>
      <c r="E1" s="2621"/>
      <c r="F1" s="2621"/>
      <c r="G1" s="2621"/>
      <c r="H1" s="2621"/>
      <c r="I1" s="2621"/>
      <c r="J1" s="1178"/>
    </row>
    <row r="2" spans="2:10" s="295" customFormat="1" ht="12.75" customHeight="1" x14ac:dyDescent="0.2">
      <c r="B2" s="2622">
        <f>'Single Audit Cover'!E7</f>
        <v>51084001026</v>
      </c>
      <c r="C2" s="2623"/>
      <c r="D2" s="2623"/>
      <c r="E2" s="2623"/>
      <c r="F2" s="2623"/>
      <c r="G2" s="2623"/>
      <c r="H2" s="2623"/>
      <c r="I2" s="2623"/>
      <c r="J2" s="1178"/>
    </row>
    <row r="3" spans="2:10" s="295" customFormat="1" ht="12.75" customHeight="1" x14ac:dyDescent="0.2">
      <c r="B3" s="2624" t="s">
        <v>1274</v>
      </c>
      <c r="C3" s="2625"/>
      <c r="D3" s="2625"/>
      <c r="E3" s="2625"/>
      <c r="F3" s="2625"/>
      <c r="G3" s="2625"/>
      <c r="H3" s="2625"/>
      <c r="I3" s="2625"/>
      <c r="J3" s="1179"/>
    </row>
    <row r="4" spans="2:10" s="295" customFormat="1" ht="12.75" customHeight="1" x14ac:dyDescent="0.2">
      <c r="B4" s="2624" t="str">
        <f>'Single Audit Cover'!A4</f>
        <v>Year Ending June 30, 2020</v>
      </c>
      <c r="C4" s="2625"/>
      <c r="D4" s="2625"/>
      <c r="E4" s="2625"/>
      <c r="F4" s="2625"/>
      <c r="G4" s="2625"/>
      <c r="H4" s="2625"/>
      <c r="I4" s="2625"/>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24" t="s">
        <v>1273</v>
      </c>
      <c r="C7" s="2625"/>
      <c r="D7" s="2625"/>
      <c r="E7" s="2625"/>
      <c r="F7" s="2625"/>
      <c r="G7" s="2625"/>
      <c r="H7" s="2625"/>
      <c r="I7" s="2625"/>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26"/>
      <c r="D11" s="2626"/>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27"/>
      <c r="E29" s="2627"/>
      <c r="F29" s="2627"/>
      <c r="G29" s="2627"/>
      <c r="H29" s="2627"/>
      <c r="I29" s="2627"/>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28" t="s">
        <v>1728</v>
      </c>
      <c r="D37" s="2629"/>
      <c r="E37" s="2629"/>
      <c r="F37" s="2630"/>
      <c r="G37" s="2628" t="s">
        <v>1575</v>
      </c>
      <c r="H37" s="2629"/>
      <c r="I37" s="2630"/>
    </row>
    <row r="38" spans="2:9" ht="16.5" customHeight="1" x14ac:dyDescent="0.2">
      <c r="B38" s="1200"/>
      <c r="C38" s="2616"/>
      <c r="D38" s="2617"/>
      <c r="E38" s="2617"/>
      <c r="F38" s="2618"/>
      <c r="G38" s="2631"/>
      <c r="H38" s="2632"/>
      <c r="I38" s="2633"/>
    </row>
    <row r="39" spans="2:9" ht="16.5" customHeight="1" x14ac:dyDescent="0.2">
      <c r="B39" s="1200"/>
      <c r="C39" s="2616"/>
      <c r="D39" s="2617"/>
      <c r="E39" s="2617"/>
      <c r="F39" s="2618"/>
      <c r="G39" s="2619"/>
      <c r="H39" s="2619"/>
      <c r="I39" s="2619"/>
    </row>
    <row r="40" spans="2:9" ht="16.5" customHeight="1" x14ac:dyDescent="0.2">
      <c r="B40" s="1200"/>
      <c r="C40" s="2616"/>
      <c r="D40" s="2617"/>
      <c r="E40" s="2617"/>
      <c r="F40" s="2618"/>
      <c r="G40" s="2619"/>
      <c r="H40" s="2619"/>
      <c r="I40" s="2619"/>
    </row>
    <row r="41" spans="2:9" ht="16.5" customHeight="1" x14ac:dyDescent="0.2">
      <c r="B41" s="1200"/>
      <c r="C41" s="2616"/>
      <c r="D41" s="2617"/>
      <c r="E41" s="2617"/>
      <c r="F41" s="2618"/>
      <c r="G41" s="2619"/>
      <c r="H41" s="2619"/>
      <c r="I41" s="2619"/>
    </row>
    <row r="42" spans="2:9" ht="16.5" customHeight="1" x14ac:dyDescent="0.2">
      <c r="B42" s="1200"/>
      <c r="C42" s="2616"/>
      <c r="D42" s="2617"/>
      <c r="E42" s="2617"/>
      <c r="F42" s="2618"/>
      <c r="G42" s="2619"/>
      <c r="H42" s="2619"/>
      <c r="I42" s="2619"/>
    </row>
    <row r="43" spans="2:9" ht="16.5" customHeight="1" x14ac:dyDescent="0.2">
      <c r="B43" s="1200"/>
      <c r="C43" s="2634" t="s">
        <v>1576</v>
      </c>
      <c r="D43" s="2635"/>
      <c r="E43" s="2635"/>
      <c r="F43" s="2636"/>
      <c r="G43" s="2637">
        <f>SUM(G38:I42)</f>
        <v>0</v>
      </c>
      <c r="H43" s="2637"/>
      <c r="I43" s="2637"/>
    </row>
    <row r="44" spans="2:9" ht="12.75" customHeight="1" x14ac:dyDescent="0.2"/>
    <row r="45" spans="2:9" ht="12.75" customHeight="1" x14ac:dyDescent="0.2">
      <c r="B45" s="1917" t="str">
        <f>"Total Federal Expenditures for 7/1/"&amp;MID('AFR20'!E2,3,2)-1&amp;"-6/30/"&amp;MID('AFR20'!E2,3,2)</f>
        <v>Total Federal Expenditures for 7/1/19-6/30/20</v>
      </c>
      <c r="C45" s="1918"/>
      <c r="D45" s="2638">
        <v>0</v>
      </c>
      <c r="E45" s="263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40"/>
      <c r="F49" s="2640"/>
      <c r="G49" s="264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0.75" top="0.75" bottom="0.75" header="0.5" footer="0.5"/>
  <pageSetup scale="85"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0" t="str">
        <f>'Single Audit Cover'!A7</f>
        <v xml:space="preserve">  Tri City CUSD 1</v>
      </c>
      <c r="C1" s="2620"/>
      <c r="D1" s="2620"/>
      <c r="E1" s="2620"/>
      <c r="F1" s="2620"/>
      <c r="G1" s="2620"/>
      <c r="H1" s="2620"/>
      <c r="I1" s="2620"/>
      <c r="J1" s="2620"/>
      <c r="K1" s="2620"/>
      <c r="L1" s="1144"/>
      <c r="M1" s="1144"/>
    </row>
    <row r="2" spans="1:13" ht="12" customHeight="1" x14ac:dyDescent="0.2">
      <c r="B2" s="2622">
        <f>'Single Audit Cover'!E7</f>
        <v>51084001026</v>
      </c>
      <c r="C2" s="2622"/>
      <c r="D2" s="2622"/>
      <c r="E2" s="2622"/>
      <c r="F2" s="2622"/>
      <c r="G2" s="2622"/>
      <c r="H2" s="2622"/>
      <c r="I2" s="2622"/>
      <c r="J2" s="2622"/>
      <c r="K2" s="2622"/>
      <c r="L2" s="1145"/>
      <c r="M2" s="1146"/>
    </row>
    <row r="3" spans="1:13" ht="10.35" customHeight="1" x14ac:dyDescent="0.2">
      <c r="B3" s="2643" t="s">
        <v>1274</v>
      </c>
      <c r="C3" s="2643"/>
      <c r="D3" s="2643"/>
      <c r="E3" s="2643"/>
      <c r="F3" s="2643"/>
      <c r="G3" s="2643"/>
      <c r="H3" s="2643"/>
      <c r="I3" s="2643"/>
      <c r="J3" s="2643"/>
      <c r="K3" s="2643"/>
      <c r="L3" s="1147"/>
      <c r="M3" s="1147"/>
    </row>
    <row r="4" spans="1:13" ht="14.25" customHeight="1" x14ac:dyDescent="0.2">
      <c r="B4" s="2644" t="str">
        <f>'Single Audit Cover'!A4</f>
        <v>Year Ending June 30, 2020</v>
      </c>
      <c r="C4" s="2644"/>
      <c r="D4" s="2644"/>
      <c r="E4" s="2644"/>
      <c r="F4" s="2644"/>
      <c r="G4" s="2644"/>
      <c r="H4" s="2644"/>
      <c r="I4" s="2644"/>
      <c r="J4" s="2644"/>
      <c r="K4" s="264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44" t="s">
        <v>1285</v>
      </c>
      <c r="C7" s="2644"/>
      <c r="D7" s="2645"/>
      <c r="E7" s="2645"/>
      <c r="F7" s="2645"/>
      <c r="G7" s="2645"/>
      <c r="H7" s="2645"/>
      <c r="I7" s="2645"/>
      <c r="J7" s="2645"/>
      <c r="K7" s="264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42"/>
      <c r="C14" s="2642"/>
      <c r="D14" s="2642"/>
      <c r="E14" s="2642"/>
      <c r="F14" s="2642"/>
      <c r="G14" s="2642"/>
      <c r="H14" s="2642"/>
      <c r="I14" s="2642"/>
      <c r="J14" s="2642"/>
      <c r="K14" s="264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42"/>
      <c r="C17" s="2642"/>
      <c r="D17" s="2642"/>
      <c r="E17" s="2642"/>
      <c r="F17" s="2642"/>
      <c r="G17" s="2642"/>
      <c r="H17" s="2642"/>
      <c r="I17" s="2642"/>
      <c r="J17" s="2642"/>
      <c r="K17" s="264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46"/>
      <c r="C20" s="2646"/>
      <c r="D20" s="2642"/>
      <c r="E20" s="2642"/>
      <c r="F20" s="2642"/>
      <c r="G20" s="2642"/>
      <c r="H20" s="2642"/>
      <c r="I20" s="2642"/>
      <c r="J20" s="2642"/>
      <c r="K20" s="264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42"/>
      <c r="C23" s="2642"/>
      <c r="D23" s="2642"/>
      <c r="E23" s="2642"/>
      <c r="F23" s="2642"/>
      <c r="G23" s="2642"/>
      <c r="H23" s="2642"/>
      <c r="I23" s="2642"/>
      <c r="J23" s="2642"/>
      <c r="K23" s="264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42"/>
      <c r="C26" s="2642"/>
      <c r="D26" s="2642"/>
      <c r="E26" s="2642"/>
      <c r="F26" s="2642"/>
      <c r="G26" s="2642"/>
      <c r="H26" s="2642"/>
      <c r="I26" s="2642"/>
      <c r="J26" s="2642"/>
      <c r="K26" s="264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41"/>
      <c r="C29" s="2641"/>
      <c r="D29" s="2642"/>
      <c r="E29" s="2642"/>
      <c r="F29" s="2642"/>
      <c r="G29" s="2642"/>
      <c r="H29" s="2642"/>
      <c r="I29" s="2642"/>
      <c r="J29" s="2642"/>
      <c r="K29" s="264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41"/>
      <c r="C32" s="2641"/>
      <c r="D32" s="2642"/>
      <c r="E32" s="2642"/>
      <c r="F32" s="2642"/>
      <c r="G32" s="2642"/>
      <c r="H32" s="2642"/>
      <c r="I32" s="2642"/>
      <c r="J32" s="2642"/>
      <c r="K32" s="264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0.75" top="0.75" bottom="0.75" header="0.5" footer="0.5"/>
  <pageSetup scale="85"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7" t="str">
        <f>'Single Audit Cover'!A7</f>
        <v xml:space="preserve">  Tri City CUSD 1</v>
      </c>
      <c r="C1" s="2647"/>
      <c r="D1" s="2647"/>
      <c r="E1" s="2647"/>
      <c r="F1" s="2647"/>
      <c r="G1" s="2647"/>
      <c r="H1" s="2647"/>
      <c r="I1" s="2647"/>
      <c r="J1" s="2647"/>
      <c r="K1" s="2647"/>
      <c r="L1" s="1221"/>
    </row>
    <row r="2" spans="1:12" ht="12.75" customHeight="1" x14ac:dyDescent="0.2">
      <c r="B2" s="2648">
        <f>'Single Audit Cover'!E7</f>
        <v>51084001026</v>
      </c>
      <c r="C2" s="2648"/>
      <c r="D2" s="2648"/>
      <c r="E2" s="2648"/>
      <c r="F2" s="2648"/>
      <c r="G2" s="2648"/>
      <c r="H2" s="2648"/>
      <c r="I2" s="2648"/>
      <c r="J2" s="2648"/>
      <c r="K2" s="2648"/>
      <c r="L2" s="1222"/>
    </row>
    <row r="3" spans="1:12" ht="12.75" customHeight="1" x14ac:dyDescent="0.2">
      <c r="B3" s="2643" t="s">
        <v>1274</v>
      </c>
      <c r="C3" s="2643"/>
      <c r="D3" s="2643"/>
      <c r="E3" s="2643"/>
      <c r="F3" s="2643"/>
      <c r="G3" s="2643"/>
      <c r="H3" s="2643"/>
      <c r="I3" s="2643"/>
      <c r="J3" s="2643"/>
      <c r="K3" s="2643"/>
      <c r="L3" s="1147"/>
    </row>
    <row r="4" spans="1:12" ht="12.75" customHeight="1" x14ac:dyDescent="0.2">
      <c r="B4" s="2643" t="str">
        <f>'Single Audit Cover'!A4</f>
        <v>Year Ending June 30, 2020</v>
      </c>
      <c r="C4" s="2643"/>
      <c r="D4" s="2643"/>
      <c r="E4" s="2643"/>
      <c r="F4" s="2643"/>
      <c r="G4" s="2643"/>
      <c r="H4" s="2643"/>
      <c r="I4" s="2643"/>
      <c r="J4" s="2643"/>
      <c r="K4" s="2643"/>
      <c r="L4" s="1147"/>
    </row>
    <row r="5" spans="1:12" ht="5.25" customHeight="1" x14ac:dyDescent="0.2">
      <c r="B5" s="1036" t="s">
        <v>1159</v>
      </c>
      <c r="C5" s="1036"/>
      <c r="L5" s="300"/>
    </row>
    <row r="6" spans="1:12" ht="30.75" customHeight="1" x14ac:dyDescent="0.2">
      <c r="A6" s="300"/>
      <c r="B6" s="2649" t="s">
        <v>1297</v>
      </c>
      <c r="C6" s="2649"/>
      <c r="D6" s="2649"/>
      <c r="E6" s="2649"/>
      <c r="F6" s="2649"/>
      <c r="G6" s="2649"/>
      <c r="H6" s="2649"/>
      <c r="I6" s="2649"/>
      <c r="J6" s="2649"/>
      <c r="K6" s="264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27"/>
      <c r="G12" s="2627"/>
      <c r="H12" s="2627"/>
      <c r="I12" s="2627"/>
      <c r="J12" s="2627"/>
      <c r="K12" s="262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50"/>
      <c r="E14" s="2650"/>
      <c r="F14" s="2650"/>
      <c r="H14" s="1230" t="s">
        <v>1292</v>
      </c>
      <c r="I14" s="2651"/>
      <c r="J14" s="2651"/>
      <c r="K14" s="265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51"/>
      <c r="E16" s="2651"/>
      <c r="F16" s="2651"/>
      <c r="G16" s="2651"/>
      <c r="H16" s="2651"/>
      <c r="I16" s="2651"/>
      <c r="J16" s="2651"/>
      <c r="K16" s="2651"/>
      <c r="L16" s="300"/>
    </row>
    <row r="17" spans="2:12" ht="13.5" customHeight="1" x14ac:dyDescent="0.2">
      <c r="B17" s="1156" t="s">
        <v>1290</v>
      </c>
      <c r="C17" s="1156"/>
      <c r="D17" s="2652"/>
      <c r="E17" s="2652"/>
      <c r="F17" s="2652"/>
      <c r="G17" s="2652"/>
      <c r="H17" s="2652"/>
      <c r="I17" s="2652"/>
      <c r="J17" s="2652"/>
      <c r="K17" s="265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42"/>
      <c r="C20" s="2642"/>
      <c r="D20" s="2642"/>
      <c r="E20" s="2642"/>
      <c r="F20" s="2642"/>
      <c r="G20" s="2642"/>
      <c r="H20" s="2642"/>
      <c r="I20" s="2642"/>
      <c r="J20" s="2642"/>
      <c r="K20" s="264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42"/>
      <c r="C23" s="2642"/>
      <c r="D23" s="2642"/>
      <c r="E23" s="2642"/>
      <c r="F23" s="2642"/>
      <c r="G23" s="2642"/>
      <c r="H23" s="2642"/>
      <c r="I23" s="2642"/>
      <c r="J23" s="2642"/>
      <c r="K23" s="264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42"/>
      <c r="C26" s="2642"/>
      <c r="D26" s="2642"/>
      <c r="E26" s="2642"/>
      <c r="F26" s="2642"/>
      <c r="G26" s="2642"/>
      <c r="H26" s="2642"/>
      <c r="I26" s="2642"/>
      <c r="J26" s="2642"/>
      <c r="K26" s="264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42"/>
      <c r="C29" s="2642"/>
      <c r="D29" s="2642"/>
      <c r="E29" s="2642"/>
      <c r="F29" s="2642"/>
      <c r="G29" s="2642"/>
      <c r="H29" s="2642"/>
      <c r="I29" s="2642"/>
      <c r="J29" s="2642"/>
      <c r="K29" s="264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42"/>
      <c r="C32" s="2642"/>
      <c r="D32" s="2642"/>
      <c r="E32" s="2642"/>
      <c r="F32" s="2642"/>
      <c r="G32" s="2642"/>
      <c r="H32" s="2642"/>
      <c r="I32" s="2642"/>
      <c r="J32" s="2642"/>
      <c r="K32" s="264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42"/>
      <c r="C35" s="2642"/>
      <c r="D35" s="2642"/>
      <c r="E35" s="2642"/>
      <c r="F35" s="2642"/>
      <c r="G35" s="2642"/>
      <c r="H35" s="2642"/>
      <c r="I35" s="2642"/>
      <c r="J35" s="2642"/>
      <c r="K35" s="264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42"/>
      <c r="C38" s="2642"/>
      <c r="D38" s="2642"/>
      <c r="E38" s="2642"/>
      <c r="F38" s="2642"/>
      <c r="G38" s="2642"/>
      <c r="H38" s="2642"/>
      <c r="I38" s="2642"/>
      <c r="J38" s="2642"/>
      <c r="K38" s="264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42"/>
      <c r="C41" s="2642"/>
      <c r="D41" s="2642"/>
      <c r="E41" s="2642"/>
      <c r="F41" s="2642"/>
      <c r="G41" s="2642"/>
      <c r="H41" s="2642"/>
      <c r="I41" s="2642"/>
      <c r="J41" s="2642"/>
      <c r="K41" s="264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0.75" top="0.75" bottom="0.75" header="0.5" footer="0.5"/>
  <pageSetup scale="85"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20" t="str">
        <f>'Single Audit Cover'!A7</f>
        <v xml:space="preserve">  Tri City CUSD 1</v>
      </c>
      <c r="C1" s="2620"/>
      <c r="D1" s="2620"/>
      <c r="E1" s="1240"/>
    </row>
    <row r="2" spans="2:5" s="1058" customFormat="1" ht="12.75" customHeight="1" x14ac:dyDescent="0.2">
      <c r="B2" s="2622">
        <f>'Single Audit Cover'!E7</f>
        <v>51084001026</v>
      </c>
      <c r="C2" s="2622"/>
      <c r="D2" s="2622"/>
      <c r="E2" s="1241"/>
    </row>
    <row r="3" spans="2:5" ht="12.75" customHeight="1" x14ac:dyDescent="0.2">
      <c r="B3" s="2643" t="s">
        <v>1743</v>
      </c>
      <c r="C3" s="2643"/>
      <c r="D3" s="2643"/>
      <c r="E3" s="1050"/>
    </row>
    <row r="4" spans="2:5" s="1058" customFormat="1" ht="12.75" customHeight="1" x14ac:dyDescent="0.2">
      <c r="B4" s="2653" t="str">
        <f>'Single Audit Cover'!A4</f>
        <v>Year Ending June 30, 2020</v>
      </c>
      <c r="C4" s="2653"/>
      <c r="D4" s="2653"/>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1" right="0.75" top="0.75" bottom="0.75" header="0.5" footer="0.5"/>
  <pageSetup scale="85"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0" t="s">
        <v>383</v>
      </c>
      <c r="B1" s="2220"/>
      <c r="C1" s="2220"/>
      <c r="D1" s="2220"/>
      <c r="E1" s="2220"/>
      <c r="F1" s="2220"/>
      <c r="G1" s="2220"/>
      <c r="H1" s="2220"/>
      <c r="I1" s="2220"/>
      <c r="J1" s="2220"/>
      <c r="K1" s="2220"/>
      <c r="L1" s="2220"/>
      <c r="M1" s="222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87902212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2.8471E-2</v>
      </c>
      <c r="E10" s="333" t="s">
        <v>998</v>
      </c>
      <c r="F10" s="332">
        <v>3.666E-3</v>
      </c>
      <c r="G10" s="333" t="s">
        <v>998</v>
      </c>
      <c r="H10" s="332">
        <v>2.444E-3</v>
      </c>
      <c r="I10" s="333" t="s">
        <v>999</v>
      </c>
      <c r="J10" s="1424">
        <f>ROUND(D10+F10+H10,5)</f>
        <v>3.458E-2</v>
      </c>
      <c r="K10" s="217"/>
      <c r="L10" s="332">
        <v>2.4499999999999999E-4</v>
      </c>
      <c r="M10" s="217"/>
    </row>
    <row r="11" spans="1:14" ht="7.5" customHeight="1" x14ac:dyDescent="0.2">
      <c r="B11" s="217"/>
      <c r="C11" s="217"/>
      <c r="D11" s="2230" t="str">
        <f>IF(SUM(J10)&lt;=0.0999999,"","Enter the Tax Rates by moving the decimal two places to the left.")</f>
        <v/>
      </c>
      <c r="E11" s="2231"/>
      <c r="F11" s="2231"/>
      <c r="G11" s="2231"/>
      <c r="H11" s="2231"/>
      <c r="I11" s="2231"/>
      <c r="J11" s="223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5153659</v>
      </c>
      <c r="E16" s="1547"/>
      <c r="F16" s="1546">
        <f>SUM('Acct Summary 7-8'!C17,'Acct Summary 7-8'!D17,'Acct Summary 7-8'!F17)</f>
        <v>5499819</v>
      </c>
      <c r="G16" s="1547"/>
      <c r="H16" s="1546">
        <f>SUM(D16-F16)</f>
        <v>-346160</v>
      </c>
      <c r="I16" s="1548"/>
      <c r="J16" s="1546">
        <f>SUM('Acct Summary 7-8'!C81,'Acct Summary 7-8'!D81,'Acct Summary 7-8'!F81,'Acct Summary 7-8'!I81)</f>
        <v>2259565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12130505.256000001</v>
      </c>
      <c r="I31" s="345"/>
      <c r="J31" s="217"/>
      <c r="K31" s="217"/>
      <c r="L31" s="217"/>
      <c r="M31" s="217"/>
    </row>
    <row r="32" spans="1:13" ht="13.35" customHeight="1" x14ac:dyDescent="0.2">
      <c r="B32" s="346" t="s">
        <v>2061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3665000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21"/>
      <c r="C54" s="2222"/>
      <c r="D54" s="2222"/>
      <c r="E54" s="2222"/>
      <c r="F54" s="2222"/>
      <c r="G54" s="2222"/>
      <c r="H54" s="2222"/>
      <c r="I54" s="2222"/>
      <c r="J54" s="2222"/>
      <c r="K54" s="2222"/>
      <c r="L54" s="2223"/>
      <c r="M54" s="357"/>
    </row>
    <row r="55" spans="1:13" ht="12.75" customHeight="1" x14ac:dyDescent="0.2">
      <c r="B55" s="2224"/>
      <c r="C55" s="2225"/>
      <c r="D55" s="2225"/>
      <c r="E55" s="2225"/>
      <c r="F55" s="2225"/>
      <c r="G55" s="2225"/>
      <c r="H55" s="2225"/>
      <c r="I55" s="2225"/>
      <c r="J55" s="2225"/>
      <c r="K55" s="2225"/>
      <c r="L55" s="2226"/>
      <c r="M55" s="357"/>
    </row>
    <row r="56" spans="1:13" ht="12.75" customHeight="1" x14ac:dyDescent="0.2">
      <c r="B56" s="2224"/>
      <c r="C56" s="2225"/>
      <c r="D56" s="2225"/>
      <c r="E56" s="2225"/>
      <c r="F56" s="2225"/>
      <c r="G56" s="2225"/>
      <c r="H56" s="2225"/>
      <c r="I56" s="2225"/>
      <c r="J56" s="2225"/>
      <c r="K56" s="2225"/>
      <c r="L56" s="2226"/>
      <c r="M56" s="217"/>
    </row>
    <row r="57" spans="1:13" ht="12.75" customHeight="1" x14ac:dyDescent="0.2">
      <c r="B57" s="2224"/>
      <c r="C57" s="2225"/>
      <c r="D57" s="2225"/>
      <c r="E57" s="2225"/>
      <c r="F57" s="2225"/>
      <c r="G57" s="2225"/>
      <c r="H57" s="2225"/>
      <c r="I57" s="2225"/>
      <c r="J57" s="2225"/>
      <c r="K57" s="2225"/>
      <c r="L57" s="2226"/>
      <c r="M57" s="217"/>
    </row>
    <row r="58" spans="1:13" x14ac:dyDescent="0.2">
      <c r="B58" s="2227"/>
      <c r="C58" s="2228"/>
      <c r="D58" s="2228"/>
      <c r="E58" s="2228"/>
      <c r="F58" s="2228"/>
      <c r="G58" s="2228"/>
      <c r="H58" s="2228"/>
      <c r="I58" s="2228"/>
      <c r="J58" s="2228"/>
      <c r="K58" s="2228"/>
      <c r="L58" s="222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2"/>
      <c r="D61" s="223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orizontalCentered="1" headings="1"/>
  <pageMargins left="1" right="0.75" top="0.75" bottom="0.5" header="0.5" footer="0.25"/>
  <pageSetup scale="85" firstPageNumber="3" orientation="portrait" useFirstPageNumber="1" r:id="rId1"/>
  <headerFooter alignWithMargins="0">
    <oddHeader>&amp;L&amp;8Page &amp;P&amp;C &amp;R&amp;8Page &amp;P</oddHeader>
    <oddFooter>&amp;L&amp;8Printed: &amp;D
&amp;F&amp;CReference should be made to auditor's report regarding this information.
53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5"/>
      <c r="B1" s="2236"/>
      <c r="C1" s="2236"/>
      <c r="D1" s="361"/>
      <c r="E1" s="361"/>
      <c r="F1" s="361"/>
      <c r="G1" s="361"/>
      <c r="H1" s="361"/>
      <c r="I1" s="361"/>
      <c r="J1" s="361"/>
      <c r="K1" s="361"/>
      <c r="L1" s="361"/>
      <c r="M1" s="361"/>
      <c r="N1" s="361"/>
      <c r="O1" s="2235"/>
      <c r="P1" s="2236"/>
      <c r="Q1" s="2236"/>
    </row>
    <row r="2" spans="1:18" ht="15" x14ac:dyDescent="0.2">
      <c r="A2" s="2239" t="s">
        <v>552</v>
      </c>
      <c r="B2" s="2239"/>
      <c r="C2" s="2239"/>
      <c r="D2" s="2239"/>
      <c r="E2" s="2239"/>
      <c r="F2" s="2239"/>
      <c r="G2" s="2239"/>
      <c r="H2" s="2239"/>
      <c r="I2" s="2239"/>
      <c r="J2" s="2239"/>
      <c r="K2" s="2239"/>
      <c r="L2" s="2239"/>
      <c r="M2" s="2239"/>
      <c r="N2" s="2239"/>
      <c r="O2" s="2239"/>
      <c r="P2" s="2239"/>
      <c r="Q2" s="2239"/>
      <c r="R2" s="2239"/>
    </row>
    <row r="3" spans="1:18" ht="12.75" x14ac:dyDescent="0.2">
      <c r="A3" s="2240" t="s">
        <v>1396</v>
      </c>
      <c r="B3" s="2240"/>
      <c r="C3" s="2240"/>
      <c r="D3" s="2240"/>
      <c r="E3" s="2240"/>
      <c r="F3" s="2240"/>
      <c r="G3" s="2240"/>
      <c r="H3" s="2240"/>
      <c r="I3" s="2240"/>
      <c r="J3" s="2240"/>
      <c r="K3" s="2240"/>
      <c r="L3" s="2240"/>
      <c r="M3" s="2240"/>
      <c r="N3" s="2240"/>
      <c r="O3" s="2240"/>
      <c r="P3" s="2240"/>
      <c r="Q3" s="2240"/>
      <c r="R3" s="2240"/>
    </row>
    <row r="4" spans="1:18" x14ac:dyDescent="0.2">
      <c r="A4" s="2241" t="s">
        <v>1537</v>
      </c>
      <c r="B4" s="2241"/>
      <c r="C4" s="2241"/>
      <c r="D4" s="2241"/>
      <c r="E4" s="2241"/>
      <c r="F4" s="2241"/>
      <c r="G4" s="2241"/>
      <c r="H4" s="2241"/>
      <c r="I4" s="2241"/>
      <c r="J4" s="2241"/>
      <c r="K4" s="2241"/>
      <c r="L4" s="2241"/>
      <c r="M4" s="2241"/>
      <c r="N4" s="2241"/>
      <c r="O4" s="2241"/>
      <c r="P4" s="2241"/>
      <c r="Q4" s="2241"/>
      <c r="R4" s="224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Tri City CUSD 1</v>
      </c>
      <c r="E7" s="368"/>
      <c r="G7" s="247"/>
      <c r="H7" s="364"/>
      <c r="I7" s="364"/>
      <c r="J7" s="364"/>
      <c r="K7" s="364"/>
      <c r="L7" s="307"/>
      <c r="M7" s="307"/>
      <c r="N7" s="307"/>
      <c r="O7" s="307"/>
      <c r="P7" s="307"/>
    </row>
    <row r="8" spans="1:18" ht="12.75" x14ac:dyDescent="0.2">
      <c r="A8" s="307"/>
      <c r="B8" s="307"/>
      <c r="C8" s="366" t="s">
        <v>1115</v>
      </c>
      <c r="D8" s="369">
        <f>COVER!A13</f>
        <v>51084001026</v>
      </c>
      <c r="E8" s="370"/>
      <c r="G8" s="307"/>
      <c r="H8" s="307"/>
      <c r="I8" s="307"/>
      <c r="J8" s="307"/>
      <c r="K8" s="307"/>
      <c r="L8" s="307"/>
      <c r="M8" s="307"/>
      <c r="N8" s="307"/>
      <c r="O8" s="307"/>
      <c r="P8" s="307"/>
    </row>
    <row r="9" spans="1:18" ht="12.75" x14ac:dyDescent="0.2">
      <c r="A9" s="307"/>
      <c r="B9" s="307"/>
      <c r="C9" s="366" t="s">
        <v>708</v>
      </c>
      <c r="D9" s="371" t="str">
        <f>COVER!A15</f>
        <v>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2259565</v>
      </c>
      <c r="I12" s="380"/>
      <c r="J12" s="380"/>
      <c r="K12" s="1559">
        <f>TRUNC((H12/H13*100000),5)/100000</f>
        <v>0.4384389809</v>
      </c>
      <c r="L12" s="381"/>
      <c r="M12" s="337" t="s">
        <v>1134</v>
      </c>
      <c r="N12" s="337"/>
      <c r="O12" s="1562">
        <v>0.35</v>
      </c>
      <c r="P12" s="213"/>
      <c r="Q12" s="213"/>
    </row>
    <row r="13" spans="1:18" s="382" customFormat="1" ht="12.75" x14ac:dyDescent="0.2">
      <c r="A13" s="213"/>
      <c r="B13" s="377"/>
      <c r="C13" s="2237" t="s">
        <v>1313</v>
      </c>
      <c r="D13" s="2238"/>
      <c r="E13" s="213"/>
      <c r="F13" s="383" t="s">
        <v>788</v>
      </c>
      <c r="G13" s="378"/>
      <c r="H13" s="1551">
        <f>SUM('Acct Summary 7-8'!C8+'Acct Summary 7-8'!D8+'Acct Summary 7-8'!F8+'Acct Summary 7-8'!I8)+H14</f>
        <v>5153659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5499819</v>
      </c>
      <c r="I17" s="380"/>
      <c r="J17" s="389"/>
      <c r="K17" s="1559">
        <f>TRUNC((H17/H18*100000),5)/100000</f>
        <v>1.0671678122000001</v>
      </c>
      <c r="L17" s="381"/>
      <c r="M17" s="390" t="s">
        <v>1161</v>
      </c>
      <c r="O17" s="1565" t="str">
        <f>IF(AND(O16="2", J20 &gt; 2),"1",IF(AND(O16 = "1", J20 &gt; 2),"2",IF(AND(O16="1", J20 &gt;1),"1","0")))</f>
        <v>0</v>
      </c>
      <c r="P17" s="213"/>
    </row>
    <row r="18" spans="1:18" s="382" customFormat="1" ht="11.25" x14ac:dyDescent="0.2">
      <c r="A18" s="213"/>
      <c r="B18" s="377"/>
      <c r="C18" s="2237" t="s">
        <v>1306</v>
      </c>
      <c r="D18" s="2238"/>
      <c r="E18" s="213"/>
      <c r="F18" s="391" t="s">
        <v>789</v>
      </c>
      <c r="G18" s="378"/>
      <c r="H18" s="1551">
        <f>SUM('Acct Summary 7-8'!C8+'Acct Summary 7-8'!D8+'Acct Summary 7-8'!F8+'Acct Summary 7-8'!I8)+H19</f>
        <v>5153659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5.0387078000000001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34" t="s">
        <v>1395</v>
      </c>
      <c r="D24" s="2234"/>
      <c r="E24" s="213"/>
      <c r="F24" s="213" t="s">
        <v>442</v>
      </c>
      <c r="G24" s="378"/>
      <c r="H24" s="1551">
        <f>SUM('Assets-Liab 5-6'!C4+'Assets-Liab 5-6'!D4+'Assets-Liab 5-6'!F4+'Assets-Liab 5-6'!I4+'Assets-Liab 5-6'!C5+'Assets-Liab 5-6'!D5+'Assets-Liab 5-6'!F5+'Assets-Liab 5-6'!I5)</f>
        <v>2259565</v>
      </c>
      <c r="I24" s="394"/>
      <c r="J24" s="394"/>
      <c r="K24" s="1555">
        <f>TRUNC(((H24/H25*100000)/100000),2)</f>
        <v>147.9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15277.275</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2583709.7173199998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3665000</v>
      </c>
      <c r="I32" s="392"/>
      <c r="J32" s="392"/>
      <c r="K32" s="1555">
        <f>TRUNC(100-((((H32/H33*100))*100)/100),2)</f>
        <v>69.78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12130505.256000001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1" right="0.75" top="0.75" bottom="0.75" header="0.5" footer="0.5"/>
  <pageSetup scale="75" firstPageNumber="4" orientation="landscape" useFirstPageNumber="1" r:id="rId3"/>
  <headerFooter alignWithMargins="0">
    <oddHeader>&amp;L&amp;8Page &amp;P&amp;C &amp;R&amp;8Page &amp;P</oddHeader>
    <oddFooter>&amp;L&amp;8Printed: &amp;D
&amp;F&amp;CReference should be made to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21" activePane="bottomLeft" state="frozen"/>
      <selection pane="bottomLeft" activeCell="C41" sqref="C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4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44" t="s">
        <v>967</v>
      </c>
      <c r="B3" s="2245"/>
      <c r="C3" s="1306"/>
      <c r="D3" s="1307"/>
      <c r="E3" s="1307"/>
      <c r="F3" s="1307"/>
      <c r="G3" s="1307"/>
      <c r="H3" s="1307"/>
      <c r="I3" s="1307"/>
      <c r="J3" s="1307"/>
      <c r="K3" s="1307"/>
      <c r="L3" s="1307"/>
      <c r="M3" s="1308"/>
      <c r="N3" s="1309"/>
    </row>
    <row r="4" spans="1:14" ht="13.5" customHeight="1" x14ac:dyDescent="0.2">
      <c r="A4" s="427" t="s">
        <v>1632</v>
      </c>
      <c r="B4" s="428"/>
      <c r="C4" s="1572">
        <f>73192+13703</f>
        <v>86895</v>
      </c>
      <c r="D4" s="1573">
        <v>180211</v>
      </c>
      <c r="E4" s="1573">
        <v>768</v>
      </c>
      <c r="F4" s="1573">
        <v>13728</v>
      </c>
      <c r="G4" s="1573">
        <v>340</v>
      </c>
      <c r="H4" s="1573">
        <v>10788</v>
      </c>
      <c r="I4" s="1573">
        <v>653</v>
      </c>
      <c r="J4" s="1574">
        <v>224</v>
      </c>
      <c r="K4" s="1573">
        <v>43</v>
      </c>
      <c r="L4" s="1573">
        <v>78693</v>
      </c>
      <c r="M4" s="1575"/>
      <c r="N4" s="1576"/>
    </row>
    <row r="5" spans="1:14" x14ac:dyDescent="0.2">
      <c r="A5" s="427" t="s">
        <v>985</v>
      </c>
      <c r="B5" s="429">
        <v>120</v>
      </c>
      <c r="C5" s="1572">
        <v>311903</v>
      </c>
      <c r="D5" s="1573">
        <v>987100</v>
      </c>
      <c r="E5" s="1573">
        <v>290463</v>
      </c>
      <c r="F5" s="1573">
        <v>217434</v>
      </c>
      <c r="G5" s="1573">
        <v>63793</v>
      </c>
      <c r="H5" s="1573">
        <v>130972</v>
      </c>
      <c r="I5" s="1573">
        <v>461641</v>
      </c>
      <c r="J5" s="1574">
        <v>124324</v>
      </c>
      <c r="K5" s="1577">
        <v>296147</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398798</v>
      </c>
      <c r="D13" s="1587">
        <f t="shared" ref="D13:L13" si="0">SUM(D4:D12)</f>
        <v>1167311</v>
      </c>
      <c r="E13" s="1587">
        <f t="shared" si="0"/>
        <v>291231</v>
      </c>
      <c r="F13" s="1587">
        <f t="shared" si="0"/>
        <v>231162</v>
      </c>
      <c r="G13" s="1587">
        <f t="shared" si="0"/>
        <v>64133</v>
      </c>
      <c r="H13" s="1587">
        <f t="shared" si="0"/>
        <v>141760</v>
      </c>
      <c r="I13" s="1587">
        <f t="shared" si="0"/>
        <v>462294</v>
      </c>
      <c r="J13" s="1587">
        <f t="shared" si="0"/>
        <v>124548</v>
      </c>
      <c r="K13" s="1587">
        <f t="shared" si="0"/>
        <v>296190</v>
      </c>
      <c r="L13" s="1587">
        <f t="shared" si="0"/>
        <v>78693</v>
      </c>
      <c r="M13" s="1575"/>
      <c r="N13" s="1576"/>
    </row>
    <row r="14" spans="1:14" ht="18" customHeight="1" thickTop="1" x14ac:dyDescent="0.2">
      <c r="A14" s="2246" t="s">
        <v>146</v>
      </c>
      <c r="B14" s="224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38176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9654452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85781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1132786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291231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3373769</v>
      </c>
    </row>
    <row r="23" spans="1:14" ht="13.5" customHeight="1" thickBot="1" x14ac:dyDescent="0.25">
      <c r="A23" s="1426" t="s">
        <v>638</v>
      </c>
      <c r="B23" s="1429"/>
      <c r="C23" s="1575"/>
      <c r="D23" s="1575"/>
      <c r="E23" s="1575"/>
      <c r="F23" s="1575"/>
      <c r="G23" s="1575"/>
      <c r="H23" s="1575"/>
      <c r="I23" s="1575"/>
      <c r="J23" s="1575"/>
      <c r="K23" s="1575"/>
      <c r="L23" s="1575"/>
      <c r="M23" s="1594">
        <f>SUM(M15:M22)</f>
        <v>10911195</v>
      </c>
      <c r="N23" s="1594">
        <f>SUM(N21:N22)</f>
        <v>3665000</v>
      </c>
    </row>
    <row r="24" spans="1:14" ht="18" customHeight="1" thickTop="1" x14ac:dyDescent="0.2">
      <c r="A24" s="2248" t="s">
        <v>594</v>
      </c>
      <c r="B24" s="224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78693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78693</v>
      </c>
      <c r="M34" s="1575"/>
      <c r="N34" s="1585"/>
    </row>
    <row r="35" spans="1:14" ht="18" customHeight="1" thickTop="1" x14ac:dyDescent="0.2">
      <c r="A35" s="2250" t="s">
        <v>526</v>
      </c>
      <c r="B35" s="225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3665000</v>
      </c>
    </row>
    <row r="37" spans="1:14" ht="13.5" thickBot="1" x14ac:dyDescent="0.25">
      <c r="A37" s="1426" t="s">
        <v>648</v>
      </c>
      <c r="B37" s="1429"/>
      <c r="C37" s="1582"/>
      <c r="D37" s="1582"/>
      <c r="E37" s="1582"/>
      <c r="F37" s="1582"/>
      <c r="G37" s="1582"/>
      <c r="H37" s="1582"/>
      <c r="I37" s="1582"/>
      <c r="J37" s="1582"/>
      <c r="K37" s="1582"/>
      <c r="L37" s="1585"/>
      <c r="M37" s="1575"/>
      <c r="N37" s="1594">
        <f>SUM(N36:N36)</f>
        <v>3665000</v>
      </c>
    </row>
    <row r="38" spans="1:14" s="307" customFormat="1" ht="13.5" customHeight="1" thickTop="1" x14ac:dyDescent="0.2">
      <c r="A38" s="438" t="s">
        <v>417</v>
      </c>
      <c r="B38" s="432">
        <v>714</v>
      </c>
      <c r="C38" s="1573"/>
      <c r="D38" s="1573"/>
      <c r="E38" s="1573"/>
      <c r="F38" s="1573"/>
      <c r="G38" s="1573"/>
      <c r="H38" s="1573">
        <v>141574</v>
      </c>
      <c r="I38" s="1573"/>
      <c r="J38" s="1574"/>
      <c r="K38" s="1573"/>
      <c r="L38" s="1586"/>
      <c r="M38" s="1604"/>
      <c r="N38" s="1604"/>
    </row>
    <row r="39" spans="1:14" s="307" customFormat="1" ht="13.5" customHeight="1" x14ac:dyDescent="0.2">
      <c r="A39" s="438" t="s">
        <v>339</v>
      </c>
      <c r="B39" s="432">
        <v>730</v>
      </c>
      <c r="C39" s="1573">
        <f>385095+13703</f>
        <v>398798</v>
      </c>
      <c r="D39" s="1573">
        <v>1167311</v>
      </c>
      <c r="E39" s="1573">
        <v>291231</v>
      </c>
      <c r="F39" s="1573">
        <v>231162</v>
      </c>
      <c r="G39" s="1573">
        <v>64133</v>
      </c>
      <c r="H39" s="1573">
        <v>186</v>
      </c>
      <c r="I39" s="1573">
        <v>462294</v>
      </c>
      <c r="J39" s="1574">
        <v>124548</v>
      </c>
      <c r="K39" s="1573">
        <v>296190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10911195</v>
      </c>
      <c r="N40" s="1604"/>
    </row>
    <row r="41" spans="1:14" ht="13.5" customHeight="1" thickBot="1" x14ac:dyDescent="0.25">
      <c r="A41" s="1426" t="s">
        <v>650</v>
      </c>
      <c r="B41" s="1405"/>
      <c r="C41" s="1594">
        <f>(SUM(C34,C37,C38,C39))</f>
        <v>398798</v>
      </c>
      <c r="D41" s="1594">
        <f t="shared" ref="D41:L41" si="2">SUM(D34,D37,D38:D39)</f>
        <v>1167311</v>
      </c>
      <c r="E41" s="1594">
        <f t="shared" si="2"/>
        <v>291231</v>
      </c>
      <c r="F41" s="1594">
        <f t="shared" si="2"/>
        <v>231162</v>
      </c>
      <c r="G41" s="1594">
        <f t="shared" si="2"/>
        <v>64133</v>
      </c>
      <c r="H41" s="1594">
        <f t="shared" si="2"/>
        <v>141760</v>
      </c>
      <c r="I41" s="1594">
        <f t="shared" si="2"/>
        <v>462294</v>
      </c>
      <c r="J41" s="1594">
        <f t="shared" si="2"/>
        <v>124548</v>
      </c>
      <c r="K41" s="1594">
        <f t="shared" si="2"/>
        <v>296190</v>
      </c>
      <c r="L41" s="1594">
        <f t="shared" si="2"/>
        <v>78693</v>
      </c>
      <c r="M41" s="1594">
        <f>SUM(M40)</f>
        <v>10911195</v>
      </c>
      <c r="N41" s="1594">
        <f>SUM(N37)</f>
        <v>3665000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5" right="0.5" top="1.5" bottom="0.75" header="1" footer="0.5"/>
  <pageSetup scale="72" firstPageNumber="5" fitToWidth="2"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85"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6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72" t="s">
        <v>1165</v>
      </c>
      <c r="B3" s="2273"/>
      <c r="C3" s="1311"/>
      <c r="D3" s="1312"/>
      <c r="E3" s="1312"/>
      <c r="F3" s="1312"/>
      <c r="G3" s="1312"/>
      <c r="H3" s="1312"/>
      <c r="I3" s="1312"/>
      <c r="J3" s="1312"/>
      <c r="K3" s="1313"/>
      <c r="L3" s="446"/>
    </row>
    <row r="4" spans="1:13" ht="15.75" customHeight="1" x14ac:dyDescent="0.2">
      <c r="A4" s="1537" t="s">
        <v>1482</v>
      </c>
      <c r="B4" s="1538">
        <v>1000</v>
      </c>
      <c r="C4" s="1606">
        <f>'Revenues 9-14'!C109</f>
        <v>2382856</v>
      </c>
      <c r="D4" s="1606">
        <f>'Revenues 9-14'!D109</f>
        <v>400223</v>
      </c>
      <c r="E4" s="1606">
        <f>'Revenues 9-14'!E109</f>
        <v>536051</v>
      </c>
      <c r="F4" s="1606">
        <f>'Revenues 9-14'!F109</f>
        <v>184960</v>
      </c>
      <c r="G4" s="1606">
        <f>'Revenues 9-14'!G109</f>
        <v>116039</v>
      </c>
      <c r="H4" s="1606">
        <f>'Revenues 9-14'!H109</f>
        <v>297353</v>
      </c>
      <c r="I4" s="1606">
        <f>'Revenues 9-14'!I109</f>
        <v>18638</v>
      </c>
      <c r="J4" s="1606">
        <f>'Revenues 9-14'!J109</f>
        <v>99299</v>
      </c>
      <c r="K4" s="1606">
        <f>'Revenues 9-14'!K109</f>
        <v>43356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1297122</v>
      </c>
      <c r="D6" s="1607">
        <f>'Revenues 9-14'!D170</f>
        <v>162201</v>
      </c>
      <c r="E6" s="1607">
        <f>'Revenues 9-14'!E170</f>
        <v>0</v>
      </c>
      <c r="F6" s="1607">
        <f>'Revenues 9-14'!F170</f>
        <v>175057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532602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4212580</v>
      </c>
      <c r="D8" s="1594">
        <f t="shared" ref="D8:K8" si="0">SUM(D4:D7)</f>
        <v>562424</v>
      </c>
      <c r="E8" s="1594">
        <f t="shared" si="0"/>
        <v>536051</v>
      </c>
      <c r="F8" s="1594">
        <f t="shared" si="0"/>
        <v>360017</v>
      </c>
      <c r="G8" s="1594">
        <f t="shared" si="0"/>
        <v>116039</v>
      </c>
      <c r="H8" s="1594">
        <f t="shared" si="0"/>
        <v>297353</v>
      </c>
      <c r="I8" s="1594">
        <f t="shared" si="0"/>
        <v>18638</v>
      </c>
      <c r="J8" s="1594">
        <f t="shared" si="0"/>
        <v>99299</v>
      </c>
      <c r="K8" s="1594">
        <f t="shared" si="0"/>
        <v>43356</v>
      </c>
      <c r="L8" s="325"/>
    </row>
    <row r="9" spans="1:13" ht="15.75" thickTop="1" x14ac:dyDescent="0.2">
      <c r="A9" s="449" t="s">
        <v>1634</v>
      </c>
      <c r="B9" s="450">
        <v>3998</v>
      </c>
      <c r="C9" s="1586">
        <v>2085687</v>
      </c>
      <c r="D9" s="1613"/>
      <c r="E9" s="1586"/>
      <c r="F9" s="1586"/>
      <c r="G9" s="1614"/>
      <c r="H9" s="1586"/>
      <c r="I9" s="1609" t="s">
        <v>1159</v>
      </c>
      <c r="J9" s="1583"/>
      <c r="K9" s="1586"/>
      <c r="L9" s="325"/>
    </row>
    <row r="10" spans="1:13" s="452" customFormat="1" ht="13.5" thickBot="1" x14ac:dyDescent="0.25">
      <c r="A10" s="1426" t="s">
        <v>1163</v>
      </c>
      <c r="B10" s="1407"/>
      <c r="C10" s="1594">
        <f>SUM(C8:C9)</f>
        <v>6298267</v>
      </c>
      <c r="D10" s="1594">
        <f t="shared" ref="D10:K10" si="1">SUM(D8:D9)</f>
        <v>562424</v>
      </c>
      <c r="E10" s="1594">
        <f t="shared" si="1"/>
        <v>536051</v>
      </c>
      <c r="F10" s="1594">
        <f t="shared" si="1"/>
        <v>360017</v>
      </c>
      <c r="G10" s="1594">
        <f t="shared" si="1"/>
        <v>116039</v>
      </c>
      <c r="H10" s="1594">
        <f t="shared" si="1"/>
        <v>297353</v>
      </c>
      <c r="I10" s="1594">
        <f t="shared" si="1"/>
        <v>18638</v>
      </c>
      <c r="J10" s="1594">
        <f t="shared" si="1"/>
        <v>99299</v>
      </c>
      <c r="K10" s="1594">
        <f t="shared" si="1"/>
        <v>43356</v>
      </c>
      <c r="L10" s="451"/>
    </row>
    <row r="11" spans="1:13" s="452" customFormat="1" ht="16.7" customHeight="1" thickTop="1" x14ac:dyDescent="0.2">
      <c r="A11" s="2246" t="s">
        <v>1166</v>
      </c>
      <c r="B11" s="2247"/>
      <c r="C11" s="1602"/>
      <c r="D11" s="1603"/>
      <c r="E11" s="1603"/>
      <c r="F11" s="1603"/>
      <c r="G11" s="1603"/>
      <c r="H11" s="1603"/>
      <c r="I11" s="1603"/>
      <c r="J11" s="1603"/>
      <c r="K11" s="1615"/>
      <c r="L11" s="451"/>
    </row>
    <row r="12" spans="1:13" ht="15.75" customHeight="1" x14ac:dyDescent="0.2">
      <c r="A12" s="1314" t="s">
        <v>453</v>
      </c>
      <c r="B12" s="1316">
        <v>1000</v>
      </c>
      <c r="C12" s="1606">
        <f>'Expenditures 15-22'!K33</f>
        <v>2920532</v>
      </c>
      <c r="D12" s="1616" t="s">
        <v>1159</v>
      </c>
      <c r="E12" s="1575" t="s">
        <v>1159</v>
      </c>
      <c r="F12" s="1575" t="s">
        <v>1159</v>
      </c>
      <c r="G12" s="1606">
        <f>'Expenditures 15-22'!K229</f>
        <v>42987</v>
      </c>
      <c r="H12" s="1617"/>
      <c r="I12" s="1575" t="s">
        <v>1159</v>
      </c>
      <c r="J12" s="1575" t="s">
        <v>1159</v>
      </c>
      <c r="K12" s="1617" t="s">
        <v>1159</v>
      </c>
      <c r="L12" s="325"/>
    </row>
    <row r="13" spans="1:13" ht="15.75" customHeight="1" x14ac:dyDescent="0.2">
      <c r="A13" s="1314" t="s">
        <v>454</v>
      </c>
      <c r="B13" s="1316">
        <v>2000</v>
      </c>
      <c r="C13" s="1607">
        <f>'Expenditures 15-22'!K74</f>
        <v>1228387</v>
      </c>
      <c r="D13" s="1607">
        <f>'Expenditures 15-22'!K129</f>
        <v>612730</v>
      </c>
      <c r="E13" s="1576" t="s">
        <v>1159</v>
      </c>
      <c r="F13" s="1607">
        <f>'Expenditures 15-22'!K184</f>
        <v>382184</v>
      </c>
      <c r="G13" s="1607">
        <f>'Expenditures 15-22'!K279</f>
        <v>159475</v>
      </c>
      <c r="H13" s="1607">
        <f>'Expenditures 15-22'!K303</f>
        <v>155593</v>
      </c>
      <c r="I13" s="1575" t="s">
        <v>1159</v>
      </c>
      <c r="J13" s="1607">
        <f>'Expenditures 15-22'!K330</f>
        <v>13463</v>
      </c>
      <c r="K13" s="1618">
        <f>'Expenditures 15-22'!K352</f>
        <v>29181</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355986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617263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4504905</v>
      </c>
      <c r="D17" s="1594">
        <f t="shared" si="2"/>
        <v>612730</v>
      </c>
      <c r="E17" s="1594">
        <f t="shared" si="2"/>
        <v>617263</v>
      </c>
      <c r="F17" s="1594">
        <f t="shared" si="2"/>
        <v>382184</v>
      </c>
      <c r="G17" s="1594">
        <f t="shared" si="2"/>
        <v>202462</v>
      </c>
      <c r="H17" s="1594">
        <f t="shared" si="2"/>
        <v>155593</v>
      </c>
      <c r="I17" s="1575"/>
      <c r="J17" s="1594">
        <f>SUM(J12:J16)</f>
        <v>13463</v>
      </c>
      <c r="K17" s="1594">
        <f>SUM(K12:K16)</f>
        <v>29181</v>
      </c>
      <c r="L17" s="325"/>
    </row>
    <row r="18" spans="1:12" ht="15" customHeight="1" thickTop="1" x14ac:dyDescent="0.2">
      <c r="A18" s="1430" t="s">
        <v>1635</v>
      </c>
      <c r="B18" s="1431">
        <v>4180</v>
      </c>
      <c r="C18" s="1606">
        <f t="shared" ref="C18:H18" si="3">C9</f>
        <v>2085687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6590592</v>
      </c>
      <c r="D19" s="1594">
        <f t="shared" si="4"/>
        <v>612730</v>
      </c>
      <c r="E19" s="1594">
        <f t="shared" si="4"/>
        <v>617263</v>
      </c>
      <c r="F19" s="1594">
        <f t="shared" si="4"/>
        <v>382184</v>
      </c>
      <c r="G19" s="1594">
        <f t="shared" si="4"/>
        <v>202462</v>
      </c>
      <c r="H19" s="1594">
        <f t="shared" si="4"/>
        <v>155593</v>
      </c>
      <c r="I19" s="1575"/>
      <c r="J19" s="1594">
        <f>SUM(J17:J18)</f>
        <v>13463</v>
      </c>
      <c r="K19" s="1594">
        <f>SUM(K17:K18)</f>
        <v>29181</v>
      </c>
      <c r="L19" s="325"/>
    </row>
    <row r="20" spans="1:12" ht="16.5" thickTop="1" thickBot="1" x14ac:dyDescent="0.25">
      <c r="A20" s="2262" t="s">
        <v>1636</v>
      </c>
      <c r="B20" s="2263"/>
      <c r="C20" s="1622">
        <f>C8-C17</f>
        <v>-292325</v>
      </c>
      <c r="D20" s="1622">
        <f t="shared" ref="D20:K20" si="5">D8-D17</f>
        <v>-50306</v>
      </c>
      <c r="E20" s="1622">
        <f t="shared" si="5"/>
        <v>-81212</v>
      </c>
      <c r="F20" s="1622">
        <f t="shared" si="5"/>
        <v>-22167</v>
      </c>
      <c r="G20" s="1622">
        <f t="shared" si="5"/>
        <v>-86423</v>
      </c>
      <c r="H20" s="1622">
        <f t="shared" si="5"/>
        <v>141760</v>
      </c>
      <c r="I20" s="1622">
        <f t="shared" si="5"/>
        <v>18638</v>
      </c>
      <c r="J20" s="1622">
        <f t="shared" si="5"/>
        <v>85836</v>
      </c>
      <c r="K20" s="1622">
        <f t="shared" si="5"/>
        <v>14175</v>
      </c>
      <c r="L20" s="325"/>
    </row>
    <row r="21" spans="1:12" ht="16.7" customHeight="1" thickTop="1" x14ac:dyDescent="0.2">
      <c r="A21" s="2274" t="s">
        <v>591</v>
      </c>
      <c r="B21" s="2275"/>
      <c r="C21" s="1602"/>
      <c r="D21" s="1603"/>
      <c r="E21" s="1603"/>
      <c r="F21" s="1603"/>
      <c r="G21" s="1603"/>
      <c r="H21" s="1603"/>
      <c r="I21" s="1603"/>
      <c r="J21" s="1603"/>
      <c r="K21" s="1615"/>
      <c r="L21" s="453"/>
    </row>
    <row r="22" spans="1:12" ht="15.75" customHeight="1" collapsed="1" x14ac:dyDescent="0.2">
      <c r="A22" s="2270" t="s">
        <v>592</v>
      </c>
      <c r="B22" s="2271"/>
      <c r="C22" s="1582"/>
      <c r="D22" s="1582"/>
      <c r="E22" s="1582"/>
      <c r="F22" s="1582"/>
      <c r="G22" s="1582"/>
      <c r="H22" s="1582"/>
      <c r="I22" s="1582"/>
      <c r="J22" s="1582"/>
      <c r="K22" s="1582"/>
      <c r="L22" s="325"/>
    </row>
    <row r="23" spans="1:12" s="433" customFormat="1" ht="15.75" customHeight="1" x14ac:dyDescent="0.2">
      <c r="A23" s="2266" t="s">
        <v>290</v>
      </c>
      <c r="B23" s="226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68" t="s">
        <v>974</v>
      </c>
      <c r="B32" s="226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v>1350</v>
      </c>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76" t="s">
        <v>371</v>
      </c>
      <c r="B44" s="2277"/>
      <c r="C44" s="1624">
        <f>SUM(C24:C43)</f>
        <v>0</v>
      </c>
      <c r="D44" s="1624">
        <f t="shared" ref="D44:K44" si="6">SUM(D24:D43)</f>
        <v>0</v>
      </c>
      <c r="E44" s="1624">
        <f t="shared" si="6"/>
        <v>0</v>
      </c>
      <c r="F44" s="1624">
        <f t="shared" si="6"/>
        <v>1350</v>
      </c>
      <c r="G44" s="1624">
        <f t="shared" si="6"/>
        <v>0</v>
      </c>
      <c r="H44" s="1624">
        <f t="shared" si="6"/>
        <v>0</v>
      </c>
      <c r="I44" s="1624">
        <f t="shared" si="6"/>
        <v>0</v>
      </c>
      <c r="J44" s="1624">
        <f t="shared" si="6"/>
        <v>0</v>
      </c>
      <c r="K44" s="1624">
        <f t="shared" si="6"/>
        <v>0</v>
      </c>
      <c r="L44" s="453"/>
    </row>
    <row r="45" spans="1:12" ht="15.75" customHeight="1" thickTop="1" x14ac:dyDescent="0.2">
      <c r="A45" s="2270" t="s">
        <v>108</v>
      </c>
      <c r="B45" s="2271"/>
      <c r="C45" s="1625"/>
      <c r="D45" s="1625"/>
      <c r="E45" s="1625"/>
      <c r="F45" s="1625"/>
      <c r="G45" s="1625"/>
      <c r="H45" s="1625"/>
      <c r="I45" s="1625"/>
      <c r="J45" s="1625"/>
      <c r="K45" s="1625"/>
      <c r="L45" s="325"/>
    </row>
    <row r="46" spans="1:12" s="433" customFormat="1" ht="15.75" customHeight="1" x14ac:dyDescent="0.2">
      <c r="A46" s="2278" t="s">
        <v>109</v>
      </c>
      <c r="B46" s="227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52" t="s">
        <v>437</v>
      </c>
      <c r="B76" s="225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54" t="s">
        <v>1167</v>
      </c>
      <c r="B77" s="2255"/>
      <c r="C77" s="1624">
        <f t="shared" ref="C77:K77" si="8">C44-C76</f>
        <v>0</v>
      </c>
      <c r="D77" s="1624">
        <f t="shared" si="8"/>
        <v>0</v>
      </c>
      <c r="E77" s="1624">
        <f t="shared" si="8"/>
        <v>0</v>
      </c>
      <c r="F77" s="1624">
        <f t="shared" si="8"/>
        <v>1350</v>
      </c>
      <c r="G77" s="1624">
        <f t="shared" si="8"/>
        <v>0</v>
      </c>
      <c r="H77" s="1624">
        <f t="shared" si="8"/>
        <v>0</v>
      </c>
      <c r="I77" s="1624">
        <f t="shared" si="8"/>
        <v>0</v>
      </c>
      <c r="J77" s="1624">
        <f t="shared" si="8"/>
        <v>0</v>
      </c>
      <c r="K77" s="1624">
        <f t="shared" si="8"/>
        <v>0</v>
      </c>
      <c r="L77" s="325"/>
    </row>
    <row r="78" spans="1:12" ht="21.75" customHeight="1" thickTop="1" thickBot="1" x14ac:dyDescent="0.25">
      <c r="A78" s="2258" t="s">
        <v>593</v>
      </c>
      <c r="B78" s="2259"/>
      <c r="C78" s="1629">
        <f t="shared" ref="C78:K78" si="9">C20+C77</f>
        <v>-292325</v>
      </c>
      <c r="D78" s="1629">
        <f t="shared" si="9"/>
        <v>-50306</v>
      </c>
      <c r="E78" s="1629">
        <f t="shared" si="9"/>
        <v>-81212</v>
      </c>
      <c r="F78" s="1629">
        <f t="shared" si="9"/>
        <v>-20817</v>
      </c>
      <c r="G78" s="1629">
        <f t="shared" si="9"/>
        <v>-86423</v>
      </c>
      <c r="H78" s="1629">
        <f t="shared" si="9"/>
        <v>141760</v>
      </c>
      <c r="I78" s="1629">
        <f t="shared" si="9"/>
        <v>18638</v>
      </c>
      <c r="J78" s="1629">
        <f t="shared" si="9"/>
        <v>85836</v>
      </c>
      <c r="K78" s="1629">
        <f t="shared" si="9"/>
        <v>14175</v>
      </c>
      <c r="L78" s="457"/>
    </row>
    <row r="79" spans="1:12" ht="13.5" thickTop="1" x14ac:dyDescent="0.2">
      <c r="A79" s="1844" t="str">
        <f>"Fund Balances - July 1, "&amp;'AFR20'!E2-1</f>
        <v>Fund Balances - July 1, 2019</v>
      </c>
      <c r="B79" s="458"/>
      <c r="C79" s="1583">
        <v>691123</v>
      </c>
      <c r="D79" s="1630">
        <v>1217617</v>
      </c>
      <c r="E79" s="1630">
        <v>372443</v>
      </c>
      <c r="F79" s="1630">
        <v>251979</v>
      </c>
      <c r="G79" s="1630">
        <v>150556</v>
      </c>
      <c r="H79" s="1630"/>
      <c r="I79" s="1630">
        <v>443656</v>
      </c>
      <c r="J79" s="1630">
        <v>38712</v>
      </c>
      <c r="K79" s="1630">
        <v>282015</v>
      </c>
      <c r="L79" s="325"/>
    </row>
    <row r="80" spans="1:12" x14ac:dyDescent="0.2">
      <c r="A80" s="2264" t="s">
        <v>1772</v>
      </c>
      <c r="B80" s="2265"/>
      <c r="C80" s="1574"/>
      <c r="D80" s="1574"/>
      <c r="E80" s="1574"/>
      <c r="F80" s="1574"/>
      <c r="G80" s="1574"/>
      <c r="H80" s="1574"/>
      <c r="I80" s="1574"/>
      <c r="J80" s="1574"/>
      <c r="K80" s="1574"/>
      <c r="L80" s="325"/>
    </row>
    <row r="81" spans="1:12" ht="13.5" thickBot="1" x14ac:dyDescent="0.25">
      <c r="A81" s="2256" t="str">
        <f>"Fund Balances - June 30, "&amp;'AFR20'!E2</f>
        <v>Fund Balances - June 30, 2020</v>
      </c>
      <c r="B81" s="2257"/>
      <c r="C81" s="1594">
        <f>(SUM(C78:C80))</f>
        <v>398798</v>
      </c>
      <c r="D81" s="1594">
        <f>SUM(D78:D80)</f>
        <v>1167311</v>
      </c>
      <c r="E81" s="1594">
        <f t="shared" ref="E81:K81" si="10">SUM(E78:E80)</f>
        <v>291231</v>
      </c>
      <c r="F81" s="1594">
        <f t="shared" si="10"/>
        <v>231162</v>
      </c>
      <c r="G81" s="1594">
        <f t="shared" si="10"/>
        <v>64133</v>
      </c>
      <c r="H81" s="1594">
        <f t="shared" si="10"/>
        <v>141760</v>
      </c>
      <c r="I81" s="1594">
        <f t="shared" si="10"/>
        <v>462294</v>
      </c>
      <c r="J81" s="1594">
        <f t="shared" si="10"/>
        <v>124548</v>
      </c>
      <c r="K81" s="1594">
        <f t="shared" si="10"/>
        <v>296190</v>
      </c>
      <c r="L81" s="325"/>
    </row>
    <row r="82" spans="1:12" ht="0.75" customHeight="1" thickTop="1" thickBot="1" x14ac:dyDescent="0.25">
      <c r="A82" s="459" t="s">
        <v>340</v>
      </c>
      <c r="B82" s="460"/>
      <c r="C82" s="461">
        <f>(C81-C79)</f>
        <v>-292325</v>
      </c>
      <c r="D82" s="461">
        <f t="shared" ref="D82:K82" si="11">(D81-D79)</f>
        <v>-50306</v>
      </c>
      <c r="E82" s="461">
        <f t="shared" si="11"/>
        <v>-81212</v>
      </c>
      <c r="F82" s="461">
        <f t="shared" si="11"/>
        <v>-20817</v>
      </c>
      <c r="G82" s="461">
        <f t="shared" si="11"/>
        <v>-86423</v>
      </c>
      <c r="H82" s="461">
        <f t="shared" si="11"/>
        <v>141760</v>
      </c>
      <c r="I82" s="461">
        <f t="shared" si="11"/>
        <v>18638</v>
      </c>
      <c r="J82" s="461">
        <f t="shared" si="11"/>
        <v>85836</v>
      </c>
      <c r="K82" s="461">
        <f t="shared" si="11"/>
        <v>14175</v>
      </c>
    </row>
    <row r="83" spans="1:12" ht="14.25" hidden="1" thickTop="1" thickBot="1" x14ac:dyDescent="0.25">
      <c r="A83" s="462" t="s">
        <v>341</v>
      </c>
      <c r="B83" s="428"/>
      <c r="C83" s="463">
        <f>C82/C81</f>
        <v>-0.7330152107081781</v>
      </c>
      <c r="D83" s="463">
        <f t="shared" ref="D83:K83" si="12">D82/D81</f>
        <v>-4.3095627472027595E-2</v>
      </c>
      <c r="E83" s="463">
        <f t="shared" si="12"/>
        <v>-0.2788576765522901</v>
      </c>
      <c r="F83" s="463">
        <f t="shared" si="12"/>
        <v>-9.0053728554001095E-2</v>
      </c>
      <c r="G83" s="463">
        <f t="shared" si="12"/>
        <v>-1.3475589789967723</v>
      </c>
      <c r="H83" s="463">
        <f t="shared" si="12"/>
        <v>1</v>
      </c>
      <c r="I83" s="463">
        <f t="shared" si="12"/>
        <v>4.0316335492132711E-2</v>
      </c>
      <c r="J83" s="463">
        <f t="shared" si="12"/>
        <v>0.68918007515174873</v>
      </c>
      <c r="K83" s="463">
        <f t="shared" si="12"/>
        <v>4.7857793983591614E-2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orizontalCentered="1" headings="1"/>
  <pageMargins left="0.25" right="0.25" top="1.65" bottom="0.75" header="1" footer="0.5"/>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115" workbookViewId="0">
      <pane ySplit="2" topLeftCell="A48"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0" t="s">
        <v>1779</v>
      </c>
      <c r="B1" s="416"/>
      <c r="C1" s="417" t="s">
        <v>422</v>
      </c>
      <c r="D1" s="417" t="s">
        <v>423</v>
      </c>
      <c r="E1" s="417" t="s">
        <v>424</v>
      </c>
      <c r="F1" s="417" t="s">
        <v>425</v>
      </c>
      <c r="G1" s="417" t="s">
        <v>426</v>
      </c>
      <c r="H1" s="417" t="s">
        <v>427</v>
      </c>
      <c r="I1" s="417" t="s">
        <v>428</v>
      </c>
      <c r="J1" s="417" t="s">
        <v>429</v>
      </c>
      <c r="K1" s="417" t="s">
        <v>751</v>
      </c>
    </row>
    <row r="2" spans="1:12" ht="36" x14ac:dyDescent="0.2">
      <c r="A2" s="226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f>1065542+1088867</f>
        <v>2154409</v>
      </c>
      <c r="D5" s="1586">
        <f>137169+140205</f>
        <v>277374</v>
      </c>
      <c r="E5" s="1573">
        <f>268830+267216+1</f>
        <v>536047</v>
      </c>
      <c r="F5" s="1631">
        <f>91458+93471</f>
        <v>184929</v>
      </c>
      <c r="G5" s="1573">
        <v>56671</v>
      </c>
      <c r="H5" s="1573"/>
      <c r="I5" s="1573">
        <v>18548</v>
      </c>
      <c r="J5" s="1574">
        <f>44249+45244</f>
        <v>89493</v>
      </c>
      <c r="K5" s="1573">
        <f>21431+21915</f>
        <v>43346</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f>15245+15642</f>
        <v>30887</v>
      </c>
      <c r="D7" s="1573"/>
      <c r="E7" s="1575"/>
      <c r="F7" s="1574"/>
      <c r="G7" s="1574"/>
      <c r="H7" s="1574"/>
      <c r="I7" s="1575"/>
      <c r="J7" s="1575"/>
      <c r="K7" s="1575"/>
    </row>
    <row r="8" spans="1:12" x14ac:dyDescent="0.2">
      <c r="A8" s="427" t="s">
        <v>410</v>
      </c>
      <c r="B8" s="429">
        <v>1150</v>
      </c>
      <c r="C8" s="1580"/>
      <c r="D8" s="1580"/>
      <c r="E8" s="1582"/>
      <c r="F8" s="1582"/>
      <c r="G8" s="1586">
        <v>56671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2185296</v>
      </c>
      <c r="D12" s="1633">
        <f t="shared" si="0"/>
        <v>277374</v>
      </c>
      <c r="E12" s="1633">
        <f t="shared" si="0"/>
        <v>536047</v>
      </c>
      <c r="F12" s="1633">
        <f t="shared" si="0"/>
        <v>184929</v>
      </c>
      <c r="G12" s="1633">
        <f t="shared" si="0"/>
        <v>113342</v>
      </c>
      <c r="H12" s="1633">
        <f t="shared" si="0"/>
        <v>0</v>
      </c>
      <c r="I12" s="1633">
        <f t="shared" si="0"/>
        <v>18548</v>
      </c>
      <c r="J12" s="1633">
        <f t="shared" si="0"/>
        <v>89493</v>
      </c>
      <c r="K12" s="1594">
        <f t="shared" si="0"/>
        <v>43346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94375</v>
      </c>
      <c r="E16" s="1573"/>
      <c r="F16" s="1573"/>
      <c r="G16" s="1573">
        <v>2678</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94375</v>
      </c>
      <c r="E18" s="1635">
        <f t="shared" si="1"/>
        <v>0</v>
      </c>
      <c r="F18" s="1635">
        <f t="shared" si="1"/>
        <v>0</v>
      </c>
      <c r="G18" s="1635">
        <f t="shared" si="1"/>
        <v>2678</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9679</v>
      </c>
      <c r="D65" s="1573">
        <v>47</v>
      </c>
      <c r="E65" s="1573">
        <v>4</v>
      </c>
      <c r="F65" s="1574">
        <v>31</v>
      </c>
      <c r="G65" s="1573">
        <v>19</v>
      </c>
      <c r="H65" s="1573">
        <v>186</v>
      </c>
      <c r="I65" s="1573">
        <v>90</v>
      </c>
      <c r="J65" s="1574">
        <v>15</v>
      </c>
      <c r="K65" s="1573">
        <v>10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9679</v>
      </c>
      <c r="D67" s="1594">
        <f t="shared" ref="D67:K67" si="2">SUM(D65:D66)</f>
        <v>47</v>
      </c>
      <c r="E67" s="1594">
        <f t="shared" si="2"/>
        <v>4</v>
      </c>
      <c r="F67" s="1594">
        <f t="shared" si="2"/>
        <v>31</v>
      </c>
      <c r="G67" s="1594">
        <f t="shared" si="2"/>
        <v>19</v>
      </c>
      <c r="H67" s="1594">
        <f t="shared" si="2"/>
        <v>186</v>
      </c>
      <c r="I67" s="1594">
        <f t="shared" si="2"/>
        <v>90</v>
      </c>
      <c r="J67" s="1594">
        <f t="shared" si="2"/>
        <v>15</v>
      </c>
      <c r="K67" s="1594">
        <f t="shared" si="2"/>
        <v>10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54732</v>
      </c>
      <c r="D69" s="1575"/>
      <c r="E69" s="1575"/>
      <c r="F69" s="1575"/>
      <c r="G69" s="1575"/>
      <c r="H69" s="1575"/>
      <c r="I69" s="1575"/>
      <c r="J69" s="1575"/>
      <c r="K69" s="1575"/>
    </row>
    <row r="70" spans="1:11" ht="12.75" customHeight="1" x14ac:dyDescent="0.2">
      <c r="A70" s="427" t="s">
        <v>990</v>
      </c>
      <c r="B70" s="429">
        <v>1612</v>
      </c>
      <c r="C70" s="1632">
        <v>6614</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964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62310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13361</v>
      </c>
      <c r="D77" s="1573"/>
      <c r="E77" s="1575"/>
      <c r="F77" s="1575"/>
      <c r="G77" s="1575"/>
      <c r="H77" s="1575"/>
      <c r="I77" s="1575"/>
      <c r="J77" s="1575"/>
      <c r="K77" s="1575"/>
    </row>
    <row r="78" spans="1:11" ht="12.75" customHeight="1" x14ac:dyDescent="0.2">
      <c r="A78" s="427" t="s">
        <v>76</v>
      </c>
      <c r="B78" s="429">
        <v>1719</v>
      </c>
      <c r="C78" s="1632">
        <v>49980</v>
      </c>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63341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f>72+39740</f>
        <v>39812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39812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v>9791</v>
      </c>
      <c r="K99" s="1573"/>
    </row>
    <row r="100" spans="1:12" ht="12.75" customHeight="1" x14ac:dyDescent="0.2">
      <c r="A100" s="427" t="s">
        <v>243</v>
      </c>
      <c r="B100" s="429">
        <v>1960</v>
      </c>
      <c r="C100" s="1598"/>
      <c r="D100" s="1598">
        <v>28427</v>
      </c>
      <c r="E100" s="1598"/>
      <c r="F100" s="1598"/>
      <c r="G100" s="1598"/>
      <c r="H100" s="1598"/>
      <c r="I100" s="1574"/>
      <c r="J100" s="1598"/>
      <c r="K100" s="1574"/>
    </row>
    <row r="101" spans="1:12" ht="12.75" customHeight="1" x14ac:dyDescent="0.2">
      <c r="A101" s="427" t="s">
        <v>244</v>
      </c>
      <c r="B101" s="429">
        <v>1970</v>
      </c>
      <c r="C101" s="1598">
        <v>7855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297167</v>
      </c>
      <c r="I103" s="1575"/>
      <c r="J103" s="1610"/>
      <c r="K103" s="1610"/>
    </row>
    <row r="104" spans="1:12" ht="12.75" customHeight="1" x14ac:dyDescent="0.2">
      <c r="A104" s="427" t="s">
        <v>825</v>
      </c>
      <c r="B104" s="429">
        <v>1991</v>
      </c>
      <c r="C104" s="1598">
        <f>1279+8484</f>
        <v>9763</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f>617+4183</f>
        <v>4800</v>
      </c>
      <c r="D107" s="1573"/>
      <c r="E107" s="1573"/>
      <c r="F107" s="1573"/>
      <c r="G107" s="1573"/>
      <c r="H107" s="1573"/>
      <c r="I107" s="1573"/>
      <c r="J107" s="1574"/>
      <c r="K107" s="1573"/>
    </row>
    <row r="108" spans="1:12" ht="12.75" customHeight="1" thickBot="1" x14ac:dyDescent="0.25">
      <c r="A108" s="1406" t="s">
        <v>484</v>
      </c>
      <c r="B108" s="1408"/>
      <c r="C108" s="1633">
        <f>SUM(C95:C107)</f>
        <v>22418</v>
      </c>
      <c r="D108" s="1633">
        <f t="shared" ref="D108:K108" si="3">SUM(D95:D107)</f>
        <v>28427</v>
      </c>
      <c r="E108" s="1633">
        <f t="shared" si="3"/>
        <v>0</v>
      </c>
      <c r="F108" s="1633">
        <f t="shared" si="3"/>
        <v>0</v>
      </c>
      <c r="G108" s="1633">
        <f t="shared" si="3"/>
        <v>0</v>
      </c>
      <c r="H108" s="1633">
        <f t="shared" si="3"/>
        <v>297167</v>
      </c>
      <c r="I108" s="1633">
        <f t="shared" si="3"/>
        <v>0</v>
      </c>
      <c r="J108" s="1633">
        <f t="shared" si="3"/>
        <v>9791</v>
      </c>
      <c r="K108" s="1594">
        <f t="shared" si="3"/>
        <v>0</v>
      </c>
    </row>
    <row r="109" spans="1:12" ht="14.25" thickTop="1" thickBot="1" x14ac:dyDescent="0.25">
      <c r="A109" s="1409" t="s">
        <v>246</v>
      </c>
      <c r="B109" s="1410" t="s">
        <v>566</v>
      </c>
      <c r="C109" s="1641">
        <f t="shared" ref="C109:K109" si="4">SUM(C12,C18,C40,C63,C67,C75,C82,C93,C108,)</f>
        <v>2382856</v>
      </c>
      <c r="D109" s="1641">
        <f t="shared" si="4"/>
        <v>400223</v>
      </c>
      <c r="E109" s="1641">
        <f t="shared" si="4"/>
        <v>536051</v>
      </c>
      <c r="F109" s="1641">
        <f t="shared" si="4"/>
        <v>184960</v>
      </c>
      <c r="G109" s="1641">
        <f t="shared" si="4"/>
        <v>116039</v>
      </c>
      <c r="H109" s="1641">
        <f t="shared" si="4"/>
        <v>297353</v>
      </c>
      <c r="I109" s="1641">
        <f t="shared" si="4"/>
        <v>18638</v>
      </c>
      <c r="J109" s="1641">
        <f t="shared" si="4"/>
        <v>99299</v>
      </c>
      <c r="K109" s="1629">
        <f t="shared" si="4"/>
        <v>43356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1027274</v>
      </c>
      <c r="D117" s="1586">
        <v>162201</v>
      </c>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1027274</v>
      </c>
      <c r="D122" s="1633">
        <f t="shared" si="5"/>
        <v>162201</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28216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28216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f>11140+8520</f>
        <v>19660</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892</v>
      </c>
      <c r="D140" s="1573"/>
      <c r="E140" s="1640"/>
      <c r="F140" s="1582"/>
      <c r="G140" s="1574"/>
      <c r="H140" s="1575"/>
      <c r="I140" s="1575"/>
      <c r="J140" s="1575"/>
      <c r="K140" s="1575"/>
    </row>
    <row r="141" spans="1:11" ht="12.75" customHeight="1" thickBot="1" x14ac:dyDescent="0.25">
      <c r="A141" s="1406" t="s">
        <v>599</v>
      </c>
      <c r="B141" s="1414"/>
      <c r="C141" s="1633">
        <f>SUM(C134:C140)</f>
        <v>20552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1184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4756</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138710</v>
      </c>
      <c r="G152" s="1574"/>
      <c r="H152" s="1575"/>
      <c r="I152" s="1575"/>
      <c r="J152" s="1575"/>
      <c r="K152" s="1575"/>
    </row>
    <row r="153" spans="1:11" ht="12.75" customHeight="1" x14ac:dyDescent="0.2">
      <c r="A153" s="427" t="s">
        <v>1048</v>
      </c>
      <c r="B153" s="478">
        <v>3510</v>
      </c>
      <c r="C153" s="1632"/>
      <c r="D153" s="1573"/>
      <c r="E153" s="1640"/>
      <c r="F153" s="1573">
        <v>36347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175057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198550</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f>750+15840</f>
        <v>16590</v>
      </c>
      <c r="D168" s="1655"/>
      <c r="E168" s="1655"/>
      <c r="F168" s="1655"/>
      <c r="G168" s="1656"/>
      <c r="H168" s="1657"/>
      <c r="I168" s="1656"/>
      <c r="J168" s="1656"/>
      <c r="K168" s="1657"/>
    </row>
    <row r="169" spans="1:11" ht="12.75" customHeight="1" thickTop="1" thickBot="1" x14ac:dyDescent="0.25">
      <c r="A169" s="2280" t="s">
        <v>395</v>
      </c>
      <c r="B169" s="2281"/>
      <c r="C169" s="1658">
        <f t="shared" ref="C169:K169" si="6">SUM(C132,C141,C145,C146:C150,C155,C156:C167,C168)</f>
        <v>269848</v>
      </c>
      <c r="D169" s="1658">
        <f t="shared" si="6"/>
        <v>0</v>
      </c>
      <c r="E169" s="1658">
        <f t="shared" si="6"/>
        <v>0</v>
      </c>
      <c r="F169" s="1658">
        <f t="shared" si="6"/>
        <v>175057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1297122</v>
      </c>
      <c r="D170" s="1641">
        <f t="shared" si="7"/>
        <v>162201</v>
      </c>
      <c r="E170" s="1641">
        <f t="shared" si="7"/>
        <v>0</v>
      </c>
      <c r="F170" s="1641">
        <f t="shared" si="7"/>
        <v>175057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82" t="s">
        <v>1475</v>
      </c>
      <c r="B172" s="228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86" t="s">
        <v>1646</v>
      </c>
      <c r="B175" s="228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90" t="s">
        <v>1645</v>
      </c>
      <c r="B176" s="229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88" t="s">
        <v>780</v>
      </c>
      <c r="B181" s="228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84" t="s">
        <v>1780</v>
      </c>
      <c r="B182" s="228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63038</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63038</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66688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20203</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86891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104540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141152</v>
      </c>
      <c r="D203" s="1573"/>
      <c r="E203" s="1575"/>
      <c r="F203" s="1573"/>
      <c r="G203" s="1573"/>
      <c r="H203" s="1575"/>
      <c r="I203" s="1575"/>
      <c r="J203" s="1575"/>
      <c r="K203" s="1575"/>
    </row>
    <row r="204" spans="1:11" ht="12.75" customHeight="1" thickBot="1" x14ac:dyDescent="0.25">
      <c r="A204" s="1406" t="s">
        <v>397</v>
      </c>
      <c r="B204" s="1407"/>
      <c r="C204" s="1633">
        <f>SUM(C200:C203)</f>
        <v>245692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30000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30000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6976</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52402</v>
      </c>
      <c r="D213" s="1573"/>
      <c r="E213" s="1575"/>
      <c r="F213" s="1573"/>
      <c r="G213" s="1573"/>
      <c r="H213" s="1575"/>
      <c r="I213" s="1575"/>
      <c r="J213" s="1575"/>
      <c r="K213" s="1575"/>
    </row>
    <row r="214" spans="1:11" ht="12.75" customHeight="1" x14ac:dyDescent="0.2">
      <c r="A214" s="427" t="s">
        <v>1045</v>
      </c>
      <c r="B214" s="429">
        <v>4625</v>
      </c>
      <c r="C214" s="1632">
        <v>3210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62588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29812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14581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532602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532602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4212580</v>
      </c>
      <c r="D268" s="1641">
        <f t="shared" si="12"/>
        <v>562424</v>
      </c>
      <c r="E268" s="1641">
        <f t="shared" si="12"/>
        <v>536051</v>
      </c>
      <c r="F268" s="1641">
        <f t="shared" si="12"/>
        <v>360017</v>
      </c>
      <c r="G268" s="1641">
        <f t="shared" si="12"/>
        <v>116039</v>
      </c>
      <c r="H268" s="1641">
        <f t="shared" si="12"/>
        <v>297353</v>
      </c>
      <c r="I268" s="1641">
        <f t="shared" si="12"/>
        <v>18638</v>
      </c>
      <c r="J268" s="1641">
        <f t="shared" si="12"/>
        <v>99299</v>
      </c>
      <c r="K268" s="1629">
        <f t="shared" si="12"/>
        <v>43356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0.5" right="0.5" top="1.35" bottom="0.75" header="1" footer="0.5"/>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zoomScaleSheetLayoutView="130" workbookViewId="0">
      <pane ySplit="2" topLeftCell="A291" activePane="bottomLeft" state="frozen"/>
      <selection pane="bottomLeft" activeCell="G349" sqref="G34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9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00" t="s">
        <v>294</v>
      </c>
      <c r="B3" s="230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667238+29143+352889+25111+582420+2156+8718</f>
        <v>1667675</v>
      </c>
      <c r="D5" s="1573">
        <f>5373+84141+16074+3206+37449+9083+2468+13+79445+13808+97+8710</f>
        <v>259867</v>
      </c>
      <c r="E5" s="1573">
        <v>50</v>
      </c>
      <c r="F5" s="1573">
        <f>5004+27051+609+1518+4439+15361+1368+2423+4933-4</f>
        <v>62702</v>
      </c>
      <c r="G5" s="1573">
        <v>526</v>
      </c>
      <c r="H5" s="1573">
        <f>1353+4400</f>
        <v>5753</v>
      </c>
      <c r="I5" s="1574"/>
      <c r="J5" s="1574"/>
      <c r="K5" s="1672">
        <f>SUM(C5:J5)</f>
        <v>1996573</v>
      </c>
      <c r="L5" s="1573">
        <v>1938305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f>68610+31159</f>
        <v>99769</v>
      </c>
      <c r="D7" s="1574">
        <f>-143+265+1700+1491</f>
        <v>3313</v>
      </c>
      <c r="E7" s="1574">
        <f>900+6869+1800+18010+984</f>
        <v>28563</v>
      </c>
      <c r="F7" s="1574">
        <f>15478+2241+2019+2081+4355</f>
        <v>26174</v>
      </c>
      <c r="G7" s="1574">
        <f>5650+2800+3700</f>
        <v>12150</v>
      </c>
      <c r="H7" s="1574"/>
      <c r="I7" s="1574"/>
      <c r="J7" s="1574"/>
      <c r="K7" s="1672">
        <f t="shared" ref="K7:K32" si="0">SUM(C7:J7)</f>
        <v>169969</v>
      </c>
      <c r="L7" s="1573">
        <v>178683</v>
      </c>
    </row>
    <row r="8" spans="1:14" x14ac:dyDescent="0.2">
      <c r="A8" s="1274" t="s">
        <v>163</v>
      </c>
      <c r="B8" s="503">
        <v>1200</v>
      </c>
      <c r="C8" s="1573">
        <v>249008</v>
      </c>
      <c r="D8" s="1573">
        <f>754+24877+5946</f>
        <v>31577</v>
      </c>
      <c r="E8" s="1573"/>
      <c r="F8" s="1573"/>
      <c r="G8" s="1573"/>
      <c r="H8" s="1573"/>
      <c r="I8" s="1574"/>
      <c r="J8" s="1574"/>
      <c r="K8" s="1672">
        <f t="shared" si="0"/>
        <v>280585</v>
      </c>
      <c r="L8" s="1573">
        <v>280600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f>104262+879</f>
        <v>105141</v>
      </c>
      <c r="D10" s="1573">
        <f>44+8668+1375+15</f>
        <v>10102</v>
      </c>
      <c r="E10" s="1573"/>
      <c r="F10" s="1573">
        <v>16518</v>
      </c>
      <c r="G10" s="1573"/>
      <c r="H10" s="1573"/>
      <c r="I10" s="1574"/>
      <c r="J10" s="1574"/>
      <c r="K10" s="1672">
        <f t="shared" si="0"/>
        <v>131761</v>
      </c>
      <c r="L10" s="1573">
        <v>131310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41962</v>
      </c>
      <c r="D13" s="1573">
        <f>152+6366+1029</f>
        <v>7547</v>
      </c>
      <c r="E13" s="1573"/>
      <c r="F13" s="1573">
        <f>3062+3137</f>
        <v>6199</v>
      </c>
      <c r="G13" s="1573">
        <v>500</v>
      </c>
      <c r="H13" s="1573"/>
      <c r="I13" s="1574"/>
      <c r="J13" s="1574"/>
      <c r="K13" s="1672">
        <f t="shared" si="0"/>
        <v>56208</v>
      </c>
      <c r="L13" s="1573">
        <v>58100</v>
      </c>
    </row>
    <row r="14" spans="1:14" x14ac:dyDescent="0.2">
      <c r="A14" s="1274" t="s">
        <v>957</v>
      </c>
      <c r="B14" s="503">
        <v>1500</v>
      </c>
      <c r="C14" s="1573">
        <f>86489+30095</f>
        <v>116584</v>
      </c>
      <c r="D14" s="1573">
        <f>-86+963+175+5400+843</f>
        <v>7295</v>
      </c>
      <c r="E14" s="1573">
        <f>14432+139</f>
        <v>14571</v>
      </c>
      <c r="F14" s="1573">
        <f>28591+3122+919</f>
        <v>32632</v>
      </c>
      <c r="G14" s="1573">
        <v>3485</v>
      </c>
      <c r="H14" s="1573">
        <f>2195+940</f>
        <v>3135</v>
      </c>
      <c r="I14" s="1574"/>
      <c r="J14" s="1574"/>
      <c r="K14" s="1672">
        <f t="shared" si="0"/>
        <v>177702</v>
      </c>
      <c r="L14" s="1573">
        <v>144250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79476</v>
      </c>
      <c r="D17" s="1574">
        <f>-171+11101+1828</f>
        <v>12758</v>
      </c>
      <c r="E17" s="1574"/>
      <c r="F17" s="1574"/>
      <c r="G17" s="1574">
        <v>15500</v>
      </c>
      <c r="H17" s="1574"/>
      <c r="I17" s="1574"/>
      <c r="J17" s="1574"/>
      <c r="K17" s="1672">
        <f t="shared" si="0"/>
        <v>107734</v>
      </c>
      <c r="L17" s="1573">
        <v>107760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2359615</v>
      </c>
      <c r="D33" s="1674">
        <f t="shared" ref="D33:L33" si="1">SUM(D5:D32)</f>
        <v>332459</v>
      </c>
      <c r="E33" s="1674">
        <f t="shared" si="1"/>
        <v>43184</v>
      </c>
      <c r="F33" s="1674">
        <f t="shared" si="1"/>
        <v>144225</v>
      </c>
      <c r="G33" s="1674">
        <f t="shared" si="1"/>
        <v>32161</v>
      </c>
      <c r="H33" s="1674">
        <f t="shared" si="1"/>
        <v>8888</v>
      </c>
      <c r="I33" s="1674">
        <f t="shared" si="1"/>
        <v>0</v>
      </c>
      <c r="J33" s="1674">
        <f t="shared" si="1"/>
        <v>0</v>
      </c>
      <c r="K33" s="1674">
        <f t="shared" si="1"/>
        <v>2920532</v>
      </c>
      <c r="L33" s="1674">
        <f t="shared" si="1"/>
        <v>2839008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41212</v>
      </c>
      <c r="D37" s="1573">
        <f>112+7606+955</f>
        <v>8673</v>
      </c>
      <c r="E37" s="1573">
        <f>85-1</f>
        <v>84</v>
      </c>
      <c r="F37" s="1573">
        <v>213</v>
      </c>
      <c r="G37" s="1573"/>
      <c r="H37" s="1573"/>
      <c r="I37" s="1574"/>
      <c r="J37" s="1574"/>
      <c r="K37" s="1672">
        <f t="shared" si="2"/>
        <v>50182</v>
      </c>
      <c r="L37" s="1573">
        <v>52750</v>
      </c>
    </row>
    <row r="38" spans="1:14" x14ac:dyDescent="0.2">
      <c r="A38" s="1274" t="s">
        <v>196</v>
      </c>
      <c r="B38" s="503">
        <v>2130</v>
      </c>
      <c r="C38" s="1573">
        <v>50847</v>
      </c>
      <c r="D38" s="1573">
        <v>7927</v>
      </c>
      <c r="E38" s="1573">
        <v>167</v>
      </c>
      <c r="F38" s="1573"/>
      <c r="G38" s="1573"/>
      <c r="H38" s="1573"/>
      <c r="I38" s="1574"/>
      <c r="J38" s="1574"/>
      <c r="K38" s="1672">
        <f t="shared" si="2"/>
        <v>58941</v>
      </c>
      <c r="L38" s="1573">
        <v>66700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f>247074+100</f>
        <v>247174</v>
      </c>
      <c r="D41" s="1573">
        <v>36103</v>
      </c>
      <c r="E41" s="1573"/>
      <c r="F41" s="1573"/>
      <c r="G41" s="1573"/>
      <c r="H41" s="1573"/>
      <c r="I41" s="1574"/>
      <c r="J41" s="1574"/>
      <c r="K41" s="1672">
        <f t="shared" si="2"/>
        <v>283277</v>
      </c>
      <c r="L41" s="1573">
        <v>290800</v>
      </c>
    </row>
    <row r="42" spans="1:14" ht="12.75" customHeight="1" thickBot="1" x14ac:dyDescent="0.25">
      <c r="A42" s="1380" t="s">
        <v>556</v>
      </c>
      <c r="B42" s="1381" t="s">
        <v>711</v>
      </c>
      <c r="C42" s="1674">
        <f>SUM(C36:C41)</f>
        <v>339233</v>
      </c>
      <c r="D42" s="1674">
        <f t="shared" ref="D42:L42" si="3">SUM(D36:D41)</f>
        <v>52703</v>
      </c>
      <c r="E42" s="1674">
        <f t="shared" si="3"/>
        <v>251</v>
      </c>
      <c r="F42" s="1674">
        <f t="shared" si="3"/>
        <v>213</v>
      </c>
      <c r="G42" s="1674">
        <f t="shared" si="3"/>
        <v>0</v>
      </c>
      <c r="H42" s="1674">
        <f t="shared" si="3"/>
        <v>0</v>
      </c>
      <c r="I42" s="1674">
        <f t="shared" si="3"/>
        <v>0</v>
      </c>
      <c r="J42" s="1674">
        <f t="shared" si="3"/>
        <v>0</v>
      </c>
      <c r="K42" s="1674">
        <f t="shared" si="3"/>
        <v>392400</v>
      </c>
      <c r="L42" s="1674">
        <f t="shared" si="3"/>
        <v>410250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40714</v>
      </c>
      <c r="D44" s="1586"/>
      <c r="E44" s="1586">
        <f>8550+38520+6500-6</f>
        <v>53564</v>
      </c>
      <c r="F44" s="1586">
        <v>33448</v>
      </c>
      <c r="G44" s="1586"/>
      <c r="H44" s="1586"/>
      <c r="I44" s="1574"/>
      <c r="J44" s="1574"/>
      <c r="K44" s="1678">
        <f>SUM(C44:J44)</f>
        <v>127726</v>
      </c>
      <c r="L44" s="1586">
        <v>131390</v>
      </c>
    </row>
    <row r="45" spans="1:14" x14ac:dyDescent="0.2">
      <c r="A45" s="1274" t="s">
        <v>810</v>
      </c>
      <c r="B45" s="503">
        <v>2220</v>
      </c>
      <c r="C45" s="1573"/>
      <c r="D45" s="1573"/>
      <c r="E45" s="1573">
        <f>477+1</f>
        <v>478</v>
      </c>
      <c r="F45" s="1573">
        <f>837+780+1009+339</f>
        <v>2965</v>
      </c>
      <c r="G45" s="1573"/>
      <c r="H45" s="1573"/>
      <c r="I45" s="1574"/>
      <c r="J45" s="1574"/>
      <c r="K45" s="1678">
        <f>SUM(C45:J45)</f>
        <v>3443</v>
      </c>
      <c r="L45" s="1573">
        <v>3565</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40714</v>
      </c>
      <c r="D47" s="1674">
        <f t="shared" ref="D47:K47" si="4">SUM(D44:D46)</f>
        <v>0</v>
      </c>
      <c r="E47" s="1674">
        <f t="shared" si="4"/>
        <v>54042</v>
      </c>
      <c r="F47" s="1674">
        <f t="shared" si="4"/>
        <v>36413</v>
      </c>
      <c r="G47" s="1674">
        <f t="shared" si="4"/>
        <v>0</v>
      </c>
      <c r="H47" s="1674">
        <f t="shared" si="4"/>
        <v>0</v>
      </c>
      <c r="I47" s="1674">
        <f t="shared" si="4"/>
        <v>0</v>
      </c>
      <c r="J47" s="1674">
        <f t="shared" si="4"/>
        <v>0</v>
      </c>
      <c r="K47" s="1674">
        <f t="shared" si="4"/>
        <v>131169</v>
      </c>
      <c r="L47" s="1674">
        <f>SUM(L44:L46)</f>
        <v>134955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f>3981+896+1727+336+8260-1</f>
        <v>15199</v>
      </c>
      <c r="F49" s="1586">
        <f>269+18869</f>
        <v>19138</v>
      </c>
      <c r="G49" s="1586"/>
      <c r="H49" s="1586">
        <v>33882</v>
      </c>
      <c r="I49" s="1574"/>
      <c r="J49" s="1574"/>
      <c r="K49" s="1678">
        <f>SUM(C49:J49)</f>
        <v>68219</v>
      </c>
      <c r="L49" s="1586">
        <v>75700</v>
      </c>
    </row>
    <row r="50" spans="1:14" x14ac:dyDescent="0.2">
      <c r="A50" s="1274" t="s">
        <v>813</v>
      </c>
      <c r="B50" s="503">
        <v>2320</v>
      </c>
      <c r="C50" s="1573">
        <v>145676</v>
      </c>
      <c r="D50" s="1573">
        <f>-365+113+3898</f>
        <v>3646</v>
      </c>
      <c r="E50" s="1573">
        <v>582</v>
      </c>
      <c r="F50" s="1573">
        <v>56</v>
      </c>
      <c r="G50" s="1573"/>
      <c r="H50" s="1573">
        <v>999</v>
      </c>
      <c r="I50" s="1574"/>
      <c r="J50" s="1574"/>
      <c r="K50" s="1678">
        <f>SUM(C50:J50)</f>
        <v>150959</v>
      </c>
      <c r="L50" s="1573">
        <v>155890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145676</v>
      </c>
      <c r="D53" s="1674">
        <f t="shared" ref="D53:L53" si="5">SUM(D49:D52)</f>
        <v>3646</v>
      </c>
      <c r="E53" s="1674">
        <f t="shared" si="5"/>
        <v>15781</v>
      </c>
      <c r="F53" s="1674">
        <f t="shared" si="5"/>
        <v>19194</v>
      </c>
      <c r="G53" s="1674">
        <f t="shared" si="5"/>
        <v>0</v>
      </c>
      <c r="H53" s="1674">
        <f t="shared" si="5"/>
        <v>34881</v>
      </c>
      <c r="I53" s="1674">
        <f t="shared" si="5"/>
        <v>0</v>
      </c>
      <c r="J53" s="1674">
        <f t="shared" si="5"/>
        <v>0</v>
      </c>
      <c r="K53" s="1674">
        <f t="shared" si="5"/>
        <v>219178</v>
      </c>
      <c r="L53" s="1674">
        <f t="shared" si="5"/>
        <v>231590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f>180264+55423</f>
        <v>235687</v>
      </c>
      <c r="D55" s="1586">
        <f>-403+35+4835+6814</f>
        <v>11281</v>
      </c>
      <c r="E55" s="1586">
        <f>412-2</f>
        <v>410</v>
      </c>
      <c r="F55" s="1586"/>
      <c r="G55" s="1586"/>
      <c r="H55" s="1586">
        <v>649</v>
      </c>
      <c r="I55" s="1574"/>
      <c r="J55" s="1574"/>
      <c r="K55" s="1678">
        <f>SUM(C55:J55)</f>
        <v>248027</v>
      </c>
      <c r="L55" s="1586">
        <v>251105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235687</v>
      </c>
      <c r="D57" s="1679">
        <f t="shared" ref="D57:K57" si="6">SUM(D55:D56)</f>
        <v>11281</v>
      </c>
      <c r="E57" s="1679">
        <f t="shared" si="6"/>
        <v>410</v>
      </c>
      <c r="F57" s="1679">
        <f t="shared" si="6"/>
        <v>0</v>
      </c>
      <c r="G57" s="1679">
        <f t="shared" si="6"/>
        <v>0</v>
      </c>
      <c r="H57" s="1679">
        <f t="shared" si="6"/>
        <v>649</v>
      </c>
      <c r="I57" s="1679">
        <f t="shared" si="6"/>
        <v>0</v>
      </c>
      <c r="J57" s="1679">
        <f t="shared" si="6"/>
        <v>0</v>
      </c>
      <c r="K57" s="1679">
        <f t="shared" si="6"/>
        <v>248027</v>
      </c>
      <c r="L57" s="1674">
        <f>SUM(L55:L56)</f>
        <v>251105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58859</v>
      </c>
      <c r="D60" s="1573">
        <f>7877-1036</f>
        <v>6841</v>
      </c>
      <c r="E60" s="1573">
        <f>85-1</f>
        <v>84</v>
      </c>
      <c r="F60" s="1573">
        <v>80</v>
      </c>
      <c r="G60" s="1573"/>
      <c r="H60" s="1573"/>
      <c r="I60" s="1574"/>
      <c r="J60" s="1574"/>
      <c r="K60" s="1678">
        <f t="shared" si="7"/>
        <v>65864</v>
      </c>
      <c r="L60" s="1573">
        <v>68450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54549</v>
      </c>
      <c r="D63" s="1573">
        <v>9241</v>
      </c>
      <c r="E63" s="1573">
        <f>78476-1</f>
        <v>78475</v>
      </c>
      <c r="F63" s="1573">
        <v>3262</v>
      </c>
      <c r="G63" s="1573">
        <v>26222</v>
      </c>
      <c r="H63" s="1573"/>
      <c r="I63" s="1574"/>
      <c r="J63" s="1574"/>
      <c r="K63" s="1678">
        <f t="shared" si="7"/>
        <v>171749</v>
      </c>
      <c r="L63" s="1573">
        <v>174600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113408</v>
      </c>
      <c r="D65" s="1674">
        <f t="shared" ref="D65:L65" si="8">SUM(D59:D64)</f>
        <v>16082</v>
      </c>
      <c r="E65" s="1674">
        <f t="shared" si="8"/>
        <v>78559</v>
      </c>
      <c r="F65" s="1674">
        <f t="shared" si="8"/>
        <v>3342</v>
      </c>
      <c r="G65" s="1674">
        <f t="shared" si="8"/>
        <v>26222</v>
      </c>
      <c r="H65" s="1674">
        <f t="shared" si="8"/>
        <v>0</v>
      </c>
      <c r="I65" s="1674">
        <f t="shared" si="8"/>
        <v>0</v>
      </c>
      <c r="J65" s="1674">
        <f t="shared" si="8"/>
        <v>0</v>
      </c>
      <c r="K65" s="1674">
        <f t="shared" si="8"/>
        <v>237613</v>
      </c>
      <c r="L65" s="1674">
        <f t="shared" si="8"/>
        <v>243050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874718</v>
      </c>
      <c r="D74" s="1681">
        <f t="shared" ref="D74:K74" si="10">SUM(D42,D47,D53,D57,D65,D72,D73)</f>
        <v>83712</v>
      </c>
      <c r="E74" s="1681">
        <f t="shared" si="10"/>
        <v>149043</v>
      </c>
      <c r="F74" s="1681">
        <f t="shared" si="10"/>
        <v>59162</v>
      </c>
      <c r="G74" s="1681">
        <f t="shared" si="10"/>
        <v>26222</v>
      </c>
      <c r="H74" s="1681">
        <f t="shared" si="10"/>
        <v>35530</v>
      </c>
      <c r="I74" s="1681">
        <f t="shared" si="10"/>
        <v>0</v>
      </c>
      <c r="J74" s="1681">
        <f t="shared" si="10"/>
        <v>0</v>
      </c>
      <c r="K74" s="1681">
        <f t="shared" si="10"/>
        <v>1228387</v>
      </c>
      <c r="L74" s="1681">
        <f>SUM(L42,L47,L53,L57,L65,L72,L73)</f>
        <v>1270950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343386</v>
      </c>
      <c r="I79" s="1582"/>
      <c r="J79" s="1582"/>
      <c r="K79" s="1672">
        <f t="shared" si="11"/>
        <v>343386</v>
      </c>
      <c r="L79" s="1573">
        <v>343000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12600</v>
      </c>
      <c r="I81" s="1582"/>
      <c r="J81" s="1582"/>
      <c r="K81" s="1672">
        <f t="shared" si="11"/>
        <v>12600</v>
      </c>
      <c r="L81" s="1573">
        <v>12000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355986</v>
      </c>
      <c r="I84" s="1582"/>
      <c r="J84" s="1582"/>
      <c r="K84" s="1674">
        <f>SUM(K78:K83)</f>
        <v>355986</v>
      </c>
      <c r="L84" s="1674">
        <f>SUM(L78:L83)</f>
        <v>355000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355986</v>
      </c>
      <c r="I102" s="1582"/>
      <c r="J102" s="1582"/>
      <c r="K102" s="1681">
        <f>SUM(K84,K92,K100,K101)</f>
        <v>355986</v>
      </c>
      <c r="L102" s="1681">
        <f>SUM(L84,L92,L100,L101)</f>
        <v>355000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t="s">
        <v>1159</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3234333</v>
      </c>
      <c r="D114" s="1674">
        <f t="shared" ref="D114:K114" si="13">SUM(D33,D74,D75,D102,D112,D113)</f>
        <v>416171</v>
      </c>
      <c r="E114" s="1674">
        <f t="shared" si="13"/>
        <v>192227</v>
      </c>
      <c r="F114" s="1674">
        <f t="shared" si="13"/>
        <v>203387</v>
      </c>
      <c r="G114" s="1674">
        <f t="shared" si="13"/>
        <v>58383</v>
      </c>
      <c r="H114" s="1674">
        <f>SUM(H33,H74,H75,H102,H112,H113)</f>
        <v>400404</v>
      </c>
      <c r="I114" s="1674">
        <f t="shared" si="13"/>
        <v>0</v>
      </c>
      <c r="J114" s="1674">
        <f t="shared" si="13"/>
        <v>0</v>
      </c>
      <c r="K114" s="1674">
        <f t="shared" si="13"/>
        <v>4504905</v>
      </c>
      <c r="L114" s="1674">
        <f>SUM(L33,L74,L75,L102,L112,L113)</f>
        <v>4464958</v>
      </c>
    </row>
    <row r="115" spans="1:14" ht="13.5" thickTop="1" x14ac:dyDescent="0.2">
      <c r="A115" s="2292" t="s">
        <v>989</v>
      </c>
      <c r="B115" s="2293"/>
      <c r="C115" s="1675"/>
      <c r="D115" s="1675"/>
      <c r="E115" s="1675"/>
      <c r="F115" s="1675"/>
      <c r="G115" s="1675"/>
      <c r="H115" s="1675"/>
      <c r="I115" s="1675"/>
      <c r="J115" s="1675"/>
      <c r="K115" s="1689">
        <f>'Revenues 9-14'!C268-'Expenditures 15-22'!K114</f>
        <v>-292325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97" t="s">
        <v>293</v>
      </c>
      <c r="B117" s="229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f>253982+27661+1457</f>
        <v>283100</v>
      </c>
      <c r="D124" s="1573">
        <v>33486</v>
      </c>
      <c r="E124" s="1573">
        <f>50336+16293+12144</f>
        <v>78773</v>
      </c>
      <c r="F124" s="1573">
        <f>42667+22708+22812+91614-1</f>
        <v>179800</v>
      </c>
      <c r="G124" s="1573">
        <v>37571</v>
      </c>
      <c r="H124" s="1573"/>
      <c r="I124" s="1574"/>
      <c r="J124" s="1574"/>
      <c r="K124" s="1674">
        <f>SUM(C124:J124)</f>
        <v>612730</v>
      </c>
      <c r="L124" s="1573">
        <v>612586</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283100</v>
      </c>
      <c r="D127" s="1674">
        <f t="shared" ref="D127:L127" si="14">SUM(D122:D126)</f>
        <v>33486</v>
      </c>
      <c r="E127" s="1674">
        <f t="shared" si="14"/>
        <v>78773</v>
      </c>
      <c r="F127" s="1674">
        <f t="shared" si="14"/>
        <v>179800</v>
      </c>
      <c r="G127" s="1674">
        <f t="shared" si="14"/>
        <v>37571</v>
      </c>
      <c r="H127" s="1674">
        <f t="shared" si="14"/>
        <v>0</v>
      </c>
      <c r="I127" s="1674">
        <f t="shared" si="14"/>
        <v>0</v>
      </c>
      <c r="J127" s="1674">
        <f t="shared" si="14"/>
        <v>0</v>
      </c>
      <c r="K127" s="1674">
        <f t="shared" si="14"/>
        <v>612730</v>
      </c>
      <c r="L127" s="1674">
        <f t="shared" si="14"/>
        <v>612586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283100</v>
      </c>
      <c r="D129" s="1681">
        <f t="shared" ref="D129:L129" si="15">SUM(D120,D127,D128)</f>
        <v>33486</v>
      </c>
      <c r="E129" s="1681">
        <f t="shared" si="15"/>
        <v>78773</v>
      </c>
      <c r="F129" s="1681">
        <f t="shared" si="15"/>
        <v>179800</v>
      </c>
      <c r="G129" s="1681">
        <f t="shared" si="15"/>
        <v>37571</v>
      </c>
      <c r="H129" s="1681">
        <f t="shared" si="15"/>
        <v>0</v>
      </c>
      <c r="I129" s="1681">
        <f t="shared" si="15"/>
        <v>0</v>
      </c>
      <c r="J129" s="1681">
        <f t="shared" si="15"/>
        <v>0</v>
      </c>
      <c r="K129" s="1681">
        <f t="shared" si="15"/>
        <v>612730</v>
      </c>
      <c r="L129" s="1681">
        <f t="shared" si="15"/>
        <v>612586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309" t="s">
        <v>616</v>
      </c>
      <c r="B151" s="2289"/>
      <c r="C151" s="1674">
        <f>SUM(C129,C130,C139,C149,C150)</f>
        <v>283100</v>
      </c>
      <c r="D151" s="1674">
        <f t="shared" ref="D151:K151" si="16">SUM(D129,D130,D139,D149,D150)</f>
        <v>33486</v>
      </c>
      <c r="E151" s="1674">
        <f t="shared" si="16"/>
        <v>78773</v>
      </c>
      <c r="F151" s="1674">
        <f t="shared" si="16"/>
        <v>179800</v>
      </c>
      <c r="G151" s="1674">
        <f t="shared" si="16"/>
        <v>37571</v>
      </c>
      <c r="H151" s="1674">
        <f t="shared" si="16"/>
        <v>0</v>
      </c>
      <c r="I151" s="1674">
        <f t="shared" si="16"/>
        <v>0</v>
      </c>
      <c r="J151" s="1674">
        <f t="shared" si="16"/>
        <v>0</v>
      </c>
      <c r="K151" s="1674">
        <f t="shared" si="16"/>
        <v>612730</v>
      </c>
      <c r="L151" s="1674">
        <f>SUM(L129,L130,L139,L149,L150)</f>
        <v>612586</v>
      </c>
    </row>
    <row r="152" spans="1:14" ht="12.75" customHeight="1" thickTop="1" x14ac:dyDescent="0.2">
      <c r="A152" s="2312" t="s">
        <v>1168</v>
      </c>
      <c r="B152" s="2313"/>
      <c r="C152" s="1675"/>
      <c r="D152" s="1675"/>
      <c r="E152" s="1675"/>
      <c r="F152" s="1675"/>
      <c r="G152" s="1675"/>
      <c r="H152" s="1675"/>
      <c r="I152" s="1675"/>
      <c r="J152" s="1673"/>
      <c r="K152" s="1689">
        <f>'Revenues 9-14'!D268-'Expenditures 15-22'!K151</f>
        <v>-50306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97" t="s">
        <v>617</v>
      </c>
      <c r="B154" s="229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151460</v>
      </c>
      <c r="I169" s="1673"/>
      <c r="J169" s="1673"/>
      <c r="K169" s="1672">
        <f>SUM(C169:H169)</f>
        <v>151460</v>
      </c>
      <c r="L169" s="1695">
        <v>151460</v>
      </c>
    </row>
    <row r="170" spans="1:14" ht="33.75" customHeight="1" x14ac:dyDescent="0.2">
      <c r="A170" s="543" t="s">
        <v>1651</v>
      </c>
      <c r="B170" s="545" t="s">
        <v>31</v>
      </c>
      <c r="C170" s="1673"/>
      <c r="D170" s="1673"/>
      <c r="E170" s="1673"/>
      <c r="F170" s="1673"/>
      <c r="G170" s="1673"/>
      <c r="H170" s="1646">
        <v>465000</v>
      </c>
      <c r="I170" s="1673"/>
      <c r="J170" s="1673"/>
      <c r="K170" s="1672">
        <f>SUM(C170:J170)</f>
        <v>465000</v>
      </c>
      <c r="L170" s="1646">
        <v>465000</v>
      </c>
    </row>
    <row r="171" spans="1:14" ht="15.75" customHeight="1" x14ac:dyDescent="0.2">
      <c r="A171" s="507" t="s">
        <v>761</v>
      </c>
      <c r="B171" s="546" t="s">
        <v>84</v>
      </c>
      <c r="C171" s="1673"/>
      <c r="D171" s="1673"/>
      <c r="E171" s="1573"/>
      <c r="F171" s="1673"/>
      <c r="G171" s="1673"/>
      <c r="H171" s="1646">
        <v>803</v>
      </c>
      <c r="I171" s="1582"/>
      <c r="J171" s="1673"/>
      <c r="K171" s="1672">
        <f>SUM(C171:J171)</f>
        <v>803</v>
      </c>
      <c r="L171" s="1646">
        <v>803</v>
      </c>
    </row>
    <row r="172" spans="1:14" ht="12.75" customHeight="1" thickBot="1" x14ac:dyDescent="0.25">
      <c r="A172" s="1380" t="s">
        <v>633</v>
      </c>
      <c r="B172" s="1381" t="s">
        <v>489</v>
      </c>
      <c r="C172" s="1673"/>
      <c r="D172" s="1673"/>
      <c r="E172" s="1681">
        <f>SUM(E168,E169,E170,E171)</f>
        <v>0</v>
      </c>
      <c r="F172" s="1673"/>
      <c r="G172" s="1673"/>
      <c r="H172" s="1681">
        <f>SUM(H168,H169,H170,H171)</f>
        <v>617263</v>
      </c>
      <c r="I172" s="1684"/>
      <c r="J172" s="1673"/>
      <c r="K172" s="1681">
        <f>SUM(K168,K169,K170,K171)</f>
        <v>617263</v>
      </c>
      <c r="L172" s="1681">
        <f>SUM(L168,L169,L170,L171)</f>
        <v>617263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617263</v>
      </c>
      <c r="I174" s="1684"/>
      <c r="J174" s="1673"/>
      <c r="K174" s="1681">
        <f>SUM(K160,K172,K173)</f>
        <v>617263</v>
      </c>
      <c r="L174" s="1681">
        <f>SUM(L160,L172,L173)</f>
        <v>617263</v>
      </c>
    </row>
    <row r="175" spans="1:14" ht="13.5" thickTop="1" x14ac:dyDescent="0.2">
      <c r="A175" s="2292" t="s">
        <v>989</v>
      </c>
      <c r="B175" s="2293"/>
      <c r="C175" s="1673"/>
      <c r="D175" s="1673"/>
      <c r="E175" s="1673"/>
      <c r="F175" s="1673"/>
      <c r="G175" s="1673"/>
      <c r="H175" s="1675"/>
      <c r="I175" s="1673"/>
      <c r="J175" s="1673"/>
      <c r="K175" s="1689">
        <f>'Revenues 9-14'!E268-'Expenditures 15-22'!K174</f>
        <v>-81212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f>155487+27138+2677</f>
        <v>185302</v>
      </c>
      <c r="D182" s="1573">
        <v>7215</v>
      </c>
      <c r="E182" s="1573">
        <f>3773+144616+1987</f>
        <v>150376</v>
      </c>
      <c r="F182" s="1573">
        <f>39290+1</f>
        <v>39291</v>
      </c>
      <c r="G182" s="1573"/>
      <c r="H182" s="1573"/>
      <c r="I182" s="1574"/>
      <c r="J182" s="1574"/>
      <c r="K182" s="1672">
        <f>SUM(C182:J182)</f>
        <v>382184</v>
      </c>
      <c r="L182" s="1573">
        <v>381890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185302</v>
      </c>
      <c r="D184" s="1681">
        <f t="shared" ref="D184:J184" si="17">SUM(D180,D182,D183)</f>
        <v>7215</v>
      </c>
      <c r="E184" s="1681">
        <f t="shared" si="17"/>
        <v>150376</v>
      </c>
      <c r="F184" s="1681">
        <f t="shared" si="17"/>
        <v>39291</v>
      </c>
      <c r="G184" s="1681">
        <f t="shared" si="17"/>
        <v>0</v>
      </c>
      <c r="H184" s="1681">
        <f t="shared" si="17"/>
        <v>0</v>
      </c>
      <c r="I184" s="1681">
        <f t="shared" si="17"/>
        <v>0</v>
      </c>
      <c r="J184" s="1681">
        <f t="shared" si="17"/>
        <v>0</v>
      </c>
      <c r="K184" s="1681">
        <f>SUM(K180,K182,K183)</f>
        <v>382184</v>
      </c>
      <c r="L184" s="1681">
        <f>SUM(L180, L182:L183)</f>
        <v>381890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185302</v>
      </c>
      <c r="D210" s="1674">
        <f>SUM(D184,D185)</f>
        <v>7215</v>
      </c>
      <c r="E210" s="1674">
        <f>SUM(E184,E185,E196)</f>
        <v>150376</v>
      </c>
      <c r="F210" s="1674">
        <f>SUM(F184,F185)</f>
        <v>39291</v>
      </c>
      <c r="G210" s="1674">
        <f>SUM(G184,G185)</f>
        <v>0</v>
      </c>
      <c r="H210" s="1674">
        <f>SUM(H184,H185,H196,H208,H209)</f>
        <v>0</v>
      </c>
      <c r="I210" s="1674">
        <f>SUM(I184,I185)</f>
        <v>0</v>
      </c>
      <c r="J210" s="1674">
        <f>SUM(J184,J185)</f>
        <v>0</v>
      </c>
      <c r="K210" s="1672">
        <f>SUM(K184,K185,K196,K208,K209)</f>
        <v>382184</v>
      </c>
      <c r="L210" s="1674">
        <f>SUM(L184,L185,L196,L208,L209)</f>
        <v>381890</v>
      </c>
    </row>
    <row r="211" spans="1:14" ht="13.5" thickTop="1" x14ac:dyDescent="0.2">
      <c r="A211" s="2292" t="s">
        <v>989</v>
      </c>
      <c r="B211" s="2293"/>
      <c r="C211" s="1675"/>
      <c r="D211" s="1675"/>
      <c r="E211" s="1675"/>
      <c r="F211" s="1675"/>
      <c r="G211" s="1675"/>
      <c r="H211" s="1675"/>
      <c r="I211" s="1673"/>
      <c r="J211" s="1673"/>
      <c r="K211" s="1689">
        <f>'Revenues 9-14'!F268-'Expenditures 15-22'!K210</f>
        <v>-22167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14" t="s">
        <v>959</v>
      </c>
      <c r="B213" s="231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23733+1</f>
        <v>23734</v>
      </c>
      <c r="E215" s="1673"/>
      <c r="F215" s="1673"/>
      <c r="G215" s="1673"/>
      <c r="H215" s="1673"/>
      <c r="I215" s="1673"/>
      <c r="J215" s="1673"/>
      <c r="K215" s="1672">
        <f>D215</f>
        <v>23734</v>
      </c>
      <c r="L215" s="1573">
        <v>16550</v>
      </c>
    </row>
    <row r="216" spans="1:14" x14ac:dyDescent="0.2">
      <c r="A216" s="1274" t="s">
        <v>162</v>
      </c>
      <c r="B216" s="503" t="s">
        <v>961</v>
      </c>
      <c r="C216" s="1673"/>
      <c r="D216" s="1574">
        <v>10250</v>
      </c>
      <c r="E216" s="1673"/>
      <c r="F216" s="1673"/>
      <c r="G216" s="1673"/>
      <c r="H216" s="1673"/>
      <c r="I216" s="1673"/>
      <c r="J216" s="1673"/>
      <c r="K216" s="1672">
        <f t="shared" ref="K216:K228" si="19">D216</f>
        <v>10250</v>
      </c>
      <c r="L216" s="1573">
        <v>20755</v>
      </c>
    </row>
    <row r="217" spans="1:14" x14ac:dyDescent="0.2">
      <c r="A217" s="1274" t="s">
        <v>163</v>
      </c>
      <c r="B217" s="503">
        <v>1200</v>
      </c>
      <c r="C217" s="1673"/>
      <c r="D217" s="1573">
        <v>3479</v>
      </c>
      <c r="E217" s="1673"/>
      <c r="F217" s="1673"/>
      <c r="G217" s="1673"/>
      <c r="H217" s="1673"/>
      <c r="I217" s="1673"/>
      <c r="J217" s="1673"/>
      <c r="K217" s="1672">
        <f t="shared" si="19"/>
        <v>3479</v>
      </c>
      <c r="L217" s="1573">
        <v>3500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973</v>
      </c>
      <c r="E219" s="1673"/>
      <c r="F219" s="1673"/>
      <c r="G219" s="1673"/>
      <c r="H219" s="1673"/>
      <c r="I219" s="1673"/>
      <c r="J219" s="1673"/>
      <c r="K219" s="1672">
        <f t="shared" si="19"/>
        <v>973</v>
      </c>
      <c r="L219" s="1573">
        <v>1315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592</v>
      </c>
      <c r="E222" s="1673"/>
      <c r="F222" s="1673"/>
      <c r="G222" s="1673"/>
      <c r="H222" s="1673"/>
      <c r="I222" s="1673"/>
      <c r="J222" s="1673"/>
      <c r="K222" s="1672">
        <f t="shared" si="19"/>
        <v>592</v>
      </c>
      <c r="L222" s="1573">
        <v>600</v>
      </c>
    </row>
    <row r="223" spans="1:14" x14ac:dyDescent="0.2">
      <c r="A223" s="1274" t="s">
        <v>957</v>
      </c>
      <c r="B223" s="503">
        <v>1500</v>
      </c>
      <c r="C223" s="1673"/>
      <c r="D223" s="1573">
        <v>3959</v>
      </c>
      <c r="E223" s="1673"/>
      <c r="F223" s="1673"/>
      <c r="G223" s="1673"/>
      <c r="H223" s="1673"/>
      <c r="I223" s="1673"/>
      <c r="J223" s="1673"/>
      <c r="K223" s="1672">
        <f t="shared" si="19"/>
        <v>3959</v>
      </c>
      <c r="L223" s="1573">
        <v>4450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42987</v>
      </c>
      <c r="E229" s="1673"/>
      <c r="F229" s="1673"/>
      <c r="G229" s="1673"/>
      <c r="H229" s="1673"/>
      <c r="I229" s="1673"/>
      <c r="J229" s="1673"/>
      <c r="K229" s="1674">
        <f>SUM(K215:K228)</f>
        <v>42987</v>
      </c>
      <c r="L229" s="1674">
        <f>SUM(L215:L228)</f>
        <v>47170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555</v>
      </c>
      <c r="E233" s="1673"/>
      <c r="F233" s="1673"/>
      <c r="G233" s="1673"/>
      <c r="H233" s="1673"/>
      <c r="I233" s="1673"/>
      <c r="J233" s="1673"/>
      <c r="K233" s="1672">
        <f t="shared" si="20"/>
        <v>555</v>
      </c>
      <c r="L233" s="1573">
        <v>600</v>
      </c>
    </row>
    <row r="234" spans="1:12" x14ac:dyDescent="0.2">
      <c r="A234" s="1274" t="s">
        <v>196</v>
      </c>
      <c r="B234" s="503">
        <v>2130</v>
      </c>
      <c r="C234" s="1673"/>
      <c r="D234" s="1573">
        <v>10265</v>
      </c>
      <c r="E234" s="1673"/>
      <c r="F234" s="1673"/>
      <c r="G234" s="1673"/>
      <c r="H234" s="1673"/>
      <c r="I234" s="1673"/>
      <c r="J234" s="1673"/>
      <c r="K234" s="1672">
        <f t="shared" si="20"/>
        <v>10265</v>
      </c>
      <c r="L234" s="1573">
        <v>10600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47979</v>
      </c>
      <c r="E237" s="1673"/>
      <c r="F237" s="1673"/>
      <c r="G237" s="1673"/>
      <c r="H237" s="1673"/>
      <c r="I237" s="1673"/>
      <c r="J237" s="1673"/>
      <c r="K237" s="1672">
        <f t="shared" si="20"/>
        <v>47979</v>
      </c>
      <c r="L237" s="1573">
        <v>49500</v>
      </c>
    </row>
    <row r="238" spans="1:12" ht="12.75" customHeight="1" thickBot="1" x14ac:dyDescent="0.25">
      <c r="A238" s="1380" t="s">
        <v>556</v>
      </c>
      <c r="B238" s="1383" t="s">
        <v>711</v>
      </c>
      <c r="C238" s="1673"/>
      <c r="D238" s="1674">
        <f>SUM(D232:D237)</f>
        <v>58799</v>
      </c>
      <c r="E238" s="1673"/>
      <c r="F238" s="1673"/>
      <c r="G238" s="1673"/>
      <c r="H238" s="1673"/>
      <c r="I238" s="1673"/>
      <c r="J238" s="1673"/>
      <c r="K238" s="1674">
        <f>SUM(K232:K237)</f>
        <v>58799</v>
      </c>
      <c r="L238" s="1674">
        <f>SUM(L232:L237)</f>
        <v>60700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14</v>
      </c>
      <c r="E240" s="1673"/>
      <c r="F240" s="1673"/>
      <c r="G240" s="1673"/>
      <c r="H240" s="1673"/>
      <c r="I240" s="1673"/>
      <c r="J240" s="1673"/>
      <c r="K240" s="1678">
        <f>D240</f>
        <v>14</v>
      </c>
      <c r="L240" s="1586">
        <v>150</v>
      </c>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14</v>
      </c>
      <c r="E243" s="1673"/>
      <c r="F243" s="1673"/>
      <c r="G243" s="1673"/>
      <c r="H243" s="1673"/>
      <c r="I243" s="1673"/>
      <c r="J243" s="1673"/>
      <c r="K243" s="1674">
        <f>SUM(K240:K242)</f>
        <v>14</v>
      </c>
      <c r="L243" s="1674">
        <f>SUM(L240:L242)</f>
        <v>150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2112</v>
      </c>
      <c r="E246" s="1673"/>
      <c r="F246" s="1673"/>
      <c r="G246" s="1673"/>
      <c r="H246" s="1673"/>
      <c r="I246" s="1673"/>
      <c r="J246" s="1673"/>
      <c r="K246" s="1678">
        <f t="shared" ref="K246:K256" si="21">D246</f>
        <v>2112</v>
      </c>
      <c r="L246" s="1573">
        <v>2630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2112</v>
      </c>
      <c r="E257" s="1673"/>
      <c r="F257" s="1673"/>
      <c r="G257" s="1673"/>
      <c r="H257" s="1673"/>
      <c r="I257" s="1673"/>
      <c r="J257" s="1673"/>
      <c r="K257" s="1674">
        <f>SUM(K245:K256)</f>
        <v>2112</v>
      </c>
      <c r="L257" s="1674">
        <f>SUM(L245:L256)</f>
        <v>2630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13512</v>
      </c>
      <c r="E259" s="1673"/>
      <c r="F259" s="1673"/>
      <c r="G259" s="1673"/>
      <c r="H259" s="1673"/>
      <c r="I259" s="1673"/>
      <c r="J259" s="1673"/>
      <c r="K259" s="1678">
        <f>D259</f>
        <v>13512</v>
      </c>
      <c r="L259" s="1586">
        <v>14590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13512</v>
      </c>
      <c r="E261" s="1673"/>
      <c r="F261" s="1673"/>
      <c r="G261" s="1673"/>
      <c r="H261" s="1673"/>
      <c r="I261" s="1673"/>
      <c r="J261" s="1673"/>
      <c r="K261" s="1674">
        <f>SUM(K259:K260)</f>
        <v>13512</v>
      </c>
      <c r="L261" s="1674">
        <f>SUM(L259:L260)</f>
        <v>14590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11304</v>
      </c>
      <c r="E264" s="1673"/>
      <c r="F264" s="1673"/>
      <c r="G264" s="1673"/>
      <c r="H264" s="1673"/>
      <c r="I264" s="1673"/>
      <c r="J264" s="1673"/>
      <c r="K264" s="1678">
        <f t="shared" ref="K264:K269" si="22">D264</f>
        <v>11304</v>
      </c>
      <c r="L264" s="1573">
        <v>11400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39275</v>
      </c>
      <c r="E266" s="1673"/>
      <c r="F266" s="1673"/>
      <c r="G266" s="1673"/>
      <c r="H266" s="1673"/>
      <c r="I266" s="1673"/>
      <c r="J266" s="1673"/>
      <c r="K266" s="1678">
        <f t="shared" si="22"/>
        <v>39275</v>
      </c>
      <c r="L266" s="1573">
        <v>40150</v>
      </c>
    </row>
    <row r="267" spans="1:14" x14ac:dyDescent="0.2">
      <c r="A267" s="1274" t="s">
        <v>947</v>
      </c>
      <c r="B267" s="503">
        <v>2550</v>
      </c>
      <c r="C267" s="1673"/>
      <c r="D267" s="1573">
        <v>24198</v>
      </c>
      <c r="E267" s="1673"/>
      <c r="F267" s="1673"/>
      <c r="G267" s="1673"/>
      <c r="H267" s="1673"/>
      <c r="I267" s="1673"/>
      <c r="J267" s="1673"/>
      <c r="K267" s="1678">
        <f t="shared" si="22"/>
        <v>24198</v>
      </c>
      <c r="L267" s="1573">
        <v>25800</v>
      </c>
    </row>
    <row r="268" spans="1:14" x14ac:dyDescent="0.2">
      <c r="A268" s="1274" t="s">
        <v>100</v>
      </c>
      <c r="B268" s="503">
        <v>2560</v>
      </c>
      <c r="C268" s="1673"/>
      <c r="D268" s="1573">
        <v>10261</v>
      </c>
      <c r="E268" s="1673"/>
      <c r="F268" s="1673"/>
      <c r="G268" s="1673"/>
      <c r="H268" s="1673"/>
      <c r="I268" s="1673"/>
      <c r="J268" s="1673"/>
      <c r="K268" s="1678">
        <f t="shared" si="22"/>
        <v>10261</v>
      </c>
      <c r="L268" s="1573">
        <v>10700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85038</v>
      </c>
      <c r="E270" s="1673"/>
      <c r="F270" s="1673"/>
      <c r="G270" s="1673"/>
      <c r="H270" s="1673"/>
      <c r="I270" s="1673"/>
      <c r="J270" s="1673"/>
      <c r="K270" s="1674">
        <f>SUM(K263:K269)</f>
        <v>85038</v>
      </c>
      <c r="L270" s="1674">
        <f>SUM(L263:L269)</f>
        <v>88050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159475</v>
      </c>
      <c r="E279" s="1673"/>
      <c r="F279" s="1673"/>
      <c r="G279" s="1673"/>
      <c r="H279" s="1673"/>
      <c r="I279" s="1673"/>
      <c r="J279" s="1673"/>
      <c r="K279" s="1681">
        <f>SUM(K238,K243,K257,K261,K270,K277,K278)</f>
        <v>159475</v>
      </c>
      <c r="L279" s="1681">
        <f>SUM(L238,L243,L257,L261,L270,L277,L278)</f>
        <v>166120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310" t="s">
        <v>502</v>
      </c>
      <c r="B295" s="2311"/>
      <c r="C295" s="1673"/>
      <c r="D295" s="1674">
        <f>SUM(D229,D279,D280,D285)</f>
        <v>202462</v>
      </c>
      <c r="E295" s="1673"/>
      <c r="F295" s="1673"/>
      <c r="G295" s="1673"/>
      <c r="H295" s="1674">
        <f>H293</f>
        <v>0</v>
      </c>
      <c r="I295" s="1673"/>
      <c r="J295" s="1673"/>
      <c r="K295" s="1674">
        <f>SUM(K229,K279,K280,K285,K293,K294)</f>
        <v>202462</v>
      </c>
      <c r="L295" s="1674">
        <f>SUM(L229,L279,L280,L285,L293,L294)</f>
        <v>213290</v>
      </c>
    </row>
    <row r="296" spans="1:14" ht="13.5" thickTop="1" x14ac:dyDescent="0.2">
      <c r="A296" s="2292" t="s">
        <v>989</v>
      </c>
      <c r="B296" s="2293"/>
      <c r="C296" s="1673"/>
      <c r="D296" s="1675"/>
      <c r="E296" s="1673"/>
      <c r="F296" s="1673"/>
      <c r="G296" s="1673"/>
      <c r="H296" s="1707"/>
      <c r="I296" s="1673"/>
      <c r="J296" s="1673"/>
      <c r="K296" s="1689">
        <f>'Revenues 9-14'!G268-'Expenditures 15-22'!K295</f>
        <v>-86423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02" t="s">
        <v>142</v>
      </c>
      <c r="B298" s="229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155593</v>
      </c>
      <c r="H301" s="1573"/>
      <c r="I301" s="1574"/>
      <c r="J301" s="1574"/>
      <c r="K301" s="1672">
        <f>SUM(C301:J301)</f>
        <v>155593</v>
      </c>
      <c r="L301" s="1574">
        <v>160000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155593</v>
      </c>
      <c r="H303" s="1681">
        <f t="shared" si="23"/>
        <v>0</v>
      </c>
      <c r="I303" s="1681">
        <f t="shared" si="23"/>
        <v>0</v>
      </c>
      <c r="J303" s="1681">
        <f t="shared" si="23"/>
        <v>0</v>
      </c>
      <c r="K303" s="1681">
        <f t="shared" si="23"/>
        <v>155593</v>
      </c>
      <c r="L303" s="1681">
        <f t="shared" si="23"/>
        <v>160000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307" t="s">
        <v>275</v>
      </c>
      <c r="B312" s="2308"/>
      <c r="C312" s="1674">
        <f>SUM(C303)</f>
        <v>0</v>
      </c>
      <c r="D312" s="1674">
        <f>SUM(D303)</f>
        <v>0</v>
      </c>
      <c r="E312" s="1674">
        <f>SUM(E303,E310)</f>
        <v>0</v>
      </c>
      <c r="F312" s="1674">
        <f>SUM(F303)</f>
        <v>0</v>
      </c>
      <c r="G312" s="1674">
        <f>SUM(G303)</f>
        <v>155593</v>
      </c>
      <c r="H312" s="1674">
        <f>SUM(H303,H310)</f>
        <v>0</v>
      </c>
      <c r="I312" s="1674">
        <f>SUM(I303)</f>
        <v>0</v>
      </c>
      <c r="J312" s="1674">
        <f>SUM(J303)</f>
        <v>0</v>
      </c>
      <c r="K312" s="1674">
        <f>SUM(K303,K310,K311)</f>
        <v>155593</v>
      </c>
      <c r="L312" s="1674">
        <f>SUM(L303,L310,L311)</f>
        <v>160000</v>
      </c>
      <c r="M312" s="539"/>
      <c r="N312" s="539"/>
    </row>
    <row r="313" spans="1:14" ht="13.5" thickTop="1" x14ac:dyDescent="0.2">
      <c r="A313" s="2303" t="s">
        <v>989</v>
      </c>
      <c r="B313" s="2304"/>
      <c r="C313" s="1677"/>
      <c r="D313" s="1677"/>
      <c r="E313" s="1677"/>
      <c r="F313" s="1677"/>
      <c r="G313" s="1677"/>
      <c r="H313" s="1677"/>
      <c r="I313" s="1677"/>
      <c r="J313" s="1677"/>
      <c r="K313" s="1696">
        <f>'Revenues 9-14'!H268-'Expenditures 15-22'!K312</f>
        <v>141760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16" t="s">
        <v>148</v>
      </c>
      <c r="B315" s="231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18" t="s">
        <v>892</v>
      </c>
      <c r="B317" s="231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v>24000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29000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58000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13463</v>
      </c>
      <c r="F327" s="1574"/>
      <c r="G327" s="1574"/>
      <c r="H327" s="1574"/>
      <c r="I327" s="1574"/>
      <c r="J327" s="1574"/>
      <c r="K327" s="1672">
        <f t="shared" si="24"/>
        <v>13463</v>
      </c>
      <c r="L327" s="1574">
        <v>14000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13463</v>
      </c>
      <c r="F330" s="1674">
        <f t="shared" si="25"/>
        <v>0</v>
      </c>
      <c r="G330" s="1674">
        <f t="shared" si="25"/>
        <v>0</v>
      </c>
      <c r="H330" s="1674">
        <f t="shared" si="25"/>
        <v>0</v>
      </c>
      <c r="I330" s="1674">
        <f t="shared" si="25"/>
        <v>0</v>
      </c>
      <c r="J330" s="1674">
        <f t="shared" si="25"/>
        <v>0</v>
      </c>
      <c r="K330" s="1674">
        <f>SUM(K319:K329)</f>
        <v>13463</v>
      </c>
      <c r="L330" s="1674">
        <f>SUM(L319:L329)</f>
        <v>125000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13463</v>
      </c>
      <c r="F342" s="1674">
        <f>SUM(F330)</f>
        <v>0</v>
      </c>
      <c r="G342" s="1674">
        <f>SUM(G330)</f>
        <v>0</v>
      </c>
      <c r="H342" s="1674">
        <f>SUM(H330,H334,H340)</f>
        <v>0</v>
      </c>
      <c r="I342" s="1674">
        <f>SUM(I330)</f>
        <v>0</v>
      </c>
      <c r="J342" s="1674">
        <f>SUM(J330)</f>
        <v>0</v>
      </c>
      <c r="K342" s="1674">
        <f>SUM(K330,K334,K340)</f>
        <v>13463</v>
      </c>
      <c r="L342" s="1681">
        <f>SUM(L330,L334,L340,L341)</f>
        <v>125000</v>
      </c>
    </row>
    <row r="343" spans="1:14" ht="12.75" customHeight="1" thickTop="1" x14ac:dyDescent="0.2">
      <c r="A343" s="2305" t="s">
        <v>989</v>
      </c>
      <c r="B343" s="2306"/>
      <c r="C343" s="1673"/>
      <c r="D343" s="1673"/>
      <c r="E343" s="1673"/>
      <c r="F343" s="1673"/>
      <c r="G343" s="1673"/>
      <c r="H343" s="1673"/>
      <c r="I343" s="1673"/>
      <c r="J343" s="1673"/>
      <c r="K343" s="1689">
        <f>'Revenues 9-14'!J268-'Expenditures 15-22'!K342</f>
        <v>85836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95" t="s">
        <v>960</v>
      </c>
      <c r="B345" s="229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1065</v>
      </c>
      <c r="F348" s="1573"/>
      <c r="G348" s="1573">
        <v>28116</v>
      </c>
      <c r="H348" s="1573"/>
      <c r="I348" s="1574"/>
      <c r="J348" s="1574"/>
      <c r="K348" s="1672">
        <f>SUM(C348:J348)</f>
        <v>29181</v>
      </c>
      <c r="L348" s="1573">
        <v>46200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1065</v>
      </c>
      <c r="F350" s="1674">
        <f t="shared" si="26"/>
        <v>0</v>
      </c>
      <c r="G350" s="1674">
        <f t="shared" si="26"/>
        <v>28116</v>
      </c>
      <c r="H350" s="1674">
        <f t="shared" si="26"/>
        <v>0</v>
      </c>
      <c r="I350" s="1674">
        <f t="shared" si="26"/>
        <v>0</v>
      </c>
      <c r="J350" s="1674">
        <f t="shared" si="26"/>
        <v>0</v>
      </c>
      <c r="K350" s="1674">
        <f t="shared" si="26"/>
        <v>29181</v>
      </c>
      <c r="L350" s="1674">
        <f t="shared" si="26"/>
        <v>46200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1065</v>
      </c>
      <c r="F352" s="1674">
        <f t="shared" si="27"/>
        <v>0</v>
      </c>
      <c r="G352" s="1674">
        <f t="shared" si="27"/>
        <v>28116</v>
      </c>
      <c r="H352" s="1674">
        <f t="shared" si="27"/>
        <v>0</v>
      </c>
      <c r="I352" s="1674">
        <f t="shared" si="27"/>
        <v>0</v>
      </c>
      <c r="J352" s="1674">
        <f t="shared" si="27"/>
        <v>0</v>
      </c>
      <c r="K352" s="1674">
        <f t="shared" si="27"/>
        <v>29181</v>
      </c>
      <c r="L352" s="1674">
        <f t="shared" si="27"/>
        <v>46200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1065</v>
      </c>
      <c r="F367" s="1674">
        <f t="shared" si="28"/>
        <v>0</v>
      </c>
      <c r="G367" s="1674">
        <f t="shared" si="28"/>
        <v>28116</v>
      </c>
      <c r="H367" s="1674">
        <f t="shared" si="28"/>
        <v>0</v>
      </c>
      <c r="I367" s="1674">
        <f t="shared" si="28"/>
        <v>0</v>
      </c>
      <c r="J367" s="1674">
        <f t="shared" si="28"/>
        <v>0</v>
      </c>
      <c r="K367" s="1674">
        <f t="shared" si="28"/>
        <v>29181</v>
      </c>
      <c r="L367" s="1674">
        <f t="shared" si="28"/>
        <v>46200</v>
      </c>
    </row>
    <row r="368" spans="1:14" ht="13.5" thickTop="1" x14ac:dyDescent="0.2">
      <c r="A368" s="2292" t="s">
        <v>989</v>
      </c>
      <c r="B368" s="2293"/>
      <c r="C368" s="1694"/>
      <c r="D368" s="1694"/>
      <c r="E368" s="1677"/>
      <c r="F368" s="1677"/>
      <c r="G368" s="1677"/>
      <c r="H368" s="1677"/>
      <c r="I368" s="1677"/>
      <c r="J368" s="1676"/>
      <c r="K368" s="1672">
        <f>'Revenues 9-14'!K268-'Expenditures 15-22'!K367</f>
        <v>14175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0.5" right="0.5" top="1.35" bottom="0.75" header="1" footer="0.5"/>
  <pageSetup scale="68"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4" manualBreakCount="4">
    <brk id="47" max="16383" man="1"/>
    <brk id="139" max="16383" man="1"/>
    <brk id="229" max="16383" man="1"/>
    <brk id="27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d21dc803-237d-4c68-8692-8d731fd29118"/>
    <ds:schemaRef ds:uri="http://schemas.microsoft.com/office/infopath/2007/PartnerControls"/>
    <ds:schemaRef ds:uri="http://www.w3.org/XML/1998/namespace"/>
    <ds:schemaRef ds:uri="http://schemas.openxmlformats.org/package/2006/metadata/core-properties"/>
    <ds:schemaRef ds:uri="http://purl.org/dc/elements/1.1/"/>
    <ds:schemaRef ds:uri="http://schemas.microsoft.com/sharepoint/v3"/>
    <ds:schemaRef ds:uri="http://purl.org/dc/terms/"/>
    <ds:schemaRef ds:uri="4d435f69-8686-490b-bd6d-b153bf22ab5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Table of Contents - Excel</vt:lpstr>
      <vt:lpstr>Opinion, GAS Rept &amp; Notes - PDF</vt:lpstr>
      <vt:lpstr>Activity Funds - Excel</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2020-08-21T21:23:46Z</cp:lastPrinted>
  <dcterms:created xsi:type="dcterms:W3CDTF">2003-10-29T19:06:34Z</dcterms:created>
  <dcterms:modified xsi:type="dcterms:W3CDTF">2020-10-18T17:40:44Z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