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907C9A9-B5C3-4F47-B64E-F540B930A3B6}" xr6:coauthVersionLast="36" xr6:coauthVersionMax="36" xr10:uidLastSave="{00000000-0000-0000-0000-000000000000}"/>
  <bookViews>
    <workbookView xWindow="3465" yWindow="975" windowWidth="23250" windowHeight="1257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F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D22" i="37"/>
  <c r="L22" i="37"/>
  <c r="D24" i="37"/>
  <c r="B4270" i="106" s="1"/>
  <c r="D4270" i="106" s="1"/>
  <c r="B5752" i="106"/>
  <c r="D5752" i="106" s="1"/>
  <c r="H33" i="118" l="1"/>
  <c r="G14" i="4"/>
  <c r="B2609" i="106" s="1"/>
  <c r="D2609" i="106" s="1"/>
  <c r="F72" i="34"/>
  <c r="F71" i="34"/>
  <c r="F69" i="34"/>
  <c r="F67" i="34"/>
  <c r="F42" i="34"/>
  <c r="D68" i="36"/>
  <c r="H15" i="184"/>
  <c r="G30" i="108"/>
  <c r="J210" i="29"/>
  <c r="B7072" i="106" s="1"/>
  <c r="D7072" i="106" s="1"/>
  <c r="B7135" i="106"/>
  <c r="D7135" i="106" s="1"/>
  <c r="E58" i="184"/>
  <c r="N58" i="184" s="1"/>
  <c r="F34" i="34"/>
  <c r="B7826" i="106" s="1"/>
  <c r="D7826" i="106" s="1"/>
  <c r="H76" i="4"/>
  <c r="B3298" i="106" s="1"/>
  <c r="D3298" i="106" s="1"/>
  <c r="D31" i="108"/>
  <c r="E16" i="184"/>
  <c r="H16" i="184" s="1"/>
  <c r="F37" i="34"/>
  <c r="B7829" i="106" s="1"/>
  <c r="D7829" i="106" s="1"/>
  <c r="H12" i="184"/>
  <c r="B7180" i="106"/>
  <c r="D7180" i="106" s="1"/>
  <c r="E63" i="184"/>
  <c r="N63" i="184" s="1"/>
  <c r="F77" i="4"/>
  <c r="B3255" i="106" s="1"/>
  <c r="D3255" i="106" s="1"/>
  <c r="G33" i="108"/>
  <c r="E17" i="184"/>
  <c r="H17" i="184" s="1"/>
  <c r="B7171" i="106"/>
  <c r="D7171" i="106" s="1"/>
  <c r="E62" i="184"/>
  <c r="N62" i="184" s="1"/>
  <c r="B7198" i="106"/>
  <c r="D7198" i="106" s="1"/>
  <c r="E65" i="184"/>
  <c r="N65" i="184" s="1"/>
  <c r="B7189" i="106"/>
  <c r="D7189" i="106" s="1"/>
  <c r="E64" i="184"/>
  <c r="N64" i="184" s="1"/>
  <c r="B7162" i="106"/>
  <c r="D7162" i="106" s="1"/>
  <c r="E61" i="184"/>
  <c r="N61" i="184" s="1"/>
  <c r="B7126" i="106"/>
  <c r="D7126" i="106" s="1"/>
  <c r="E57" i="184"/>
  <c r="B7153" i="106"/>
  <c r="D7153" i="106" s="1"/>
  <c r="E60" i="184"/>
  <c r="N60" i="184" s="1"/>
  <c r="B7696" i="106"/>
  <c r="D7696" i="106" s="1"/>
  <c r="E66" i="184"/>
  <c r="N66" i="184" s="1"/>
  <c r="C342" i="29"/>
  <c r="B7216" i="106" s="1"/>
  <c r="D7216" i="106" s="1"/>
  <c r="B7705" i="106"/>
  <c r="D7705" i="106" s="1"/>
  <c r="E67" i="184"/>
  <c r="N6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B3622" i="106" s="1"/>
  <c r="D3622" i="106" s="1"/>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B7235" i="106" l="1"/>
  <c r="D7235" i="106" s="1"/>
  <c r="H19" i="184"/>
  <c r="L20" i="184" s="1"/>
  <c r="L16" i="11"/>
  <c r="B2061" i="106" s="1"/>
  <c r="D2061" i="106" s="1"/>
  <c r="F41" i="108"/>
  <c r="G43" i="108" s="1"/>
  <c r="B1381" i="106"/>
  <c r="D1381" i="106" s="1"/>
  <c r="D44" i="36"/>
  <c r="B7220" i="106"/>
  <c r="D7220" i="106" s="1"/>
  <c r="F75" i="34"/>
  <c r="B7886" i="106" s="1"/>
  <c r="D7886" i="106" s="1"/>
  <c r="H151" i="29"/>
  <c r="B1273" i="106" s="1"/>
  <c r="D1273" i="106" s="1"/>
  <c r="L114" i="29"/>
  <c r="N57" i="184"/>
  <c r="N68" i="184" s="1"/>
  <c r="E68" i="184"/>
  <c r="K365" i="29"/>
  <c r="B7243" i="106" s="1"/>
  <c r="D7243" i="106" s="1"/>
  <c r="E367" i="29"/>
  <c r="B3635" i="106"/>
  <c r="B5527" i="106"/>
  <c r="D5527" i="106" s="1"/>
  <c r="B7222" i="106"/>
  <c r="D7222" i="106" s="1"/>
  <c r="F76" i="34"/>
  <c r="B7887" i="106" s="1"/>
  <c r="D7887" i="106"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B1145" i="106" l="1"/>
  <c r="D1145" i="106" s="1"/>
  <c r="K367" i="29"/>
  <c r="B3678" i="106" s="1"/>
  <c r="D3678"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J20" i="4" l="1"/>
  <c r="F77" i="34"/>
  <c r="B7834" i="106" s="1"/>
  <c r="D7834" i="106" s="1"/>
  <c r="F8" i="4"/>
  <c r="F10" i="4" s="1"/>
  <c r="B4125" i="106" s="1"/>
  <c r="D4125" i="106" s="1"/>
  <c r="K17" i="4"/>
  <c r="B3575" i="106" s="1"/>
  <c r="D3575"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K20" i="4" l="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<sst xmlns="http://schemas.openxmlformats.org/spreadsheetml/2006/main" count="5148" uniqueCount="2082">
  <si>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</si>
  <si>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</si>
  <si>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</si>
  <si>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</si>
  <si>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</si>
  <si>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</si>
  <si>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</si>
  <si>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</si>
  <si>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</si>
  <si>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</si>
  <si>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</si>
  <si>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</si>
  <si>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</si>
  <si>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</si>
  <si>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</si>
  <si>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</si>
  <si>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</si>
  <si>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</si>
  <si>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</si>
  <si>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</si>
  <si>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</si>
  <si>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</si>
  <si>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</si>
  <si>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</si>
  <si>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</si>
  <si>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</si>
  <si>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</si>
  <si>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</si>
  <si>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</si>
  <si>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</si>
  <si>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</si>
  <si>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</si>
  <si>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</si>
  <si>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</si>
  <si>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</si>
  <si>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</si>
  <si>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</si>
  <si>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</si>
  <si>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</si>
  <si>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</si>
  <si>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</si>
  <si>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</si>
  <si>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</si>
  <si>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</si>
  <si>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</si>
  <si>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</si>
  <si>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</si>
  <si>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</si>
  <si>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</si>
  <si>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</si>
  <si>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</si>
  <si>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</si>
  <si>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</si>
  <si>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</si>
  <si>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</si>
  <si>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</si>
  <si>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</si>
  <si>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</si>
  <si>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</si>
  <si>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</si>
  <si>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</si>
  <si>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</si>
  <si>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</si>
  <si>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</si>
  <si>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</si>
  <si>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</si>
  <si>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</si>
  <si>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</si>
  <si>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</si>
  <si>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</si>
  <si>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</si>
  <si>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</si>
  <si>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</si>
  <si>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</si>
  <si>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</si>
  <si>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</si>
  <si>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</si>
  <si>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</si>
  <si>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</si>
  <si>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</si>
  <si>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</si>
  <si>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</si>
  <si>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</si>
  <si>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</si>
  <si>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</si>
  <si>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</si>
  <si>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</si>
  <si>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</si>
  <si>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</si>
  <si>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</si>
  <si>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</si>
  <si>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</si>
  <si>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</si>
  <si>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</si>
  <si>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</si>
  <si>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</si>
  <si>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</si>
  <si>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</si>
  <si>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</si>
  <si>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</si>
  <si>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</si>
  <si>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</si>
  <si>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</si>
  <si>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</si>
  <si>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</si>
  <si>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</si>
  <si>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</si>
  <si>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</si>
  <si>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</si>
  <si>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</si>
  <si>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</si>
  <si>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</si>
  <si>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</si>
  <si>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</si>
  <si>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</si>
  <si>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</si>
  <si>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</si>
  <si>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</si>
  <si>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</si>
  <si>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</si>
  <si>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</si>
  <si>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</si>
  <si>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</si>
  <si>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</si>
  <si>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</si>
  <si>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</si>
  <si>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</si>
  <si>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</si>
  <si>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</si>
  <si>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</si>
  <si>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</si>
  <si>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</si>
  <si>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</si>
  <si>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</si>
  <si>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</si>
  <si>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</si>
  <si>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</si>
  <si>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</si>
  <si>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</si>
  <si>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</si>
  <si>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</si>
  <si>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</si>
  <si>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</si>
  <si>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</si>
  <si>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</si>
  <si>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</si>
  <si>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</si>
  <si>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</si>
  <si>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</si>
  <si>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</si>
  <si>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</si>
  <si>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</si>
  <si>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</si>
  <si>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</si>
  <si>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</si>
  <si>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</si>
  <si>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</si>
  <si>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</si>
  <si>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</si>
  <si>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</si>
  <si>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</si>
  <si>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</si>
  <si>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</si>
  <si>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</si>
  <si>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</si>
  <si>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</si>
  <si>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</si>
  <si>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</si>
  <si>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</si>
  <si>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</si>
  <si>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</si>
  <si>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</si>
  <si>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</si>
  <si>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</si>
  <si>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</si>
  <si>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</si>
  <si>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</si>
  <si>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</si>
  <si>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</si>
  <si>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</si>
  <si>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</si>
  <si>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</si>
  <si>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</si>
  <si>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</si>
  <si>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</si>
  <si>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</si>
  <si>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</si>
  <si>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</si>
  <si>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</si>
  <si>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</si>
  <si>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</si>
  <si>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</si>
  <si>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</si>
  <si>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</si>
  <si>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</si>
  <si>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</si>
  <si>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</si>
  <si>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</si>
  <si>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</si>
  <si>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</si>
  <si>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</si>
  <si>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</si>
  <si>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</si>
  <si>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</si>
  <si>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</si>
  <si>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</si>
  <si>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</si>
  <si>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</si>
  <si>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</si>
  <si>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</si>
  <si>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</si>
  <si>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</si>
  <si>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</si>
  <si>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</si>
  <si>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</si>
  <si>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</si>
  <si>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</si>
  <si>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</si>
  <si>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</si>
  <si>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</si>
  <si>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</si>
  <si>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</si>
  <si>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</si>
  <si>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</si>
  <si>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</si>
  <si>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</si>
  <si>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</si>
  <si>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</si>
  <si>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</si>
  <si>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</si>
  <si>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</si>
  <si>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</si>
  <si>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</si>
  <si>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</si>
  <si>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</si>
  <si>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</si>
  <si>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</si>
  <si>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</si>
  <si>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</si>
  <si>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</si>
  <si>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</si>
  <si>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</si>
  <si>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</si>
  <si>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</si>
  <si>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</si>
  <si>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</si>
  <si>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</si>
  <si>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</si>
  <si>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</si>
  <si>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</si>
  <si>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</si>
  <si>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</si>
  <si>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</si>
  <si>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</si>
  <si>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</si>
  <si>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</si>
  <si>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</si>
  <si>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</si>
  <si>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</si>
  <si>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</si>
  <si>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</si>
  <si>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</si>
  <si>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</si>
  <si>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</si>
  <si>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</si>
  <si>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</si>
  <si>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</si>
  <si>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</si>
  <si>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</si>
  <si>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</si>
  <si>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</si>
  <si>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</si>
  <si>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</si>
  <si>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</si>
  <si>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</si>
  <si>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</si>
  <si>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</si>
  <si>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</si>
  <si>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</si>
  <si>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</si>
  <si>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</si>
  <si>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</si>
  <si>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</si>
  <si>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</si>
  <si>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</si>
  <si>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</si>
  <si>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</si>
  <si>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</si>
  <si>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</si>
  <si>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</si>
  <si>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</si>
  <si>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</si>
  <si>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</si>
  <si>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</si>
  <si>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</si>
  <si>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</si>
  <si>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</si>
  <si>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</si>
  <si>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</si>
  <si>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</si>
  <si>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</si>
  <si>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</si>
  <si>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</si>
  <si>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</si>
  <si>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</si>
  <si>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</si>
  <si>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</si>
  <si>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</si>
  <si>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</si>
  <si>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</si>
  <si>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</si>
  <si>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</si>
  <si>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</si>
  <si>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</si>
  <si>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</si>
  <si>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</si>
  <si>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</si>
  <si>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</si>
  <si>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</si>
  <si>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</si>
  <si>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</si>
  <si>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</si>
  <si>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</si>
  <si>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</si>
  <si>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</si>
  <si>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</si>
  <si>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</si>
  <si>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</si>
  <si>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</si>
  <si>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</si>
  <si>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</si>
  <si>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</si>
  <si>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</si>
  <si>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</si>
  <si>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</si>
  <si>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</si>
  <si>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</si>
  <si>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</si>
  <si>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</si>
  <si>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</si>
  <si>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</si>
  <si>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</si>
  <si>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</si>
  <si>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</si>
  <si>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</si>
  <si>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</si>
  <si>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</si>
  <si>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</si>
  <si>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</si>
  <si>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</si>
  <si>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</si>
  <si>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</si>
  <si>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</si>
  <si>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</si>
  <si>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</si>
  <si>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</si>
  <si>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</si>
  <si>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</si>
  <si>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</si>
  <si>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</si>
  <si>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</si>
  <si>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</si>
  <si>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</si>
  <si>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</si>
  <si>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</si>
  <si>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</si>
  <si>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</si>
  <si>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</si>
  <si>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</si>
  <si>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</si>
  <si>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</si>
  <si>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</si>
  <si>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</si>
  <si>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</si>
  <si>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</si>
  <si>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</si>
  <si>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</si>
  <si>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</si>
  <si>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</si>
  <si>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</si>
  <si>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</si>
  <si>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</si>
  <si>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</si>
  <si>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</si>
  <si>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</si>
  <si>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</si>
  <si>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</si>
  <si>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</si>
  <si>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</si>
  <si>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</si>
  <si>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</si>
  <si>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</si>
  <si>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</si>
  <si>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</si>
  <si>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</si>
  <si>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</si>
  <si>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</si>
  <si>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</si>
  <si>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</si>
  <si>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</si>
  <si>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</si>
  <si>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</si>
  <si>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</si>
  <si>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</si>
  <si>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</si>
  <si>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</si>
  <si>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</si>
  <si>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</si>
  <si>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</si>
  <si>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</si>
  <si>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</si>
  <si>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</si>
  <si>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</si>
  <si>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</si>
  <si>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</si>
  <si>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</si>
  <si>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</si>
  <si>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</si>
  <si>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</si>
  <si>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</si>
  <si>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</si>
  <si>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</si>
  <si>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</si>
  <si>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</si>
  <si>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</si>
  <si>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</si>
  <si>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</si>
  <si>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</si>
  <si>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</si>
  <si>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</si>
  <si>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</si>
  <si>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</si>
  <si>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</si>
  <si>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</si>
  <si>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</si>
  <si>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</si>
  <si>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</si>
  <si>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</si>
  <si>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</si>
  <si>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</si>
  <si>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</si>
  <si>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</si>
  <si>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</si>
  <si>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</si>
  <si>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</si>
  <si>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</si>
  <si>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</si>
  <si>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</si>
  <si>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</si>
  <si>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</si>
  <si>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</si>
  <si>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</si>
  <si>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</si>
  <si>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</si>
  <si>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</si>
  <si>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</si>
  <si>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</si>
  <si>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</si>
  <si>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</si>
  <si>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</si>
  <si>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</si>
  <si>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</si>
  <si>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</si>
  <si>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</si>
  <si>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</si>
  <si>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</si>
  <si>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</si>
  <si>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</si>
  <si>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</si>
  <si>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</si>
  <si>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</si>
  <si>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</si>
  <si>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</si>
  <si>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</si>
  <si>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</si>
  <si>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</si>
  <si>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</si>
  <si>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</si>
  <si>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</si>
  <si>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</si>
  <si>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</si>
  <si>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</si>
  <si>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</si>
  <si>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</si>
  <si>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</si>
  <si>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</si>
  <si>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</si>
  <si>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</si>
  <si>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</si>
  <si>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</si>
  <si>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</si>
  <si>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</si>
  <si>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</si>
  <si>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</si>
  <si>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</si>
  <si>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</si>
  <si>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</si>
  <si>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</si>
  <si>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</si>
  <si>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</si>
  <si>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</si>
  <si>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</si>
  <si>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</si>
  <si>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</si>
  <si>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</si>
  <si>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</si>
  <si>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</si>
  <si>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</si>
  <si>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</si>
  <si>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</si>
  <si>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</si>
  <si>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</si>
  <si>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</si>
  <si>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</si>
  <si>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</si>
  <si>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</si>
  <si>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</si>
  <si>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</si>
  <si>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</si>
  <si>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</si>
  <si>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</si>
  <si>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</si>
  <si>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</si>
  <si>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</si>
  <si>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</si>
  <si>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</si>
  <si>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</si>
  <si>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</si>
  <si>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</si>
  <si>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</si>
  <si>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</si>
  <si>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</si>
  <si>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</si>
  <si>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</si>
  <si>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</si>
  <si>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</si>
  <si>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</si>
  <si>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</si>
  <si>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</si>
  <si>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</si>
  <si>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</si>
  <si>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</si>
  <si>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</si>
  <si>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</si>
  <si>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</si>
  <si>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</si>
  <si>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</si>
  <si>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</si>
  <si>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</si>
  <si>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</si>
  <si>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</si>
  <si>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</si>
  <si>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</si>
  <si>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</si>
  <si>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</si>
  <si>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</si>
  <si>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</si>
  <si>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</si>
  <si>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</si>
  <si>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</si>
  <si>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</si>
  <si>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</si>
  <si>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</si>
  <si>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</si>
  <si>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</si>
  <si>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</si>
  <si>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</si>
  <si>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</si>
  <si>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</si>
  <si>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</si>
  <si>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</si>
  <si>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</si>
  <si>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</si>
  <si>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</si>
  <si>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</si>
  <si>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</si>
  <si>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</si>
  <si>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</si>
  <si>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</si>
  <si>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</si>
  <si>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</si>
  <si>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</si>
  <si>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</si>
  <si>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</si>
  <si>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</si>
  <si>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</si>
  <si>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</si>
  <si>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</si>
  <si>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</si>
  <si>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</si>
  <si>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</si>
  <si>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</si>
  <si>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</si>
  <si>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</si>
  <si>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</si>
  <si>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</si>
  <si>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</si>
  <si>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</si>
  <si>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</si>
  <si>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</si>
  <si>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</si>
  <si>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</si>
  <si>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</si>
  <si>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</si>
  <si>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</si>
  <si>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</si>
  <si>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</si>
  <si>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</si>
  <si>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</si>
  <si>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</si>
  <si>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</si>
  <si>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</si>
  <si>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</si>
  <si>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</si>
  <si>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</si>
  <si>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</si>
  <si>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</si>
  <si>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</si>
  <si>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</si>
  <si>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</si>
  <si>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</si>
  <si>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</si>
  <si>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</si>
  <si>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</si>
  <si>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</si>
  <si>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</si>
  <si>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</si>
  <si>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</si>
  <si>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</si>
  <si>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</si>
  <si>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</si>
  <si>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</si>
  <si>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</si>
  <si>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</si>
  <si>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</si>
  <si>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</si>
  <si>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</si>
  <si>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</si>
  <si>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</si>
  <si>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</si>
  <si>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</si>
  <si>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</si>
  <si>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</si>
  <si>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</si>
  <si>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</si>
  <si>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</si>
  <si>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</si>
  <si>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</si>
  <si>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</si>
  <si>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</si>
  <si>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</si>
  <si>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</si>
  <si>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</si>
  <si>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</si>
  <si>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</si>
  <si>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</si>
  <si>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</si>
  <si>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</si>
  <si>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</si>
  <si>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</si>
  <si>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</si>
  <si>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</si>
  <si>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</si>
  <si>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</si>
  <si>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</si>
  <si>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</si>
  <si>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</si>
  <si>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</si>
  <si>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</si>
  <si>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</si>
  <si>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</si>
  <si>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</si>
  <si>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</si>
  <si>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</si>
  <si>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</si>
  <si>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</si>
  <si>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</si>
  <si>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</si>
  <si>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</si>
  <si>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</si>
  <si>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</si>
  <si>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</si>
  <si>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</si>
  <si>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</si>
  <si>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</si>
  <si>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</si>
  <si>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</si>
  <si>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</si>
  <si>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</si>
  <si>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</si>
  <si>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</si>
  <si>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</si>
  <si>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</si>
  <si>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</si>
  <si>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</si>
  <si>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</si>
  <si>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</si>
  <si>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</si>
  <si>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</si>
  <si>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</si>
  <si>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</si>
  <si>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</si>
  <si>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</si>
  <si>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</si>
  <si>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</si>
  <si>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</si>
  <si>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</si>
  <si>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</si>
  <si>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</si>
  <si>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</si>
  <si>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</si>
  <si>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</si>
  <si>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</si>
  <si>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</si>
  <si>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</si>
  <si>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</si>
  <si>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</si>
  <si>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</si>
  <si>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</si>
  <si>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</si>
  <si>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</si>
  <si>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</si>
  <si>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</si>
  <si>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</si>
  <si>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</si>
  <si>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</si>
  <si>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</si>
  <si>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</si>
  <si>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</si>
  <si>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</si>
  <si>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</si>
  <si>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</si>
  <si>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</si>
  <si>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</si>
  <si>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</si>
  <si>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</si>
  <si>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</si>
  <si>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</si>
  <si>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</si>
  <si>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</si>
  <si>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</si>
  <si>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</si>
  <si>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</si>
  <si>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</si>
  <si>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</si>
  <si>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</si>
  <si>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</si>
  <si>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</si>
  <si>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</si>
  <si>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</si>
  <si>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</si>
  <si>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</si>
  <si>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</si>
  <si>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</si>
  <si>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</si>
  <si>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</si>
  <si>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</si>
  <si>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</si>
  <si>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</si>
  <si>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</si>
  <si>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</si>
  <si>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</si>
  <si>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</si>
  <si>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</si>
  <si>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</si>
  <si>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</si>
  <si>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</si>
  <si>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</si>
  <si>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</si>
  <si>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</si>
  <si>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</si>
  <si>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</si>
  <si>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</si>
  <si>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</si>
  <si>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</si>
  <si>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</si>
  <si>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</si>
  <si>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</si>
  <si>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</si>
  <si>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</si>
  <si>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</si>
  <si>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</si>
  <si>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</si>
  <si>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</si>
  <si>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</si>
  <si>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</si>
  <si>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</si>
  <si>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</si>
  <si>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</si>
  <si>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</si>
  <si>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</si>
  <si>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</si>
  <si>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</si>
  <si>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</si>
  <si>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</si>
  <si>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</si>
  <si>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</si>
  <si>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</si>
  <si>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</si>
  <si>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</si>
  <si>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</si>
  <si>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</si>
  <si>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</si>
  <si>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</si>
  <si>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</si>
  <si>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</si>
  <si>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</si>
  <si>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</si>
  <si>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</si>
  <si>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</si>
  <si>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</si>
  <si>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</si>
  <si>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</si>
  <si>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</si>
  <si>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</si>
  <si>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</si>
  <si>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</si>
  <si>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</si>
  <si>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</si>
  <si>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</si>
  <si>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</si>
  <si>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</si>
  <si>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</si>
  <si>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</si>
  <si>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</si>
  <si>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</si>
  <si>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</si>
  <si>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</si>
  <si>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</si>
  <si>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</si>
  <si>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</si>
  <si>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</si>
  <si>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</si>
  <si>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</si>
  <si>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</si>
  <si>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</si>
  <si>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</si>
  <si>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</si>
  <si>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</si>
  <si>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</si>
  <si>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</si>
  <si>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</si>
  <si>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</si>
  <si>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</si>
  <si>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</si>
  <si>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</si>
  <si>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</si>
  <si>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</si>
  <si>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</si>
  <si>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</si>
  <si>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</si>
  <si>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</si>
  <si>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</si>
  <si>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</si>
  <si>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</si>
  <si>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</si>
  <si>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</si>
  <si>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</si>
  <si>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</si>
  <si>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</si>
  <si>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</si>
  <si>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</si>
  <si>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</si>
  <si>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</si>
  <si>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</si>
  <si>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</si>
  <si>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</si>
  <si>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</si>
  <si>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</si>
  <si>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</si>
  <si>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</si>
  <si>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</si>
  <si>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</si>
  <si>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</si>
  <si>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</si>
  <si>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</si>
  <si>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</si>
  <si>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</si>
  <si>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</si>
  <si>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</si>
  <si>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</si>
  <si>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</si>
  <si>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</si>
  <si>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</si>
  <si>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</si>
  <si>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</si>
  <si>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</si>
  <si>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</si>
  <si>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</si>
  <si>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</si>
  <si>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</si>
  <si>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</si>
  <si>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</si>
  <si>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</si>
  <si>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</si>
  <si>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</si>
  <si>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</si>
  <si>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</si>
  <si>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</si>
  <si>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</si>
  <si>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</si>
  <si>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</si>
  <si>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</si>
  <si>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</si>
  <si>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</si>
  <si>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</si>
  <si>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</si>
  <si>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</si>
  <si>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</si>
  <si>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</si>
  <si>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</si>
  <si>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</si>
  <si>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</si>
  <si>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</si>
  <si>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</si>
  <si>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</si>
  <si>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</si>
  <si>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</si>
  <si>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</si>
  <si>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</si>
  <si>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</si>
  <si>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</si>
  <si>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</si>
  <si>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</si>
  <si>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</si>
  <si>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</si>
  <si>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</si>
  <si>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</si>
  <si>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</si>
  <si>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</si>
  <si>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</si>
  <si>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</si>
  <si>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</si>
  <si>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</si>
  <si>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</si>
  <si>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</si>
  <si>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</si>
  <si>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</si>
  <si>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</si>
  <si>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</si>
  <si>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</si>
  <si>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</si>
  <si>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</si>
  <si>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</si>
  <si>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</si>
  <si>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</si>
  <si>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</si>
  <si>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</si>
  <si>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</si>
  <si>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</si>
  <si>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</si>
  <si>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</si>
  <si>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</si>
  <si>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</si>
  <si>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</si>
  <si>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</si>
  <si>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</si>
  <si>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</si>
  <si>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</si>
  <si>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</si>
  <si>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</si>
  <si>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</si>
  <si>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</si>
  <si>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</si>
  <si>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</si>
  <si>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</si>
  <si>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</si>
  <si>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</si>
  <si>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</si>
  <si>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</si>
  <si>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</si>
  <si>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</si>
  <si>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</si>
  <si>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</si>
  <si>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</si>
  <si>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</si>
  <si>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</si>
  <si>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</si>
  <si>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</si>
  <si>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</si>
  <si>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</si>
  <si>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</si>
  <si>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</si>
  <si>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</si>
  <si>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</si>
  <si>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</si>
  <si>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</si>
  <si>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</si>
  <si>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</si>
  <si>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</si>
  <si>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</si>
  <si>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</si>
  <si>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</si>
  <si>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</si>
  <si>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</si>
  <si>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</si>
  <si>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</si>
  <si>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</si>
  <si>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</si>
  <si>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</si>
  <si>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</si>
  <si>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</si>
  <si>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</si>
  <si>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</si>
  <si>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</si>
  <si>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</si>
  <si>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</si>
  <si>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</si>
  <si>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</si>
  <si>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</si>
  <si>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</si>
  <si>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</si>
  <si>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</si>
  <si>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</si>
  <si>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</si>
  <si>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</si>
  <si>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</si>
  <si>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</si>
  <si>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</si>
  <si>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</si>
  <si>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</si>
  <si>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</si>
  <si>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</si>
  <si>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</si>
  <si>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</si>
  <si>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</si>
  <si>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</si>
  <si>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</si>
  <si>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</si>
  <si>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</si>
  <si>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</si>
  <si>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</si>
  <si>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</si>
  <si>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</si>
  <si>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</si>
  <si>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</si>
  <si>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</si>
  <si>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</si>
  <si>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</si>
  <si>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</si>
  <si>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</si>
  <si>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</si>
  <si>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</si>
  <si>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</si>
  <si>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</si>
  <si>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</si>
  <si>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</si>
  <si>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</si>
  <si>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</si>
  <si>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</si>
  <si>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</si>
  <si>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</si>
  <si>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</si>
  <si>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</si>
  <si>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</si>
  <si>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</si>
  <si>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</si>
  <si>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</si>
  <si>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</si>
  <si>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</si>
  <si>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</si>
  <si>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</si>
  <si>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</si>
  <si>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</si>
  <si>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</si>
  <si>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</si>
  <si>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</si>
  <si>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</si>
  <si>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</si>
  <si>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</si>
  <si>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</si>
  <si>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</si>
  <si>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</si>
  <si>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</si>
  <si>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</si>
  <si>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</si>
  <si>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</si>
  <si>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</si>
  <si>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</si>
  <si>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</si>
  <si>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</si>
  <si>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</si>
  <si>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</si>
  <si>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</si>
  <si>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</si>
  <si>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</si>
  <si>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</si>
  <si>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</si>
  <si>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</si>
  <si>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</si>
  <si>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</si>
  <si>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</si>
  <si>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</si>
  <si>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</si>
  <si>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</si>
  <si>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</si>
  <si>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</si>
  <si>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</si>
  <si>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</si>
  <si>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</si>
  <si>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</si>
  <si>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</si>
  <si>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</si>
  <si>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</si>
  <si>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</si>
  <si>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</si>
  <si>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</si>
  <si>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</si>
  <si>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</si>
  <si>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</si>
  <si>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</si>
  <si>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</si>
  <si>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</si>
  <si>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</si>
  <si>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</si>
  <si>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</si>
  <si>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</si>
  <si>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</si>
  <si>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</si>
  <si>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</si>
  <si>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</si>
  <si>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</si>
  <si>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</si>
  <si>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</si>
  <si>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</si>
  <si>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</si>
  <si>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</si>
  <si>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</si>
  <si>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</si>
  <si>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</si>
  <si>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</si>
  <si>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</si>
  <si>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</si>
  <si>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</si>
  <si>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</si>
  <si>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</si>
  <si>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</si>
  <si>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</si>
  <si>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</si>
  <si>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</si>
  <si>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</si>
  <si>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</si>
  <si>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</si>
  <si>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</si>
  <si>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</si>
  <si>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</si>
  <si>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</si>
  <si>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</si>
  <si>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</si>
  <si>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</si>
  <si>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</si>
  <si>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</si>
  <si>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</si>
  <si>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</si>
  <si>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</si>
  <si>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</si>
  <si>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</si>
  <si>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</si>
  <si>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</si>
  <si>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</si>
  <si>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</si>
  <si>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</si>
  <si>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</si>
  <si>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</si>
  <si>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</si>
  <si>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</si>
  <si>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</si>
  <si>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</si>
  <si>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</si>
  <si>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</si>
  <si>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</si>
  <si>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</si>
  <si>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</si>
  <si>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</si>
  <si>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</si>
  <si>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</si>
  <si>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</si>
  <si>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</si>
  <si>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</si>
  <si>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</si>
  <si>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</si>
  <si>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</si>
  <si>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</si>
  <si>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</si>
  <si>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</si>
  <si>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</si>
  <si>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</si>
  <si>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</si>
  <si>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</si>
  <si>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</si>
  <si>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</si>
  <si>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</si>
  <si>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</si>
  <si>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</si>
  <si>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</si>
  <si>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</si>
  <si>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</si>
  <si>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</si>
  <si>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</si>
  <si>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</si>
  <si>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</si>
  <si>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</si>
  <si>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</si>
  <si>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</si>
  <si>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</si>
  <si>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</si>
  <si>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</si>
  <si>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</si>
  <si>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</si>
  <si>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</si>
  <si>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</si>
  <si>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</si>
  <si>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</si>
  <si>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</si>
  <si>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</si>
  <si>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</si>
  <si>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</si>
  <si>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</si>
  <si>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</si>
  <si>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</si>
  <si>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</si>
  <si>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</si>
  <si>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</si>
  <si>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</si>
  <si>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</si>
  <si>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</si>
  <si>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</si>
  <si>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</si>
  <si>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</si>
  <si>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</si>
  <si>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</si>
  <si>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</si>
  <si>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</si>
  <si>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</si>
  <si>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</si>
  <si>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</si>
  <si>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</si>
  <si>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</si>
  <si>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</si>
  <si>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</si>
  <si>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</si>
  <si>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</si>
  <si>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</si>
  <si>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</si>
  <si>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</si>
  <si>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</si>
  <si>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</si>
  <si>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</si>
  <si>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</si>
  <si>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</si>
  <si>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</si>
  <si>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</si>
  <si>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</si>
  <si>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</si>
  <si>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</si>
  <si>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</si>
  <si>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</si>
  <si>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</si>
  <si>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</si>
  <si>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</si>
  <si>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</si>
  <si>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</si>
  <si>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</si>
  <si>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</si>
  <si>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</si>
  <si>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</si>
  <si>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</si>
  <si>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</si>
  <si>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</si>
  <si>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</si>
  <si>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</si>
  <si>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</si>
  <si>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</si>
  <si>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</si>
  <si>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</si>
  <si>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</si>
  <si>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</si>
  <si>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</si>
  <si>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</si>
  <si>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</si>
  <si>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</si>
  <si>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</si>
  <si>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</si>
  <si>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</si>
  <si>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</si>
  <si>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</si>
  <si>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</si>
  <si>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</si>
  <si>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</si>
  <si>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</si>
  <si>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</si>
  <si>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</si>
  <si>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</si>
  <si>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</si>
  <si>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</si>
  <si>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</si>
  <si>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</si>
  <si>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</si>
  <si>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</si>
  <si>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</si>
  <si>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</si>
  <si>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</si>
  <si>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</si>
  <si>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</si>
  <si>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</si>
  <si>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</si>
  <si>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</si>
  <si>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</si>
  <si>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</si>
  <si>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</si>
  <si>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</si>
  <si>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</si>
  <si>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</si>
  <si>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</si>
  <si>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</si>
  <si>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</si>
  <si>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</si>
  <si>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</si>
  <si>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</si>
  <si>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</si>
  <si>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</si>
  <si>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</si>
  <si>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</si>
  <si>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</si>
  <si>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</si>
  <si>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</si>
  <si>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</si>
  <si>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</si>
  <si>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</si>
  <si>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</si>
  <si>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</si>
  <si>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</si>
  <si>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</si>
  <si>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</si>
  <si>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</si>
  <si>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</si>
  <si>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</si>
  <si>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</si>
  <si>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</si>
  <si>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</si>
  <si>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</si>
  <si>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</si>
  <si>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</si>
  <si>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</si>
  <si>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</si>
  <si>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</si>
  <si>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</si>
  <si>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</si>
  <si>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</si>
  <si>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</si>
  <si>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</si>
  <si>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</si>
  <si>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</si>
  <si>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</si>
  <si>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</si>
  <si>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</si>
  <si>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</si>
  <si>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</si>
  <si>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</si>
  <si>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</si>
  <si>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</si>
  <si>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</si>
  <si>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</si>
  <si>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</si>
  <si>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</si>
  <si>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</si>
  <si>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</si>
  <si>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</si>
  <si>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</si>
  <si>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</si>
  <si>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</si>
  <si>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</si>
  <si>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</si>
  <si>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</si>
  <si>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</si>
  <si>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</si>
  <si>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</si>
  <si>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</si>
  <si>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</si>
  <si>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</si>
  <si>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</si>
  <si>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</si>
  <si>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</si>
  <si>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</si>
  <si>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</si>
  <si>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</si>
  <si>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</si>
  <si>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</si>
  <si>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</si>
  <si>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</si>
  <si>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</si>
  <si>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</si>
  <si>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</si>
  <si>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</si>
  <si>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</si>
  <si>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</si>
  <si>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</si>
  <si>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</si>
  <si>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</si>
  <si>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</si>
  <si>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</si>
  <si>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</si>
  <si>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</si>
  <si>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</si>
  <si>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</si>
  <si>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</si>
  <si>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</si>
  <si>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</si>
  <si>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</si>
  <si>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</si>
  <si>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</si>
  <si>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</si>
  <si>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</si>
  <si>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</si>
  <si>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</si>
  <si>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</si>
  <si>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</si>
  <si>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</si>
  <si>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</si>
  <si>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</si>
  <si>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</si>
  <si>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</si>
  <si>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</si>
  <si>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</si>
  <si>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</si>
  <si>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</si>
  <si>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</si>
  <si>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</si>
  <si>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</si>
  <si>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</si>
  <si>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</si>
  <si>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</si>
  <si>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</si>
  <si>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</si>
  <si>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</si>
  <si>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</si>
  <si>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</si>
  <si>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</si>
  <si>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</si>
  <si>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</si>
  <si>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</si>
  <si>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</si>
  <si>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</si>
  <si>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</si>
  <si>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</si>
  <si>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</si>
  <si>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</si>
  <si>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</si>
  <si>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</si>
  <si>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</si>
  <si>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</si>
  <si>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</si>
  <si>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</si>
  <si>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</si>
  <si>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</si>
  <si>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</si>
  <si>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</si>
  <si>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</si>
  <si>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</si>
  <si>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</si>
  <si>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</si>
  <si>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</si>
  <si>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</si>
  <si>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</si>
  <si>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</si>
  <si>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</si>
  <si>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</si>
  <si>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</si>
  <si>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</si>
  <si>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</si>
  <si>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</si>
  <si>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</si>
  <si>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</si>
  <si>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</si>
  <si>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</si>
  <si>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</si>
  <si>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</si>
  <si>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</si>
  <si>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</si>
  <si>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</si>
  <si>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</si>
  <si>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</si>
  <si>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</si>
  <si>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</si>
  <si>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</si>
  <si>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</si>
  <si>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</si>
  <si>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</si>
  <si>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</si>
  <si>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</si>
  <si>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</si>
  <si>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</si>
  <si>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</si>
  <si>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</si>
  <si>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</si>
  <si>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</si>
  <si>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</si>
  <si>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</si>
  <si>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</si>
  <si>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</si>
  <si>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</si>
  <si>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</si>
  <si>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</si>
  <si>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</si>
  <si>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</si>
  <si>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</si>
  <si>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</si>
  <si>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</si>
  <si>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</si>
  <si>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</si>
  <si>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</si>
  <si>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</si>
  <si>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</si>
  <si>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</si>
  <si>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</si>
  <si>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</si>
  <si>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</si>
  <si>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</si>
  <si>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</si>
  <si>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</si>
  <si>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</si>
  <si>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</si>
  <si>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</si>
  <si>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</si>
  <si>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</si>
  <si>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</si>
  <si>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</si>
  <si>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</si>
  <si>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</si>
  <si>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</si>
  <si>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</si>
  <si>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</si>
  <si>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</si>
  <si>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</si>
  <si>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</si>
  <si>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</si>
  <si>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</si>
  <si>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</si>
  <si>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</si>
  <si>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</si>
  <si>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</si>
  <si>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</si>
  <si>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</si>
  <si>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</si>
  <si>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</si>
  <si>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</si>
  <si>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</si>
  <si>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</si>
  <si>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</si>
  <si>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</si>
  <si>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</si>
  <si>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</si>
  <si>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</si>
  <si>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</si>
  <si>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</si>
  <si>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</si>
  <si>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</si>
  <si>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</si>
  <si>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</si>
  <si>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</si>
  <si>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</si>
  <si>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</si>
  <si>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</si>
  <si>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</si>
  <si>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</si>
  <si>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</si>
  <si>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</si>
  <si>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</si>
  <si>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</si>
  <si>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</si>
  <si>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</si>
  <si>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</si>
  <si>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</si>
  <si>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</si>
  <si>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</si>
  <si>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</si>
  <si>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</si>
  <si>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</si>
  <si>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</si>
  <si>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</si>
  <si>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</si>
  <si>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</si>
  <si>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</si>
  <si>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</si>
  <si>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</si>
  <si>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</si>
  <si>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</si>
  <si>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</si>
  <si>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</si>
  <si>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</si>
  <si>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</si>
  <si>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</si>
  <si>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</si>
  <si>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</si>
  <si>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</si>
  <si>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</si>
  <si>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</si>
  <si>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</si>
  <si>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</si>
  <si>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</si>
  <si>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</si>
  <si>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</si>
  <si>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</si>
  <si>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</si>
  <si>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</si>
  <si>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</si>
  <si>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</si>
  <si>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</si>
  <si>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</si>
  <si>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</si>
  <si>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</si>
  <si>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</si>
  <si>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</si>
  <si>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</si>
  <si>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</si>
  <si>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</si>
  <si>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</si>
  <si>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</si>
  <si>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</si>
  <si>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</si>
  <si>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</si>
  <si>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</si>
  <si>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</si>
  <si>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</si>
  <si>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</si>
  <si>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</si>
  <si>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</si>
  <si>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</si>
  <si>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</si>
  <si>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</si>
  <si>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</si>
  <si>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</si>
  <si>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</si>
  <si>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</si>
  <si>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</si>
  <si>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</si>
  <si>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</si>
  <si>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</si>
  <si>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</si>
  <si>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</si>
  <si>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</si>
  <si>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</si>
  <si>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</si>
  <si>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</si>
  <si>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</si>
  <si>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</si>
  <si>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</si>
  <si>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</si>
  <si>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</si>
  <si>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</si>
  <si>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</si>
  <si>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</si>
  <si>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</si>
  <si>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</si>
  <si>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</si>
  <si>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</si>
  <si>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</si>
  <si>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</si>
  <si>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</si>
  <si>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</si>
  <si>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</si>
  <si>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</si>
  <si>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</si>
  <si>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</si>
  <si>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</si>
  <si>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</si>
  <si>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</si>
  <si>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</si>
  <si>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</si>
  <si>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</si>
  <si>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</si>
  <si>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</si>
  <si>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</si>
  <si>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</si>
  <si>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</si>
  <si>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</si>
  <si>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</si>
  <si>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</si>
  <si>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</si>
  <si>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</si>
  <si>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</si>
  <si>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</si>
  <si>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</si>
  <si>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</si>
  <si>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</si>
  <si>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</si>
  <si>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</si>
  <si>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</si>
  <si>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</si>
  <si>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</si>
  <si>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</si>
  <si>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</si>
  <si>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</si>
  <si>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</si>
  <si>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</si>
  <si>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</si>
  <si>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</si>
  <si>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</si>
  <si>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</si>
  <si>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</si>
  <si>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</si>
  <si>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</si>
  <si>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</si>
  <si>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</si>
  <si>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</si>
  <si>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</si>
  <si>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</si>
  <si>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</si>
  <si>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</si>
  <si>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</si>
  <si>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</si>
  <si>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</si>
  <si>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</si>
  <si>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</si>
  <si>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</si>
  <si>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</si>
  <si>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</si>
  <si>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</si>
  <si>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</si>
  <si>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</si>
  <si>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</si>
  <si>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</si>
  <si>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</si>
  <si>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</si>
  <si>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</si>
  <si>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</si>
  <si>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</si>
  <si>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</si>
  <si>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</si>
  <si>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</si>
  <si>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</si>
  <si>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</si>
  <si>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</si>
  <si>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</si>
  <si>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</si>
  <si>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</si>
  <si>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</si>
  <si>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</si>
  <si>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</si>
  <si>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</si>
  <si>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</si>
  <si>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</si>
  <si>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</si>
  <si>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</si>
  <si>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</si>
  <si>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</si>
  <si>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</si>
  <si>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</si>
  <si>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</si>
  <si>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</si>
  <si>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</si>
  <si>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</si>
  <si>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</si>
  <si>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</si>
  <si>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</si>
  <si>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</si>
  <si>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</si>
  <si>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</si>
  <si>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</si>
  <si>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</si>
  <si>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</si>
  <si>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</si>
  <si>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</si>
  <si>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</si>
  <si>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</si>
  <si>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</si>
  <si>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</si>
  <si>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</si>
  <si>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</si>
  <si>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</si>
  <si>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</si>
  <si>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</si>
  <si>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</si>
  <si>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</si>
  <si>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</si>
  <si>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</si>
  <si>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</si>
  <si>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</si>
  <si>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</si>
  <si>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</si>
  <si>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</si>
  <si>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</si>
  <si>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</si>
  <si>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</si>
  <si>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</si>
  <si>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</si>
  <si>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</si>
  <si>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</si>
  <si>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</si>
  <si>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</si>
  <si>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</si>
  <si>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</si>
  <si>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</si>
  <si>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</si>
  <si>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</si>
  <si>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</si>
  <si>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</si>
  <si>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</si>
  <si>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</si>
  <si>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</si>
  <si>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</si>
  <si>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</si>
  <si>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</si>
  <si>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</si>
  <si>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</si>
  <si>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</si>
  <si>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</si>
  <si>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</si>
  <si>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</si>
  <si>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</si>
  <si>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</si>
  <si>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</si>
  <si>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</si>
  <si>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</si>
  <si>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</si>
  <si>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</si>
  <si>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</si>
  <si>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</si>
  <si>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</si>
  <si>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</si>
  <si>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</si>
  <si>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</si>
  <si>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</si>
  <si>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</si>
  <si>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</si>
  <si>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</si>
  <si>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</si>
  <si>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</si>
  <si>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</si>
  <si>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</si>
  <si>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</si>
  <si>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</si>
  <si>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</si>
  <si>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</si>
  <si>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</si>
  <si>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</si>
  <si>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</si>
  <si>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</si>
  <si>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</si>
  <si>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</si>
  <si>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</si>
  <si>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</si>
  <si>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</si>
  <si>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</si>
  <si>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</si>
  <si>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</si>
  <si>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</si>
  <si>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</si>
  <si>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</si>
  <si>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</si>
  <si>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</si>
  <si>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</si>
  <si>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</si>
  <si>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</si>
  <si>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</si>
  <si>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</si>
  <si>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</si>
  <si>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</si>
  <si>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</si>
  <si>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</si>
  <si>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</si>
  <si>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</si>
  <si>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</si>
  <si>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</si>
  <si>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</si>
  <si>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</si>
  <si>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</si>
  <si>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</si>
  <si>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</si>
  <si>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</si>
  <si>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</si>
  <si>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</si>
  <si>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</si>
  <si>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</si>
  <si>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</si>
  <si>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</si>
  <si>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</si>
  <si>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</si>
  <si>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</si>
  <si>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</si>
  <si>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</si>
  <si>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</si>
  <si>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</si>
  <si>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</si>
  <si>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</si>
  <si>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</si>
  <si>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</si>
  <si>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</si>
  <si>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</si>
  <si>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</si>
  <si>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</si>
  <si>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</si>
  <si>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</si>
  <si>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</si>
  <si>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</si>
  <si>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</si>
  <si>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</si>
  <si>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</si>
  <si>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</si>
  <si>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</si>
  <si>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</si>
  <si>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</si>
  <si>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</si>
  <si>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</si>
  <si>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</si>
  <si>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</si>
  <si>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</si>
  <si>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</si>
  <si>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</si>
  <si>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</si>
  <si>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</si>
  <si>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</si>
  <si>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</si>
  <si>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</si>
  <si>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</si>
  <si>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</si>
  <si>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</si>
  <si>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</si>
  <si>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</si>
  <si>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</si>
  <si>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</si>
  <si>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</si>
  <si>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</si>
  <si>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</si>
  <si>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</si>
  <si>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</si>
  <si>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</si>
  <si>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</si>
  <si>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</si>
  <si>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</si>
  <si>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</si>
  <si>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</si>
  <si>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</si>
  <si>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</si>
  <si>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</si>
  <si>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</si>
  <si>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</si>
  <si>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</si>
  <si>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</si>
  <si>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</si>
  <si>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</si>
  <si>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</si>
  <si>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</si>
  <si>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</si>
  <si>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</si>
  <si>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</si>
  <si>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</si>
  <si>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</si>
  <si>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</si>
  <si>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</si>
  <si>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</si>
  <si>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</si>
  <si>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</si>
  <si>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</si>
  <si>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</si>
  <si>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</si>
  <si>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</si>
  <si>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</si>
  <si>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</si>
  <si>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</si>
  <si>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</si>
  <si>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</si>
  <si>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</si>
  <si>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</si>
  <si>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</si>
  <si>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</si>
  <si>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</si>
  <si>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</si>
  <si>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</si>
  <si>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</si>
  <si>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</si>
  <si>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</si>
  <si>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</si>
  <si>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</si>
  <si>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</si>
  <si>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</si>
  <si>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</si>
  <si>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</si>
  <si>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</si>
  <si>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</si>
  <si>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</si>
  <si>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</si>
  <si>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</si>
  <si>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</si>
  <si>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</si>
  <si>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</si>
  <si>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</si>
  <si>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</si>
  <si>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</si>
  <si>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</si>
  <si>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</si>
  <si>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</si>
  <si>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</si>
  <si>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</si>
  <si>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</si>
  <si>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</si>
  <si>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</si>
  <si>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</si>
  <si>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</si>
  <si>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</si>
  <si>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</si>
  <si>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</si>
  <si>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</si>
  <si>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</si>
  <si>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</si>
  <si>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</si>
  <si>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</si>
  <si>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</si>
  <si>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</si>
  <si>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</si>
  <si>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</si>
  <si>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</si>
  <si>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</si>
  <si>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</si>
  <si>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</si>
  <si>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</si>
  <si>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</si>
  <si>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</si>
  <si>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</si>
  <si>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</si>
  <si>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</si>
  <si>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</si>
  <si>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</si>
  <si>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</si>
  <si>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</si>
  <si>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</si>
  <si>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</si>
  <si>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</si>
  <si>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</si>
  <si>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</si>
  <si>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</si>
  <si>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</si>
  <si>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</si>
  <si>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</si>
  <si>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</si>
  <si>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</si>
  <si>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</si>
  <si>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</si>
  <si>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</si>
  <si>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</si>
  <si>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</si>
  <si>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</si>
  <si>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</si>
  <si>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</si>
  <si>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</si>
  <si>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</si>
  <si>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</si>
  <si>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</si>
  <si>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</si>
  <si>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</si>
  <si>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</si>
  <si>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Pehlman and Dold, P.C.</t>
  </si>
  <si>
    <t>100 North Amos Avenue</t>
  </si>
  <si>
    <t>Springfield</t>
  </si>
  <si>
    <t>IL</t>
  </si>
  <si>
    <t>(217) 787-0563</t>
  </si>
  <si>
    <t>(217) 787-9266</t>
  </si>
  <si>
    <t>066-005315</t>
  </si>
  <si>
    <t>x</t>
  </si>
  <si>
    <t>Menard</t>
  </si>
  <si>
    <t>Dorinda L Fitzgerald</t>
  </si>
  <si>
    <t>147 Palmer Street</t>
  </si>
  <si>
    <t>Greenview</t>
  </si>
  <si>
    <t>dfitzgerald@p-dcpas.com</t>
  </si>
  <si>
    <t>Ryan Heavner, Superintendent</t>
  </si>
  <si>
    <t>rheavner@greenviewschools.org</t>
  </si>
  <si>
    <t>(217) 968-2296</t>
  </si>
  <si>
    <t>(217) 968-2297</t>
  </si>
  <si>
    <t>Part C, Box 23 - Other than cash basis, the Auditor Report is qualified due to the District not mainatining a formal record system to track fixed assets accounted for in the General Fixed Asset Account Group.</t>
  </si>
  <si>
    <t>Prairie State Insurance Cooperative</t>
  </si>
  <si>
    <t>Sangamon Area Special Education District</t>
  </si>
  <si>
    <t>Lincoln Land Technical Education Center</t>
  </si>
  <si>
    <t>ED - Board of Eduction Services - Purchase Services</t>
  </si>
  <si>
    <t>Education Fund - Acct 1690 - Lunch card replacement fee</t>
  </si>
  <si>
    <t>Education Fund - Acct 1999 - Misc refunds and reimbursements</t>
  </si>
  <si>
    <t>Education Fund - Acct 3999 - ISBE Other State Programs $7,634, State Library per Capita Grant $750</t>
  </si>
  <si>
    <t>Education Fund - Acct 4090 - Rural Education Achievement Program</t>
  </si>
  <si>
    <t>Education Fund - Acct 4399 - ISBE Title I School Improvement &amp; Accountability Grant</t>
  </si>
  <si>
    <t>Education Fund - Acct 4998 - ISBE Other Federal Programs</t>
  </si>
  <si>
    <t>Education Fund - Func 4190, Object 300 - Safe School Tuition</t>
  </si>
  <si>
    <t>PDF in Opinion Page with Signature</t>
  </si>
  <si>
    <t>Greenview CUSD 200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</si>
</sst>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2295525</xdr:colOff>
          <xdr:row>3</xdr:row>
          <xdr:rowOff>142875</xdr:rowOff>
        </xdr:from>
        <xdr:to>
          <xdr:col>1</xdr:col>
          <xdr:colOff>3209925</xdr:colOff>
          <xdr:row>8</xdr:row>
          <xdr:rowOff>104775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7">
        <f>+'AFR20'!E4</f>
        <v>44119</v>
      </c>
      <c r="C1" s="2037"/>
      <c r="D1" s="2038"/>
      <c r="I1" s="2116" t="s">
        <v>402</v>
      </c>
      <c r="J1" s="2117"/>
      <c r="K1" s="2117"/>
      <c r="L1" s="2117"/>
      <c r="M1" s="2117"/>
      <c r="N1" s="2117"/>
      <c r="O1" s="2117"/>
      <c r="P1" s="2117"/>
      <c r="Q1" s="2117"/>
      <c r="R1" s="2117"/>
      <c r="S1" s="2117"/>
    </row>
    <row r="2" spans="1:32" ht="12" customHeight="1" x14ac:dyDescent="0.2">
      <c r="A2" s="1831" t="str">
        <f>"Due to ISBE on "</f>
        <v xml:space="preserve">Due to ISBE on </v>
      </c>
      <c r="B2" s="2039">
        <f>+'AFR20'!F4</f>
        <v>44151</v>
      </c>
      <c r="C2" s="2039"/>
      <c r="D2" s="2040"/>
      <c r="I2" s="2118" t="s">
        <v>2003</v>
      </c>
      <c r="J2" s="2117"/>
      <c r="K2" s="2117"/>
      <c r="L2" s="2117"/>
      <c r="M2" s="2117"/>
      <c r="N2" s="2117"/>
      <c r="O2" s="2117"/>
      <c r="P2" s="2117"/>
      <c r="Q2" s="2117"/>
      <c r="R2" s="2117"/>
      <c r="S2" s="2117"/>
    </row>
    <row r="3" spans="1:32" ht="12" customHeight="1" x14ac:dyDescent="0.2">
      <c r="A3" s="1834" t="str">
        <f>"SD/JA"&amp;MID('AFR20'!E2,3,2)</f>
        <v>SD/JA20</v>
      </c>
      <c r="B3" s="151"/>
      <c r="C3" s="151"/>
      <c r="D3" s="152"/>
      <c r="I3" s="2118" t="s">
        <v>52</v>
      </c>
      <c r="J3" s="2117"/>
      <c r="K3" s="2117"/>
      <c r="L3" s="2117"/>
      <c r="M3" s="2117"/>
      <c r="N3" s="2117"/>
      <c r="O3" s="2117"/>
      <c r="P3" s="2117"/>
      <c r="Q3" s="2117"/>
      <c r="R3" s="2117"/>
      <c r="S3" s="2117"/>
    </row>
    <row r="4" spans="1:32" ht="12" customHeight="1" x14ac:dyDescent="0.2">
      <c r="A4" s="37"/>
      <c r="I4" s="2118" t="s">
        <v>521</v>
      </c>
      <c r="J4" s="2117"/>
      <c r="K4" s="2117"/>
      <c r="L4" s="2117"/>
      <c r="M4" s="2117"/>
      <c r="N4" s="2117"/>
      <c r="O4" s="2117"/>
      <c r="P4" s="2117"/>
      <c r="Q4" s="2117"/>
      <c r="R4" s="2117"/>
      <c r="S4" s="2117"/>
    </row>
    <row r="5" spans="1:32" ht="14.1" customHeight="1" x14ac:dyDescent="0.2">
      <c r="B5" s="101" t="s">
        <v>2058</v>
      </c>
      <c r="C5" s="26" t="s">
        <v>904</v>
      </c>
      <c r="D5" s="81"/>
      <c r="E5" s="81"/>
      <c r="H5" s="38"/>
      <c r="I5" s="2125" t="s">
        <v>675</v>
      </c>
      <c r="J5" s="2070"/>
      <c r="K5" s="2070"/>
      <c r="L5" s="2070"/>
      <c r="M5" s="2070"/>
      <c r="N5" s="2070"/>
      <c r="O5" s="2070"/>
      <c r="P5" s="2070"/>
      <c r="Q5" s="2070"/>
      <c r="R5" s="2070"/>
      <c r="S5" s="2070"/>
      <c r="AF5" s="1827"/>
    </row>
    <row r="6" spans="1:32" ht="14.1" customHeight="1" x14ac:dyDescent="0.2">
      <c r="B6" s="101"/>
      <c r="C6" s="26" t="s">
        <v>905</v>
      </c>
      <c r="D6" s="81"/>
      <c r="E6" s="81"/>
      <c r="I6" s="2124" t="s">
        <v>877</v>
      </c>
      <c r="J6" s="2070"/>
      <c r="K6" s="2070"/>
      <c r="L6" s="2070"/>
      <c r="M6" s="2070"/>
      <c r="N6" s="2070"/>
      <c r="O6" s="2070"/>
      <c r="P6" s="2070"/>
      <c r="Q6" s="2070"/>
      <c r="R6" s="2070"/>
      <c r="S6" s="2070"/>
    </row>
    <row r="7" spans="1:32" ht="12.2" customHeight="1" x14ac:dyDescent="0.2">
      <c r="I7" s="2119" t="str">
        <f>"June 30, "&amp;'AFR20'!E2</f>
        <v>June 30, 2020</v>
      </c>
      <c r="J7" s="2120"/>
      <c r="K7" s="2120"/>
      <c r="L7" s="2120"/>
      <c r="M7" s="2120"/>
      <c r="N7" s="2120"/>
      <c r="O7" s="2120"/>
      <c r="P7" s="2120"/>
      <c r="Q7" s="2120"/>
      <c r="R7" s="2120"/>
      <c r="S7" s="212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1" t="s">
        <v>669</v>
      </c>
      <c r="J9" s="2122"/>
      <c r="K9" s="2122"/>
      <c r="L9" s="2122"/>
      <c r="M9" s="2122"/>
      <c r="N9" s="2122"/>
      <c r="O9" s="2122"/>
      <c r="P9" s="2122"/>
      <c r="Q9" s="2122"/>
      <c r="R9" s="2122"/>
      <c r="S9" s="2123"/>
      <c r="T9" s="2066" t="s">
        <v>530</v>
      </c>
      <c r="U9" s="2067"/>
      <c r="V9" s="2067"/>
      <c r="W9" s="2067"/>
      <c r="X9" s="2067"/>
      <c r="Y9" s="2067"/>
      <c r="Z9" s="2067"/>
      <c r="AA9" s="2068"/>
    </row>
    <row r="10" spans="1:32" ht="13.5" customHeight="1" x14ac:dyDescent="0.2">
      <c r="A10" s="2075" t="s">
        <v>670</v>
      </c>
      <c r="B10" s="2076"/>
      <c r="C10" s="2076"/>
      <c r="D10" s="2076"/>
      <c r="E10" s="2076"/>
      <c r="F10" s="2076"/>
      <c r="G10" s="2076"/>
      <c r="H10" s="2077"/>
      <c r="I10" s="29"/>
      <c r="J10" s="30"/>
      <c r="K10" s="28"/>
      <c r="R10" s="30"/>
      <c r="S10" s="30"/>
      <c r="T10" s="2069"/>
      <c r="U10" s="2070"/>
      <c r="V10" s="2070"/>
      <c r="W10" s="2070"/>
      <c r="X10" s="2070"/>
      <c r="Y10" s="2070"/>
      <c r="Z10" s="2070"/>
      <c r="AA10" s="2071"/>
    </row>
    <row r="11" spans="1:32" ht="14.25" customHeight="1" x14ac:dyDescent="0.2">
      <c r="A11" s="2078" t="s">
        <v>949</v>
      </c>
      <c r="B11" s="2079"/>
      <c r="C11" s="2079"/>
      <c r="D11" s="2079"/>
      <c r="E11" s="2079"/>
      <c r="F11" s="2079"/>
      <c r="G11" s="2079"/>
      <c r="H11" s="2080"/>
      <c r="I11" s="27"/>
      <c r="J11" s="71"/>
      <c r="K11" s="27"/>
      <c r="O11" s="144" t="s">
        <v>2058</v>
      </c>
      <c r="P11" s="97" t="s">
        <v>199</v>
      </c>
      <c r="Q11" s="30"/>
      <c r="R11" s="28"/>
      <c r="S11" s="27"/>
      <c r="T11" s="2072"/>
      <c r="U11" s="2073"/>
      <c r="V11" s="2073"/>
      <c r="W11" s="2073"/>
      <c r="X11" s="2073"/>
      <c r="Y11" s="2073"/>
      <c r="Z11" s="2073"/>
      <c r="AA11" s="207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6">
        <v>51065200026</v>
      </c>
      <c r="B13" s="2087"/>
      <c r="C13" s="2087"/>
      <c r="D13" s="2087"/>
      <c r="E13" s="2087"/>
      <c r="F13" s="2087"/>
      <c r="G13" s="2087"/>
      <c r="H13" s="2088"/>
      <c r="I13" s="31"/>
      <c r="J13" s="30"/>
      <c r="K13" s="28"/>
      <c r="L13" s="30"/>
      <c r="M13" s="30"/>
      <c r="N13" s="30"/>
      <c r="O13" s="30"/>
      <c r="P13" s="30"/>
      <c r="Q13" s="30"/>
      <c r="R13" s="30"/>
      <c r="S13" s="30"/>
      <c r="T13" s="2091" t="s">
        <v>2051</v>
      </c>
      <c r="U13" s="2092"/>
      <c r="V13" s="2092"/>
      <c r="W13" s="2092"/>
      <c r="X13" s="2092"/>
      <c r="Y13" s="2093"/>
      <c r="Z13" s="2093"/>
      <c r="AA13" s="2094"/>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4" t="s">
        <v>2059</v>
      </c>
      <c r="B15" s="2089"/>
      <c r="C15" s="2089"/>
      <c r="D15" s="2089"/>
      <c r="E15" s="2089"/>
      <c r="F15" s="2089"/>
      <c r="G15" s="2089"/>
      <c r="H15" s="2090"/>
      <c r="T15" s="2052" t="s">
        <v>2060</v>
      </c>
      <c r="U15" s="2053"/>
      <c r="V15" s="2053"/>
      <c r="W15" s="2053"/>
      <c r="X15" s="2053"/>
      <c r="Y15" s="2095"/>
      <c r="Z15" s="2095"/>
      <c r="AA15" s="209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4" t="s">
        <v>2081</v>
      </c>
      <c r="B17" s="2114"/>
      <c r="C17" s="2114"/>
      <c r="D17" s="2114"/>
      <c r="E17" s="2114"/>
      <c r="F17" s="2114"/>
      <c r="G17" s="2114"/>
      <c r="H17" s="2115"/>
      <c r="T17" s="2101" t="s">
        <v>2052</v>
      </c>
      <c r="U17" s="2102"/>
      <c r="V17" s="2102"/>
      <c r="W17" s="2102"/>
      <c r="X17" s="2102"/>
      <c r="Y17" s="2102"/>
      <c r="Z17" s="2102"/>
      <c r="AA17" s="2103"/>
    </row>
    <row r="18" spans="1:27" ht="13.5" customHeight="1" x14ac:dyDescent="0.2">
      <c r="A18" s="82" t="s">
        <v>527</v>
      </c>
      <c r="B18" s="73"/>
      <c r="C18" s="69"/>
      <c r="D18" s="73"/>
      <c r="E18" s="73"/>
      <c r="F18" s="73"/>
      <c r="G18" s="73"/>
      <c r="H18" s="53"/>
      <c r="I18" s="2111" t="s">
        <v>671</v>
      </c>
      <c r="J18" s="2112"/>
      <c r="K18" s="2112"/>
      <c r="L18" s="2112"/>
      <c r="M18" s="2112"/>
      <c r="N18" s="2112"/>
      <c r="O18" s="2112"/>
      <c r="P18" s="2112"/>
      <c r="Q18" s="2112"/>
      <c r="R18" s="2112"/>
      <c r="S18" s="2113"/>
      <c r="T18" s="82" t="s">
        <v>706</v>
      </c>
      <c r="U18" s="48"/>
      <c r="V18" s="69"/>
      <c r="W18" s="47"/>
      <c r="X18" s="82" t="s">
        <v>264</v>
      </c>
      <c r="Y18" s="78"/>
      <c r="Z18" s="154" t="s">
        <v>672</v>
      </c>
      <c r="AA18" s="44"/>
    </row>
    <row r="19" spans="1:27" ht="13.5" customHeight="1" x14ac:dyDescent="0.2">
      <c r="A19" s="2084" t="s">
        <v>2061</v>
      </c>
      <c r="B19" s="2085"/>
      <c r="C19" s="2085"/>
      <c r="D19" s="2085"/>
      <c r="E19" s="2085"/>
      <c r="F19" s="2085"/>
      <c r="G19" s="2085"/>
      <c r="H19" s="2083"/>
      <c r="I19" s="30"/>
      <c r="J19" s="96"/>
      <c r="K19" s="40"/>
      <c r="L19" s="38"/>
      <c r="M19" s="109" t="s">
        <v>312</v>
      </c>
      <c r="P19" s="27"/>
      <c r="Q19" s="27"/>
      <c r="R19" s="27"/>
      <c r="S19" s="31"/>
      <c r="T19" s="2084" t="s">
        <v>2053</v>
      </c>
      <c r="U19" s="2082"/>
      <c r="V19" s="2082"/>
      <c r="W19" s="2083"/>
      <c r="X19" s="2099" t="s">
        <v>2054</v>
      </c>
      <c r="Y19" s="2100"/>
      <c r="Z19" s="2097">
        <v>62702</v>
      </c>
      <c r="AA19" s="209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1" t="s">
        <v>2062</v>
      </c>
      <c r="B21" s="2082"/>
      <c r="C21" s="2082"/>
      <c r="D21" s="2082"/>
      <c r="E21" s="2082"/>
      <c r="F21" s="2082"/>
      <c r="G21" s="2082"/>
      <c r="H21" s="2083"/>
      <c r="I21" s="2107" t="s">
        <v>673</v>
      </c>
      <c r="J21" s="2070"/>
      <c r="K21" s="2070"/>
      <c r="L21" s="2070"/>
      <c r="M21" s="2070"/>
      <c r="N21" s="2070"/>
      <c r="O21" s="2070"/>
      <c r="P21" s="2070"/>
      <c r="Q21" s="2070"/>
      <c r="R21" s="2070"/>
      <c r="S21" s="2071"/>
      <c r="T21" s="2049" t="s">
        <v>2055</v>
      </c>
      <c r="U21" s="2050"/>
      <c r="V21" s="2050"/>
      <c r="W21" s="2050"/>
      <c r="X21" s="2063" t="s">
        <v>2056</v>
      </c>
      <c r="Y21" s="2064"/>
      <c r="Z21" s="2064"/>
      <c r="AA21" s="2065"/>
    </row>
    <row r="22" spans="1:27" ht="13.5" customHeight="1" x14ac:dyDescent="0.2">
      <c r="A22" s="84" t="s">
        <v>528</v>
      </c>
      <c r="B22" s="56"/>
      <c r="C22" s="56"/>
      <c r="D22" s="56"/>
      <c r="E22" s="56"/>
      <c r="F22" s="56"/>
      <c r="G22" s="56"/>
      <c r="H22" s="57"/>
      <c r="I22" s="2108" t="s">
        <v>1412</v>
      </c>
      <c r="J22" s="2109"/>
      <c r="K22" s="2109"/>
      <c r="L22" s="2109"/>
      <c r="M22" s="2109"/>
      <c r="N22" s="2109"/>
      <c r="O22" s="2109"/>
      <c r="P22" s="2109"/>
      <c r="Q22" s="2109"/>
      <c r="R22" s="2109"/>
      <c r="S22" s="2110"/>
      <c r="T22" s="82" t="s">
        <v>1499</v>
      </c>
      <c r="U22" s="48"/>
      <c r="V22" s="69"/>
      <c r="W22" s="48"/>
      <c r="X22" s="155" t="s">
        <v>1307</v>
      </c>
      <c r="Z22" s="43"/>
      <c r="AA22" s="44"/>
    </row>
    <row r="23" spans="1:27" ht="13.5" customHeight="1" x14ac:dyDescent="0.2">
      <c r="A23" s="2104"/>
      <c r="B23" s="2105"/>
      <c r="C23" s="2105"/>
      <c r="D23" s="2105"/>
      <c r="E23" s="2105"/>
      <c r="F23" s="2105"/>
      <c r="G23" s="2105"/>
      <c r="H23" s="2106"/>
      <c r="T23" s="2044" t="s">
        <v>2057</v>
      </c>
      <c r="U23" s="2045"/>
      <c r="V23" s="2045"/>
      <c r="W23" s="2045"/>
      <c r="X23" s="2060">
        <v>44197</v>
      </c>
      <c r="Y23" s="2061"/>
      <c r="Z23" s="2061"/>
      <c r="AA23" s="2062"/>
    </row>
    <row r="24" spans="1:27" ht="14.1" customHeight="1" x14ac:dyDescent="0.2">
      <c r="A24" s="85" t="s">
        <v>672</v>
      </c>
      <c r="B24" s="46"/>
      <c r="C24" s="46"/>
      <c r="D24" s="46"/>
      <c r="E24" s="46"/>
      <c r="F24" s="46"/>
      <c r="G24" s="46"/>
      <c r="H24" s="58"/>
      <c r="J24" s="2146">
        <f>IF(B5="x",IF(AUDITCHECK!D29="AFR form Incomplete.","",IF(AUDITCHECK!D29="Deficit reduction plan is required.","School District must complete a deficit reduction plan in the 2020-2021 Budget",)),"")</f>
        <v>0</v>
      </c>
      <c r="K24" s="2146"/>
      <c r="L24" s="2146"/>
      <c r="M24" s="2146"/>
      <c r="N24" s="2146"/>
      <c r="O24" s="2146"/>
      <c r="P24" s="2146"/>
      <c r="Q24" s="2146"/>
      <c r="R24" s="2146"/>
      <c r="S24" s="2147"/>
      <c r="T24" s="102" t="s">
        <v>528</v>
      </c>
      <c r="U24" s="103"/>
      <c r="V24" s="103"/>
      <c r="W24" s="103"/>
      <c r="X24" s="104"/>
      <c r="Y24" s="104"/>
      <c r="Z24" s="104"/>
      <c r="AA24" s="105"/>
    </row>
    <row r="25" spans="1:27" ht="14.1" customHeight="1" x14ac:dyDescent="0.2">
      <c r="A25" s="2081">
        <v>62642</v>
      </c>
      <c r="B25" s="2082"/>
      <c r="C25" s="2082"/>
      <c r="D25" s="2082"/>
      <c r="E25" s="2082"/>
      <c r="F25" s="2082"/>
      <c r="G25" s="2082"/>
      <c r="H25" s="2083"/>
      <c r="I25" s="110"/>
      <c r="J25" s="2148"/>
      <c r="K25" s="2148"/>
      <c r="L25" s="2148"/>
      <c r="M25" s="2148"/>
      <c r="N25" s="2148"/>
      <c r="O25" s="2148"/>
      <c r="P25" s="2148"/>
      <c r="Q25" s="2148"/>
      <c r="R25" s="2148"/>
      <c r="S25" s="2149"/>
      <c r="T25" s="2041" t="s">
        <v>2063</v>
      </c>
      <c r="U25" s="2042"/>
      <c r="V25" s="2042"/>
      <c r="W25" s="2042"/>
      <c r="X25" s="2042"/>
      <c r="Y25" s="2042"/>
      <c r="Z25" s="2042"/>
      <c r="AA25" s="204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39" t="s">
        <v>1494</v>
      </c>
      <c r="J27" s="2112"/>
      <c r="K27" s="2112"/>
      <c r="L27" s="2112"/>
      <c r="M27" s="2112"/>
      <c r="N27" s="2112"/>
      <c r="O27" s="2112"/>
      <c r="P27" s="2112"/>
      <c r="Q27" s="2112"/>
      <c r="R27" s="2112"/>
      <c r="S27" s="2113"/>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t="s">
        <v>2058</v>
      </c>
      <c r="C29" s="121" t="s">
        <v>815</v>
      </c>
      <c r="D29" s="111"/>
      <c r="E29" s="133"/>
      <c r="F29" s="137" t="s">
        <v>1305</v>
      </c>
      <c r="G29" s="111"/>
      <c r="I29" s="51"/>
      <c r="J29" s="99"/>
      <c r="K29" s="28" t="s">
        <v>572</v>
      </c>
      <c r="L29" s="144" t="s">
        <v>2058</v>
      </c>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99"/>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5"/>
      <c r="Q35" s="2082"/>
      <c r="R35" s="208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4" t="s">
        <v>2064</v>
      </c>
      <c r="B38" s="2114"/>
      <c r="C38" s="2114"/>
      <c r="D38" s="2114"/>
      <c r="E38" s="2114"/>
      <c r="F38" s="2082"/>
      <c r="G38" s="2082"/>
      <c r="H38" s="2083"/>
      <c r="I38" s="2133"/>
      <c r="J38" s="2053"/>
      <c r="K38" s="2053"/>
      <c r="L38" s="2053"/>
      <c r="M38" s="2053"/>
      <c r="N38" s="2053"/>
      <c r="O38" s="2053"/>
      <c r="P38" s="2054"/>
      <c r="Q38" s="2054"/>
      <c r="R38" s="2054"/>
      <c r="S38" s="2055"/>
      <c r="T38" s="2052"/>
      <c r="U38" s="2053"/>
      <c r="V38" s="2053"/>
      <c r="W38" s="2053"/>
      <c r="X38" s="2054"/>
      <c r="Y38" s="2054"/>
      <c r="Z38" s="2054"/>
      <c r="AA38" s="2055"/>
    </row>
    <row r="39" spans="1:27" ht="12" customHeight="1" x14ac:dyDescent="0.2">
      <c r="A39" s="2137" t="s">
        <v>528</v>
      </c>
      <c r="B39" s="2138"/>
      <c r="C39" s="69"/>
      <c r="D39" s="66"/>
      <c r="E39" s="66"/>
      <c r="F39" s="76"/>
      <c r="G39" s="66"/>
      <c r="H39" s="53"/>
      <c r="I39" s="2137" t="s">
        <v>528</v>
      </c>
      <c r="J39" s="2138"/>
      <c r="K39" s="2138"/>
      <c r="L39" s="2138"/>
      <c r="M39" s="2138"/>
      <c r="N39" s="64"/>
      <c r="O39" s="69"/>
      <c r="P39" s="69"/>
      <c r="Q39" s="75"/>
      <c r="R39" s="69"/>
      <c r="S39" s="53"/>
      <c r="T39" s="69" t="s">
        <v>528</v>
      </c>
      <c r="U39" s="48"/>
      <c r="V39" s="69"/>
      <c r="W39" s="47"/>
      <c r="X39" s="75"/>
      <c r="Y39" s="43"/>
      <c r="Z39" s="43"/>
      <c r="AA39" s="44"/>
    </row>
    <row r="40" spans="1:27" ht="13.5" customHeight="1" x14ac:dyDescent="0.2">
      <c r="A40" s="2140" t="s">
        <v>2065</v>
      </c>
      <c r="B40" s="2141"/>
      <c r="C40" s="2142"/>
      <c r="D40" s="2142"/>
      <c r="E40" s="2142"/>
      <c r="F40" s="2143"/>
      <c r="G40" s="2143"/>
      <c r="H40" s="2144"/>
      <c r="I40" s="2056"/>
      <c r="J40" s="2058"/>
      <c r="K40" s="2058"/>
      <c r="L40" s="2058"/>
      <c r="M40" s="2058"/>
      <c r="N40" s="2058"/>
      <c r="O40" s="2058"/>
      <c r="P40" s="2058"/>
      <c r="Q40" s="2058"/>
      <c r="R40" s="2058"/>
      <c r="S40" s="2059"/>
      <c r="T40" s="2056"/>
      <c r="U40" s="2057"/>
      <c r="V40" s="2058"/>
      <c r="W40" s="2058"/>
      <c r="X40" s="2058"/>
      <c r="Y40" s="2058"/>
      <c r="Z40" s="2058"/>
      <c r="AA40" s="205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0" t="s">
        <v>2066</v>
      </c>
      <c r="B42" s="2131"/>
      <c r="C42" s="2132"/>
      <c r="D42" s="2145" t="s">
        <v>2067</v>
      </c>
      <c r="E42" s="2131"/>
      <c r="F42" s="2131"/>
      <c r="G42" s="2131"/>
      <c r="H42" s="2132"/>
      <c r="I42" s="2051"/>
      <c r="J42" s="2047"/>
      <c r="K42" s="2047"/>
      <c r="L42" s="2047"/>
      <c r="M42" s="2047"/>
      <c r="N42" s="2047"/>
      <c r="O42" s="2048"/>
      <c r="P42" s="2046"/>
      <c r="Q42" s="2047"/>
      <c r="R42" s="2047"/>
      <c r="S42" s="2048"/>
      <c r="T42" s="2051"/>
      <c r="U42" s="2047"/>
      <c r="V42" s="2047"/>
      <c r="W42" s="2048"/>
      <c r="X42" s="2046"/>
      <c r="Y42" s="2047"/>
      <c r="Z42" s="2047"/>
      <c r="AA42" s="204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4"/>
      <c r="B44" s="2135"/>
      <c r="C44" s="2135"/>
      <c r="D44" s="2135"/>
      <c r="E44" s="2135"/>
      <c r="F44" s="2135"/>
      <c r="G44" s="2135"/>
      <c r="H44" s="2136"/>
      <c r="I44" s="2126"/>
      <c r="J44" s="2128"/>
      <c r="K44" s="2128"/>
      <c r="L44" s="2128"/>
      <c r="M44" s="2128"/>
      <c r="N44" s="2128"/>
      <c r="O44" s="2128"/>
      <c r="P44" s="2128"/>
      <c r="Q44" s="2128"/>
      <c r="R44" s="2128"/>
      <c r="S44" s="2129"/>
      <c r="T44" s="2126"/>
      <c r="U44" s="2127"/>
      <c r="V44" s="2127"/>
      <c r="W44" s="2127"/>
      <c r="X44" s="2127"/>
      <c r="Y44" s="2127"/>
      <c r="Z44" s="2128"/>
      <c r="AA44" s="212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B1" sqref="B1"/>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1487884</v>
      </c>
      <c r="C4" s="1722"/>
      <c r="D4" s="1723">
        <f>B4-C4</f>
        <v>1487884</v>
      </c>
      <c r="E4" s="1722">
        <v>1529502</v>
      </c>
      <c r="F4" s="1723">
        <f>E4-C4</f>
        <v>1529502</v>
      </c>
    </row>
    <row r="5" spans="1:8" ht="13.7" customHeight="1" x14ac:dyDescent="0.2">
      <c r="A5" s="579" t="s">
        <v>865</v>
      </c>
      <c r="B5" s="1724">
        <f>'Revenues 9-14'!D5</f>
        <v>245136</v>
      </c>
      <c r="C5" s="1664"/>
      <c r="D5" s="1725">
        <f t="shared" ref="D5:D18" si="0">B5-C5</f>
        <v>245136</v>
      </c>
      <c r="E5" s="1664">
        <v>237177</v>
      </c>
      <c r="F5" s="1725">
        <f>E5-C5</f>
        <v>237177</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118033</v>
      </c>
      <c r="C7" s="1664"/>
      <c r="D7" s="1725">
        <f t="shared" si="0"/>
        <v>118033</v>
      </c>
      <c r="E7" s="1664">
        <v>114217</v>
      </c>
      <c r="F7" s="1725">
        <f t="shared" si="1"/>
        <v>114217</v>
      </c>
    </row>
    <row r="8" spans="1:8" ht="13.7" customHeight="1" x14ac:dyDescent="0.2">
      <c r="A8" s="579" t="s">
        <v>1169</v>
      </c>
      <c r="B8" s="1724">
        <f>'Revenues 9-14'!G5</f>
        <v>47203</v>
      </c>
      <c r="C8" s="1664"/>
      <c r="D8" s="1725">
        <f t="shared" si="0"/>
        <v>47203</v>
      </c>
      <c r="E8" s="1664">
        <v>42199</v>
      </c>
      <c r="F8" s="1725">
        <f t="shared" si="1"/>
        <v>42199</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13204</v>
      </c>
      <c r="C10" s="1664"/>
      <c r="D10" s="1725">
        <f t="shared" si="0"/>
        <v>13204</v>
      </c>
      <c r="E10" s="1664">
        <v>11827</v>
      </c>
      <c r="F10" s="1725">
        <f t="shared" si="1"/>
        <v>11827</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29688</v>
      </c>
      <c r="C12" s="1664"/>
      <c r="D12" s="1725">
        <f t="shared" si="0"/>
        <v>29688</v>
      </c>
      <c r="E12" s="1664">
        <v>26506</v>
      </c>
      <c r="F12" s="1725">
        <f t="shared" si="1"/>
        <v>26506</v>
      </c>
    </row>
    <row r="13" spans="1:8" ht="13.7" customHeight="1" x14ac:dyDescent="0.2">
      <c r="A13" s="579" t="s">
        <v>930</v>
      </c>
      <c r="B13" s="1724">
        <f>SUM('Revenues 9-14'!C6:D6)</f>
        <v>8175</v>
      </c>
      <c r="C13" s="1664"/>
      <c r="D13" s="1725">
        <f t="shared" si="0"/>
        <v>8175</v>
      </c>
      <c r="E13" s="1664">
        <v>7915</v>
      </c>
      <c r="F13" s="1725">
        <f t="shared" si="1"/>
        <v>7915</v>
      </c>
    </row>
    <row r="14" spans="1:8" ht="13.7" customHeight="1" x14ac:dyDescent="0.2">
      <c r="A14" s="579" t="s">
        <v>407</v>
      </c>
      <c r="B14" s="1724">
        <f>SUM('Revenues 9-14'!C7:D7,'Revenues 9-14'!F7:H7)</f>
        <v>49539</v>
      </c>
      <c r="C14" s="1664"/>
      <c r="D14" s="1725">
        <f t="shared" si="0"/>
        <v>49539</v>
      </c>
      <c r="E14" s="1664">
        <v>44315</v>
      </c>
      <c r="F14" s="1725">
        <f t="shared" si="1"/>
        <v>44315</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32157</v>
      </c>
      <c r="C16" s="1664"/>
      <c r="D16" s="1725">
        <f t="shared" si="0"/>
        <v>32157</v>
      </c>
      <c r="E16" s="1664">
        <v>52737</v>
      </c>
      <c r="F16" s="1725">
        <f t="shared" si="1"/>
        <v>52737</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2031019</v>
      </c>
      <c r="C19" s="1726">
        <f>SUM(C4:C18)</f>
        <v>0</v>
      </c>
      <c r="D19" s="1726">
        <f>SUM(D4:D18)</f>
        <v>2031019</v>
      </c>
      <c r="E19" s="1726">
        <f>SUM(E4:E18)</f>
        <v>2066395</v>
      </c>
      <c r="F19" s="1726">
        <f>SUM(F4:F18)</f>
        <v>2066395</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4" t="s">
        <v>625</v>
      </c>
      <c r="B1" s="2295"/>
      <c r="C1" s="585"/>
    </row>
    <row r="2" spans="1:7" ht="33.75" x14ac:dyDescent="0.2">
      <c r="A2" s="2303" t="s">
        <v>1779</v>
      </c>
      <c r="B2" s="2304"/>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7" t="s">
        <v>1104</v>
      </c>
      <c r="B3" s="2308"/>
      <c r="C3" s="2296"/>
      <c r="D3" s="2297"/>
      <c r="E3" s="2297"/>
      <c r="F3" s="2298"/>
    </row>
    <row r="4" spans="1:7" ht="12.75" customHeight="1" thickBot="1" x14ac:dyDescent="0.25">
      <c r="A4" s="2305" t="s">
        <v>626</v>
      </c>
      <c r="B4" s="2306"/>
      <c r="C4" s="1656"/>
      <c r="D4" s="1656"/>
      <c r="E4" s="1656"/>
      <c r="F4" s="1732">
        <f>SUM(C4+D4)-E4</f>
        <v>0</v>
      </c>
    </row>
    <row r="5" spans="1:7" ht="15.75" customHeight="1" thickTop="1" x14ac:dyDescent="0.2">
      <c r="A5" s="2290" t="s">
        <v>1101</v>
      </c>
      <c r="B5" s="2291"/>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2" t="s">
        <v>627</v>
      </c>
      <c r="B15" s="2293"/>
      <c r="C15" s="1732">
        <f>SUM(C6:C14)</f>
        <v>0</v>
      </c>
      <c r="D15" s="1732">
        <f>SUM(D6:D14)</f>
        <v>0</v>
      </c>
      <c r="E15" s="1732">
        <f>SUM(E6:E14)</f>
        <v>0</v>
      </c>
      <c r="F15" s="1732">
        <f>SUM(F6:F14)</f>
        <v>0</v>
      </c>
      <c r="G15" s="473"/>
    </row>
    <row r="16" spans="1:7" s="197" customFormat="1" ht="15.75" customHeight="1" thickTop="1" x14ac:dyDescent="0.2">
      <c r="A16" s="2302" t="s">
        <v>1102</v>
      </c>
      <c r="B16" s="2291"/>
      <c r="C16" s="2299"/>
      <c r="D16" s="2300"/>
      <c r="E16" s="2300"/>
      <c r="F16" s="2301"/>
    </row>
    <row r="17" spans="1:11" ht="12.75" customHeight="1" thickBot="1" x14ac:dyDescent="0.25">
      <c r="A17" s="2315" t="s">
        <v>64</v>
      </c>
      <c r="B17" s="2316"/>
      <c r="C17" s="1733"/>
      <c r="D17" s="1664"/>
      <c r="E17" s="1733"/>
      <c r="F17" s="1732">
        <f>SUM(C17+D17)-E17</f>
        <v>0</v>
      </c>
    </row>
    <row r="18" spans="1:11" ht="12.75" customHeight="1" thickTop="1" thickBot="1" x14ac:dyDescent="0.25">
      <c r="A18" s="2315" t="s">
        <v>6</v>
      </c>
      <c r="B18" s="2316"/>
      <c r="C18" s="1733"/>
      <c r="D18" s="1664"/>
      <c r="E18" s="1733"/>
      <c r="F18" s="1732">
        <f>SUM(C18+D18)-E18</f>
        <v>0</v>
      </c>
    </row>
    <row r="19" spans="1:11" ht="12.75" customHeight="1" thickTop="1" thickBot="1" x14ac:dyDescent="0.25">
      <c r="A19" s="2315" t="s">
        <v>385</v>
      </c>
      <c r="B19" s="2316"/>
      <c r="C19" s="1733"/>
      <c r="D19" s="1664"/>
      <c r="E19" s="1733"/>
      <c r="F19" s="1732">
        <f>SUM(C19+D19)-E19</f>
        <v>0</v>
      </c>
    </row>
    <row r="20" spans="1:11" ht="12.75" customHeight="1" thickTop="1" thickBot="1" x14ac:dyDescent="0.25">
      <c r="A20" s="2315" t="s">
        <v>445</v>
      </c>
      <c r="B20" s="2316"/>
      <c r="C20" s="1733"/>
      <c r="D20" s="1664"/>
      <c r="E20" s="1733"/>
      <c r="F20" s="1732">
        <f>SUM(C20+D20)-E20</f>
        <v>0</v>
      </c>
    </row>
    <row r="21" spans="1:11" ht="14.25" thickTop="1" thickBot="1" x14ac:dyDescent="0.25">
      <c r="A21" s="2292" t="s">
        <v>628</v>
      </c>
      <c r="B21" s="2293"/>
      <c r="C21" s="1732">
        <f>SUM(C17:C20)</f>
        <v>0</v>
      </c>
      <c r="D21" s="1732">
        <f>SUM(D17:D20)</f>
        <v>0</v>
      </c>
      <c r="E21" s="1732">
        <f>SUM(E17:E20)</f>
        <v>0</v>
      </c>
      <c r="F21" s="1732">
        <f>SUM(F17:F20)</f>
        <v>0</v>
      </c>
      <c r="G21" s="473"/>
    </row>
    <row r="22" spans="1:11" ht="15.75" customHeight="1" thickTop="1" x14ac:dyDescent="0.2">
      <c r="A22" s="2317" t="s">
        <v>1103</v>
      </c>
      <c r="B22" s="2291"/>
      <c r="C22" s="2299"/>
      <c r="D22" s="2300"/>
      <c r="E22" s="2300"/>
      <c r="F22" s="2301"/>
    </row>
    <row r="23" spans="1:11" ht="13.5" thickBot="1" x14ac:dyDescent="0.25">
      <c r="A23" s="2305" t="s">
        <v>629</v>
      </c>
      <c r="B23" s="2306"/>
      <c r="C23" s="1656"/>
      <c r="D23" s="1656"/>
      <c r="E23" s="1656"/>
      <c r="F23" s="1732">
        <f>SUM(C23+D23)-E23</f>
        <v>0</v>
      </c>
      <c r="G23" s="473"/>
    </row>
    <row r="24" spans="1:11" ht="15.75" customHeight="1" thickTop="1" x14ac:dyDescent="0.2">
      <c r="A24" s="2317" t="s">
        <v>2006</v>
      </c>
      <c r="B24" s="2291"/>
      <c r="C24" s="2299"/>
      <c r="D24" s="2300"/>
      <c r="E24" s="2300"/>
      <c r="F24" s="2301"/>
    </row>
    <row r="25" spans="1:11" ht="13.5" thickBot="1" x14ac:dyDescent="0.25">
      <c r="A25" s="2305" t="s">
        <v>2007</v>
      </c>
      <c r="B25" s="2306"/>
      <c r="C25" s="1656"/>
      <c r="D25" s="1656"/>
      <c r="E25" s="1656"/>
      <c r="F25" s="1732">
        <f>SUM(C25+D25)-E25</f>
        <v>0</v>
      </c>
      <c r="G25" s="473"/>
    </row>
    <row r="26" spans="1:11" ht="15.75" customHeight="1" thickTop="1" x14ac:dyDescent="0.2">
      <c r="A26" s="2290" t="s">
        <v>652</v>
      </c>
      <c r="B26" s="2291"/>
      <c r="C26" s="589"/>
      <c r="D26" s="589"/>
      <c r="E26" s="589"/>
      <c r="F26" s="590"/>
    </row>
    <row r="27" spans="1:11" ht="13.5" thickBot="1" x14ac:dyDescent="0.25">
      <c r="A27" s="2292" t="s">
        <v>1061</v>
      </c>
      <c r="B27" s="2293"/>
      <c r="C27" s="1664"/>
      <c r="D27" s="1664"/>
      <c r="E27" s="1664"/>
      <c r="F27" s="1732">
        <f>SUM(C27+D27)-E27</f>
        <v>0</v>
      </c>
      <c r="G27" s="473"/>
    </row>
    <row r="28" spans="1:11" ht="7.5" customHeight="1" thickTop="1" x14ac:dyDescent="0.2">
      <c r="A28" s="489"/>
    </row>
    <row r="29" spans="1:11" ht="23.25" customHeight="1" x14ac:dyDescent="0.2">
      <c r="A29" s="2318" t="s">
        <v>578</v>
      </c>
      <c r="B29" s="2295"/>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09" t="s">
        <v>580</v>
      </c>
      <c r="C52" s="2310"/>
      <c r="D52" s="2310"/>
      <c r="E52" s="603" t="s">
        <v>840</v>
      </c>
      <c r="F52" s="2311"/>
      <c r="G52" s="2312"/>
      <c r="H52" s="596"/>
      <c r="I52" s="596"/>
      <c r="J52" s="600"/>
    </row>
    <row r="53" spans="1:11" ht="11.25" customHeight="1" x14ac:dyDescent="0.2">
      <c r="A53" s="604" t="s">
        <v>907</v>
      </c>
      <c r="B53" s="605" t="s">
        <v>945</v>
      </c>
      <c r="C53" s="600"/>
      <c r="D53" s="597"/>
      <c r="E53" s="603" t="s">
        <v>494</v>
      </c>
      <c r="F53" s="2313"/>
      <c r="G53" s="2314"/>
      <c r="H53" s="596"/>
      <c r="I53" s="596"/>
      <c r="J53" s="600"/>
    </row>
    <row r="54" spans="1:11" ht="11.25" customHeight="1" x14ac:dyDescent="0.2">
      <c r="A54" s="606" t="s">
        <v>908</v>
      </c>
      <c r="B54" s="601" t="s">
        <v>946</v>
      </c>
      <c r="C54" s="600"/>
      <c r="D54" s="597"/>
      <c r="E54" s="603" t="s">
        <v>495</v>
      </c>
      <c r="F54" s="2313"/>
      <c r="G54" s="231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H1" sqref="H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5" t="s">
        <v>851</v>
      </c>
      <c r="B1" s="2346"/>
      <c r="C1" s="2346"/>
      <c r="D1" s="2346"/>
      <c r="E1" s="2346"/>
      <c r="F1" s="2346"/>
      <c r="G1" s="2347"/>
      <c r="H1" s="1298"/>
      <c r="I1" s="614"/>
      <c r="J1" s="400"/>
    </row>
    <row r="2" spans="1:11" ht="26.25" x14ac:dyDescent="0.2">
      <c r="A2" s="2322" t="s">
        <v>1658</v>
      </c>
      <c r="B2" s="2323"/>
      <c r="C2" s="2323"/>
      <c r="D2" s="2323"/>
      <c r="E2" s="2324"/>
      <c r="F2" s="615" t="s">
        <v>898</v>
      </c>
      <c r="G2" s="616" t="s">
        <v>1655</v>
      </c>
      <c r="H2" s="616" t="s">
        <v>407</v>
      </c>
      <c r="I2" s="616" t="s">
        <v>1148</v>
      </c>
      <c r="J2" s="616" t="s">
        <v>1789</v>
      </c>
      <c r="K2" s="616" t="s">
        <v>137</v>
      </c>
    </row>
    <row r="3" spans="1:11" x14ac:dyDescent="0.2">
      <c r="A3" s="2325" t="str">
        <f>"Cash Basis Fund Balance as of July 1, "&amp;'AFR20'!E2-1</f>
        <v>Cash Basis Fund Balance as of July 1, 2019</v>
      </c>
      <c r="B3" s="2326"/>
      <c r="C3" s="2326"/>
      <c r="D3" s="2326"/>
      <c r="E3" s="2327"/>
      <c r="F3" s="617"/>
      <c r="G3" s="1744"/>
      <c r="H3" s="1744"/>
      <c r="I3" s="1744"/>
      <c r="J3" s="1745"/>
      <c r="K3" s="1745"/>
    </row>
    <row r="4" spans="1:11" x14ac:dyDescent="0.2">
      <c r="A4" s="2328" t="s">
        <v>366</v>
      </c>
      <c r="B4" s="2329"/>
      <c r="C4" s="2329"/>
      <c r="D4" s="2329"/>
      <c r="E4" s="2310"/>
      <c r="F4" s="620"/>
      <c r="G4" s="1746"/>
      <c r="H4" s="1747"/>
      <c r="I4" s="1746"/>
      <c r="J4" s="1748"/>
      <c r="K4" s="1748"/>
    </row>
    <row r="5" spans="1:11" x14ac:dyDescent="0.2">
      <c r="A5" s="2348" t="s">
        <v>1060</v>
      </c>
      <c r="B5" s="2319"/>
      <c r="C5" s="2319"/>
      <c r="D5" s="2319"/>
      <c r="E5" s="2349"/>
      <c r="F5" s="622" t="s">
        <v>843</v>
      </c>
      <c r="G5" s="1749"/>
      <c r="H5" s="1744">
        <v>49539</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v>941</v>
      </c>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v>2229</v>
      </c>
    </row>
    <row r="10" spans="1:11" x14ac:dyDescent="0.2">
      <c r="A10" s="2348" t="s">
        <v>1790</v>
      </c>
      <c r="B10" s="2319"/>
      <c r="C10" s="2319"/>
      <c r="D10" s="2319"/>
      <c r="E10" s="2350"/>
      <c r="F10" s="633" t="s">
        <v>857</v>
      </c>
      <c r="G10" s="1753"/>
      <c r="H10" s="1754"/>
      <c r="I10" s="1744"/>
      <c r="J10" s="1745"/>
      <c r="K10" s="1745"/>
    </row>
    <row r="11" spans="1:11" x14ac:dyDescent="0.2">
      <c r="A11" s="2348" t="s">
        <v>159</v>
      </c>
      <c r="B11" s="2319"/>
      <c r="C11" s="2319"/>
      <c r="D11" s="2319"/>
      <c r="E11" s="2349"/>
      <c r="F11" s="622" t="s">
        <v>847</v>
      </c>
      <c r="G11" s="1749"/>
      <c r="H11" s="1744"/>
      <c r="I11" s="1744"/>
      <c r="J11" s="1745"/>
      <c r="K11" s="1751"/>
    </row>
    <row r="12" spans="1:11" ht="13.5" thickBot="1" x14ac:dyDescent="0.25">
      <c r="A12" s="2336" t="s">
        <v>899</v>
      </c>
      <c r="B12" s="2337"/>
      <c r="C12" s="2337"/>
      <c r="D12" s="2337"/>
      <c r="E12" s="2338"/>
      <c r="F12" s="1433"/>
      <c r="G12" s="1755">
        <f>SUM(G5:G11)</f>
        <v>0</v>
      </c>
      <c r="H12" s="1755">
        <f>SUM(H5:H11)</f>
        <v>49539</v>
      </c>
      <c r="I12" s="1755">
        <f>SUM(I5:I11)</f>
        <v>0</v>
      </c>
      <c r="J12" s="1755">
        <f>SUM(J5:J11)</f>
        <v>0</v>
      </c>
      <c r="K12" s="1755">
        <f>SUM(K5:K11)</f>
        <v>3170</v>
      </c>
    </row>
    <row r="13" spans="1:11" ht="13.5" thickTop="1" x14ac:dyDescent="0.2">
      <c r="A13" s="2330" t="s">
        <v>367</v>
      </c>
      <c r="B13" s="2331"/>
      <c r="C13" s="2331"/>
      <c r="D13" s="2331"/>
      <c r="E13" s="2332"/>
      <c r="F13" s="634"/>
      <c r="G13" s="1756"/>
      <c r="H13" s="1757"/>
      <c r="I13" s="1758"/>
      <c r="J13" s="1758"/>
      <c r="K13" s="1758"/>
    </row>
    <row r="14" spans="1:11" x14ac:dyDescent="0.2">
      <c r="A14" s="2354" t="s">
        <v>453</v>
      </c>
      <c r="B14" s="2354"/>
      <c r="C14" s="2354"/>
      <c r="D14" s="2354"/>
      <c r="E14" s="2355"/>
      <c r="F14" s="635" t="s">
        <v>849</v>
      </c>
      <c r="G14" s="1753"/>
      <c r="H14" s="1744">
        <v>49539</v>
      </c>
      <c r="I14" s="1749"/>
      <c r="J14" s="1751"/>
      <c r="K14" s="1745">
        <v>3170</v>
      </c>
    </row>
    <row r="15" spans="1:11" x14ac:dyDescent="0.2">
      <c r="A15" s="2319" t="s">
        <v>4</v>
      </c>
      <c r="B15" s="2319"/>
      <c r="C15" s="2319"/>
      <c r="D15" s="2319"/>
      <c r="E15" s="2349"/>
      <c r="F15" s="635" t="s">
        <v>850</v>
      </c>
      <c r="G15" s="1749"/>
      <c r="H15" s="1744"/>
      <c r="I15" s="1744"/>
      <c r="J15" s="1745"/>
      <c r="K15" s="1745"/>
    </row>
    <row r="16" spans="1:11" x14ac:dyDescent="0.2">
      <c r="A16" s="2319" t="s">
        <v>295</v>
      </c>
      <c r="B16" s="2319"/>
      <c r="C16" s="2319"/>
      <c r="D16" s="2319"/>
      <c r="E16" s="2349"/>
      <c r="F16" s="635" t="s">
        <v>917</v>
      </c>
      <c r="G16" s="1750"/>
      <c r="H16" s="1746"/>
      <c r="I16" s="1746"/>
      <c r="J16" s="1748"/>
      <c r="K16" s="1748"/>
    </row>
    <row r="17" spans="1:15" x14ac:dyDescent="0.2">
      <c r="A17" s="2343" t="s">
        <v>929</v>
      </c>
      <c r="B17" s="2343"/>
      <c r="C17" s="2343"/>
      <c r="D17" s="2343"/>
      <c r="E17" s="2344"/>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56" t="s">
        <v>1786</v>
      </c>
      <c r="B19" s="2356"/>
      <c r="C19" s="2356"/>
      <c r="D19" s="2356"/>
      <c r="E19" s="2357"/>
      <c r="F19" s="635" t="s">
        <v>927</v>
      </c>
      <c r="G19" s="1753"/>
      <c r="H19" s="1753"/>
      <c r="I19" s="1753"/>
      <c r="J19" s="1745"/>
      <c r="K19" s="1763"/>
    </row>
    <row r="20" spans="1:15" x14ac:dyDescent="0.2">
      <c r="A20" s="2333" t="s">
        <v>1791</v>
      </c>
      <c r="B20" s="2334"/>
      <c r="C20" s="2334"/>
      <c r="D20" s="2334"/>
      <c r="E20" s="2335"/>
      <c r="F20" s="635" t="s">
        <v>928</v>
      </c>
      <c r="G20" s="1753"/>
      <c r="H20" s="1753"/>
      <c r="I20" s="1753"/>
      <c r="J20" s="1745"/>
      <c r="K20" s="1763"/>
    </row>
    <row r="21" spans="1:15" ht="13.5" thickBot="1" x14ac:dyDescent="0.25">
      <c r="A21" s="2339" t="s">
        <v>633</v>
      </c>
      <c r="B21" s="2339"/>
      <c r="C21" s="2339"/>
      <c r="D21" s="2339"/>
      <c r="E21" s="2339"/>
      <c r="F21" s="1434"/>
      <c r="G21" s="1760"/>
      <c r="H21" s="1764"/>
      <c r="I21" s="1764"/>
      <c r="J21" s="1765">
        <f>SUM(J18:J20)</f>
        <v>0</v>
      </c>
      <c r="K21" s="1761"/>
    </row>
    <row r="22" spans="1:15" ht="13.5" thickTop="1" x14ac:dyDescent="0.2">
      <c r="A22" s="2319" t="s">
        <v>1792</v>
      </c>
      <c r="B22" s="2319"/>
      <c r="C22" s="2319"/>
      <c r="D22" s="2319"/>
      <c r="E22" s="2349"/>
      <c r="F22" s="635" t="s">
        <v>857</v>
      </c>
      <c r="G22" s="1753"/>
      <c r="H22" s="1744"/>
      <c r="I22" s="1744"/>
      <c r="J22" s="1766"/>
      <c r="K22" s="1745"/>
    </row>
    <row r="23" spans="1:15" ht="13.5" thickBot="1" x14ac:dyDescent="0.25">
      <c r="A23" s="2340" t="s">
        <v>900</v>
      </c>
      <c r="B23" s="2339"/>
      <c r="C23" s="2339"/>
      <c r="D23" s="2339"/>
      <c r="E23" s="2339"/>
      <c r="F23" s="1436"/>
      <c r="G23" s="1755">
        <f>SUM(G14:G16,G21,G22)</f>
        <v>0</v>
      </c>
      <c r="H23" s="1755">
        <f>SUM(H14:H16,H21,H22)</f>
        <v>49539</v>
      </c>
      <c r="I23" s="1755">
        <f>SUM(I14:I16,I21,I22)</f>
        <v>0</v>
      </c>
      <c r="J23" s="1755">
        <f>SUM(J14:J16,J21,J22)</f>
        <v>0</v>
      </c>
      <c r="K23" s="1755">
        <f>SUM(K14:K16,K21,K22)</f>
        <v>3170</v>
      </c>
      <c r="M23" s="1846"/>
      <c r="N23" s="1846"/>
      <c r="O23" s="1846"/>
    </row>
    <row r="24" spans="1:15" ht="14.25" thickTop="1" thickBot="1" x14ac:dyDescent="0.25">
      <c r="A24" s="2341" t="str">
        <f>"Ending Cash Basis Fund Balance as of June 30, "&amp;'AFR20'!E2</f>
        <v>Ending Cash Basis Fund Balance as of June 30, 2020</v>
      </c>
      <c r="B24" s="2342"/>
      <c r="C24" s="2342"/>
      <c r="D24" s="2342"/>
      <c r="E24" s="2342"/>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1"/>
      <c r="I31" s="2352"/>
      <c r="J31" s="2352"/>
      <c r="K31" s="2352"/>
    </row>
    <row r="32" spans="1:15" x14ac:dyDescent="0.2">
      <c r="A32" s="649"/>
      <c r="B32" s="232"/>
      <c r="C32" s="232"/>
      <c r="D32" s="232"/>
      <c r="E32" s="645"/>
      <c r="F32" s="651" t="s">
        <v>537</v>
      </c>
      <c r="G32" s="618"/>
      <c r="H32" s="2353"/>
      <c r="I32" s="2352"/>
      <c r="J32" s="2352"/>
      <c r="K32" s="2352"/>
    </row>
    <row r="33" spans="1:11" ht="1.5" customHeight="1" x14ac:dyDescent="0.2">
      <c r="A33" s="652" t="s">
        <v>1159</v>
      </c>
      <c r="B33" s="341"/>
      <c r="C33" s="341"/>
      <c r="D33" s="341"/>
      <c r="E33" s="341"/>
      <c r="F33" s="341"/>
      <c r="G33" s="653"/>
      <c r="H33" s="2353"/>
      <c r="I33" s="2352"/>
      <c r="J33" s="2352"/>
      <c r="K33" s="2352"/>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9" t="s">
        <v>538</v>
      </c>
      <c r="B41" s="2320"/>
      <c r="C41" s="2320"/>
      <c r="D41" s="2320"/>
      <c r="E41" s="2320"/>
      <c r="F41" s="2321"/>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D1" sqref="D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7500</v>
      </c>
      <c r="D5" s="1770"/>
      <c r="E5" s="1770"/>
      <c r="F5" s="1765">
        <f>(C5+D5)-E5</f>
        <v>7500</v>
      </c>
      <c r="G5" s="676"/>
      <c r="H5" s="680"/>
      <c r="I5" s="680"/>
      <c r="J5" s="680"/>
      <c r="K5" s="637"/>
      <c r="L5" s="1442">
        <f>F5-K5</f>
        <v>7500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2905877</v>
      </c>
      <c r="D8" s="1771">
        <v>114402</v>
      </c>
      <c r="E8" s="1771"/>
      <c r="F8" s="1765">
        <f>(C8+D8)-E8</f>
        <v>3020279</v>
      </c>
      <c r="G8" s="681">
        <v>50</v>
      </c>
      <c r="H8" s="619">
        <v>1683219</v>
      </c>
      <c r="I8" s="619">
        <v>35657</v>
      </c>
      <c r="J8" s="619"/>
      <c r="K8" s="1442">
        <f>(H8+I8)-J8</f>
        <v>1718876</v>
      </c>
      <c r="L8" s="1442">
        <f>F8-K8</f>
        <v>1301403</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41861</v>
      </c>
      <c r="D10" s="1772"/>
      <c r="E10" s="1772"/>
      <c r="F10" s="1773">
        <f>(C10+D10)-E10</f>
        <v>41861</v>
      </c>
      <c r="G10" s="681">
        <v>20</v>
      </c>
      <c r="H10" s="683">
        <v>27777</v>
      </c>
      <c r="I10" s="683">
        <v>2093</v>
      </c>
      <c r="J10" s="683"/>
      <c r="K10" s="1442">
        <f>(H10+I10)-J10</f>
        <v>29870</v>
      </c>
      <c r="L10" s="1442">
        <f>F10-K10</f>
        <v>11991</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297728</v>
      </c>
      <c r="D12" s="1771">
        <v>104503</v>
      </c>
      <c r="E12" s="1771">
        <v>3935</v>
      </c>
      <c r="F12" s="1765">
        <f>(C12+D12)-E12</f>
        <v>398296</v>
      </c>
      <c r="G12" s="681">
        <v>10</v>
      </c>
      <c r="H12" s="619">
        <v>176078</v>
      </c>
      <c r="I12" s="619">
        <v>29375</v>
      </c>
      <c r="J12" s="619">
        <v>3935</v>
      </c>
      <c r="K12" s="1442">
        <f>(H12+I12)-J12</f>
        <v>201518</v>
      </c>
      <c r="L12" s="1442">
        <f>F12-K12</f>
        <v>196778</v>
      </c>
    </row>
    <row r="13" spans="1:14" ht="14.25" thickTop="1" thickBot="1" x14ac:dyDescent="0.25">
      <c r="A13" s="684" t="s">
        <v>1112</v>
      </c>
      <c r="B13" s="679">
        <v>252</v>
      </c>
      <c r="C13" s="1771">
        <v>407365</v>
      </c>
      <c r="D13" s="1771">
        <v>59999</v>
      </c>
      <c r="E13" s="1771"/>
      <c r="F13" s="1765">
        <f>(C13+D13)-E13</f>
        <v>467364</v>
      </c>
      <c r="G13" s="681">
        <v>5</v>
      </c>
      <c r="H13" s="619">
        <v>140013</v>
      </c>
      <c r="I13" s="619">
        <v>80419</v>
      </c>
      <c r="J13" s="619"/>
      <c r="K13" s="1442">
        <f>(H13+I13)-J13</f>
        <v>220432</v>
      </c>
      <c r="L13" s="1442">
        <f>F13-K13</f>
        <v>246932</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3660331</v>
      </c>
      <c r="D16" s="1765">
        <f>SUM(D3,D5:D6,D8:D10,D12:D15)</f>
        <v>278904</v>
      </c>
      <c r="E16" s="1765">
        <f>SUM(E3,E5:E6,E8:E10,E12:E15)</f>
        <v>3935</v>
      </c>
      <c r="F16" s="1765">
        <f>SUM(F3,F5:F6,F8:F10,F12:F15)</f>
        <v>3935300</v>
      </c>
      <c r="G16" s="681"/>
      <c r="H16" s="1435">
        <f>SUM(H3,H6,H8:H10,H12:H14,)</f>
        <v>2027087</v>
      </c>
      <c r="I16" s="1435">
        <f>SUM(I3,I6,I8:I10,I12:I14,)</f>
        <v>147544</v>
      </c>
      <c r="J16" s="1435">
        <f>SUM(J3,J6,J8:J10,J12:J14,)</f>
        <v>3935</v>
      </c>
      <c r="K16" s="1435">
        <f>(H16+I16)-J16</f>
        <v>2170696</v>
      </c>
      <c r="L16" s="1435">
        <f>F16-K16</f>
        <v>1764604</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147544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2730784</v>
      </c>
      <c r="G8" s="701"/>
    </row>
    <row r="9" spans="1:9" x14ac:dyDescent="0.2">
      <c r="A9" s="705" t="s">
        <v>457</v>
      </c>
      <c r="B9" s="706" t="s">
        <v>1848</v>
      </c>
      <c r="C9" s="707"/>
      <c r="D9" s="705" t="s">
        <v>498</v>
      </c>
      <c r="E9" s="704"/>
      <c r="F9" s="1775">
        <f>'Expenditures 15-22'!K151</f>
        <v>425886</v>
      </c>
      <c r="G9" s="708"/>
    </row>
    <row r="10" spans="1:9" x14ac:dyDescent="0.2">
      <c r="A10" s="705" t="s">
        <v>496</v>
      </c>
      <c r="B10" s="706" t="s">
        <v>1849</v>
      </c>
      <c r="C10" s="707"/>
      <c r="D10" s="705" t="s">
        <v>498</v>
      </c>
      <c r="E10" s="704"/>
      <c r="F10" s="1775">
        <f>'Expenditures 15-22'!K174</f>
        <v>0</v>
      </c>
      <c r="G10" s="708"/>
    </row>
    <row r="11" spans="1:9" x14ac:dyDescent="0.2">
      <c r="A11" s="705" t="s">
        <v>458</v>
      </c>
      <c r="B11" s="706" t="s">
        <v>1850</v>
      </c>
      <c r="C11" s="707"/>
      <c r="D11" s="705" t="s">
        <v>498</v>
      </c>
      <c r="E11" s="704"/>
      <c r="F11" s="1775">
        <f>'Expenditures 15-22'!K210</f>
        <v>243064</v>
      </c>
      <c r="G11" s="708"/>
    </row>
    <row r="12" spans="1:9" x14ac:dyDescent="0.2">
      <c r="A12" s="705" t="s">
        <v>459</v>
      </c>
      <c r="B12" s="706" t="s">
        <v>1851</v>
      </c>
      <c r="C12" s="707"/>
      <c r="D12" s="705" t="s">
        <v>498</v>
      </c>
      <c r="E12" s="704"/>
      <c r="F12" s="1775">
        <f>'Expenditures 15-22'!K295</f>
        <v>117353</v>
      </c>
      <c r="G12" s="708"/>
    </row>
    <row r="13" spans="1:9" x14ac:dyDescent="0.2">
      <c r="A13" s="705" t="s">
        <v>106</v>
      </c>
      <c r="B13" s="706" t="s">
        <v>1852</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3517087</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1066</v>
      </c>
      <c r="G52" s="701"/>
    </row>
    <row r="53" spans="1:7" x14ac:dyDescent="0.2">
      <c r="A53" s="705" t="s">
        <v>456</v>
      </c>
      <c r="B53" s="705" t="s">
        <v>1458</v>
      </c>
      <c r="C53" s="724">
        <f>'Expenditures 15-22'!B102</f>
        <v>4000</v>
      </c>
      <c r="D53" s="723" t="str">
        <f>'Expenditures 15-22'!A102</f>
        <v>Total Payments to Other Govt Units</v>
      </c>
      <c r="E53" s="704"/>
      <c r="F53" s="1782">
        <f>'Expenditures 15-22'!K102</f>
        <v>296561</v>
      </c>
      <c r="G53" s="701"/>
    </row>
    <row r="54" spans="1:7" x14ac:dyDescent="0.2">
      <c r="A54" s="705" t="s">
        <v>456</v>
      </c>
      <c r="B54" s="705" t="s">
        <v>1459</v>
      </c>
      <c r="C54" s="724" t="s">
        <v>975</v>
      </c>
      <c r="D54" s="720" t="s">
        <v>1086</v>
      </c>
      <c r="E54" s="704"/>
      <c r="F54" s="1782">
        <f>'Expenditures 15-22'!G114</f>
        <v>104503</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114402</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59999</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576531</v>
      </c>
      <c r="G77" s="701"/>
    </row>
    <row r="78" spans="1:9" s="728" customFormat="1" ht="12" customHeight="1" thickTop="1" thickBot="1" x14ac:dyDescent="0.25">
      <c r="A78" s="1450"/>
      <c r="B78" s="1448"/>
      <c r="C78" s="1445"/>
      <c r="D78" s="1449" t="s">
        <v>2012</v>
      </c>
      <c r="E78" s="1447"/>
      <c r="F78" s="1788">
        <f>(F14-F77)</f>
        <v>2940556</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217</v>
      </c>
      <c r="G79" s="733"/>
      <c r="H79" s="705"/>
      <c r="I79" s="705"/>
    </row>
    <row r="80" spans="1:9" s="728" customFormat="1" ht="12" customHeight="1" thickBot="1" x14ac:dyDescent="0.25">
      <c r="A80" s="1452"/>
      <c r="B80" s="1448"/>
      <c r="C80" s="1445"/>
      <c r="D80" s="1449" t="s">
        <v>2013</v>
      </c>
      <c r="E80" s="1447" t="s">
        <v>952</v>
      </c>
      <c r="F80" s="1790">
        <f>IF(F79&gt;0,F78/F79," Complete Line 79")</f>
        <v>13550.94930875576</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28182</v>
      </c>
      <c r="G95" s="745"/>
    </row>
    <row r="96" spans="1:7" x14ac:dyDescent="0.2">
      <c r="A96" s="741" t="s">
        <v>139</v>
      </c>
      <c r="B96" s="741" t="s">
        <v>174</v>
      </c>
      <c r="C96" s="743">
        <v>1700</v>
      </c>
      <c r="D96" s="751" t="str">
        <f>'Revenues 9-14'!A82</f>
        <v>Total District/School Activity Income</v>
      </c>
      <c r="E96" s="739"/>
      <c r="F96" s="1793">
        <f>SUM('Revenues 9-14'!C82,'Revenues 9-14'!D82)</f>
        <v>8990</v>
      </c>
      <c r="G96" s="745"/>
    </row>
    <row r="97" spans="1:7" x14ac:dyDescent="0.2">
      <c r="A97" s="741" t="s">
        <v>456</v>
      </c>
      <c r="B97" s="741" t="s">
        <v>175</v>
      </c>
      <c r="C97" s="743">
        <f>'Revenues 9-14'!B84</f>
        <v>1811</v>
      </c>
      <c r="D97" s="744" t="str">
        <f>'Revenues 9-14'!A84</f>
        <v>Rentals - Regular Textbooks</v>
      </c>
      <c r="E97" s="739"/>
      <c r="F97" s="1793">
        <f>'Revenues 9-14'!C84</f>
        <v>15161</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1527</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3235</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397</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2169</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77209</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1926</v>
      </c>
      <c r="C122" s="761">
        <f>'Revenues 9-14'!B168</f>
        <v>3999</v>
      </c>
      <c r="D122" s="762" t="s">
        <v>540</v>
      </c>
      <c r="E122" s="764"/>
      <c r="F122" s="1793">
        <f>SUM('Revenues 9-14'!C168:G168,'Revenues 9-14'!J168)</f>
        <v>8384</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35390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75228</v>
      </c>
      <c r="G126" s="763"/>
    </row>
    <row r="127" spans="1:7" x14ac:dyDescent="0.2">
      <c r="A127" s="760" t="s">
        <v>663</v>
      </c>
      <c r="B127" s="760" t="s">
        <v>1931</v>
      </c>
      <c r="C127" s="765">
        <v>4300</v>
      </c>
      <c r="D127" s="766" t="str">
        <f>'Revenues 9-14'!A204</f>
        <v>Total Title I</v>
      </c>
      <c r="E127" s="739"/>
      <c r="F127" s="1793">
        <f>SUM('Revenues 9-14'!C204,'Revenues 9-14'!D204,'Revenues 9-14'!F204,'Revenues 9-14'!G204)</f>
        <v>240202</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14910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3175</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37676</v>
      </c>
      <c r="G171" s="760"/>
    </row>
    <row r="172" spans="1:7" x14ac:dyDescent="0.2">
      <c r="A172" s="1529" t="s">
        <v>5</v>
      </c>
      <c r="B172" s="1530" t="s">
        <v>1885</v>
      </c>
      <c r="C172" s="1531">
        <v>3100</v>
      </c>
      <c r="D172" s="1532" t="s">
        <v>1887</v>
      </c>
      <c r="E172" s="739"/>
      <c r="F172" s="1794">
        <v>35180</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637015</v>
      </c>
    </row>
    <row r="176" spans="1:7" ht="12" customHeight="1" x14ac:dyDescent="0.2">
      <c r="A176" s="1443"/>
      <c r="B176" s="1453"/>
      <c r="C176" s="1454"/>
      <c r="D176" s="1455" t="s">
        <v>2014</v>
      </c>
      <c r="E176" s="1456"/>
      <c r="F176" s="1793">
        <f>'PCTC-OEPP 27-28'!F78-F175</f>
        <v>2303541</v>
      </c>
    </row>
    <row r="177" spans="1:9" ht="12" customHeight="1" x14ac:dyDescent="0.2">
      <c r="A177" s="1443"/>
      <c r="B177" s="1453"/>
      <c r="C177" s="1454"/>
      <c r="D177" s="1455" t="s">
        <v>1794</v>
      </c>
      <c r="E177" s="1456"/>
      <c r="F177" s="1793">
        <f>'Cap Outlay Deprec 26'!I18</f>
        <v>147544</v>
      </c>
    </row>
    <row r="178" spans="1:9" ht="12" customHeight="1" x14ac:dyDescent="0.2">
      <c r="A178" s="1443"/>
      <c r="B178" s="1453"/>
      <c r="C178" s="1454"/>
      <c r="D178" s="1455" t="s">
        <v>2015</v>
      </c>
      <c r="E178" s="1456"/>
      <c r="F178" s="1793">
        <f>F176+F177</f>
        <v>2451085</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217</v>
      </c>
      <c r="G179" s="763"/>
      <c r="I179" s="701"/>
    </row>
    <row r="180" spans="1:9" ht="12" customHeight="1" thickBot="1" x14ac:dyDescent="0.25">
      <c r="A180" s="1443"/>
      <c r="B180" s="1457"/>
      <c r="C180" s="1454"/>
      <c r="D180" s="1455" t="s">
        <v>2017</v>
      </c>
      <c r="E180" s="1456" t="s">
        <v>1528</v>
      </c>
      <c r="F180" s="1798">
        <f>F178/F179</f>
        <v>11295.322580645161</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5" t="s">
        <v>2072</v>
      </c>
      <c r="B18" s="1908">
        <v>102300300</v>
      </c>
      <c r="C18" s="2036" t="s">
        <v>2069</v>
      </c>
      <c r="D18" s="1886">
        <v>25505</v>
      </c>
      <c r="E18" s="1906" t="str">
        <f t="shared" ref="E18:E81" si="0">IF(D18&lt;25000,D18,"25,000")</f>
        <v>25,000</v>
      </c>
      <c r="F18" s="1906">
        <f t="shared" ref="F18:F81" si="1">IF(D18&gt;=25000,(D18-E18),"0")</f>
        <v>505</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25505</v>
      </c>
      <c r="E142" s="1893">
        <f>SUM(E18:E141)</f>
        <v>0</v>
      </c>
      <c r="F142" s="1894">
        <f>SUM(F18:F141)</f>
        <v>505</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D1" sqref="D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45020</v>
      </c>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v>9854</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1696048</v>
      </c>
      <c r="F19" s="1802"/>
      <c r="G19" s="1804">
        <f>'Expenditures 15-22'!K33-SUM('Expenditures 15-22'!G33,'Expenditures 15-22'!I33)+'Expenditures 15-22'!D229</f>
        <v>1696048</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25747</v>
      </c>
      <c r="F21" s="1805"/>
      <c r="G21" s="1808">
        <f>'Expenditures 15-22'!K42-SUM('Expenditures 15-22'!G42,'Expenditures 15-22'!I42)+'Expenditures 15-22'!K120-SUM('Expenditures 15-22'!G120,'Expenditures 15-22'!I120)+'Expenditures 15-22'!K180-SUM('Expenditures 15-22'!G180,'Expenditures 15-22'!I180)+'Expenditures 15-22'!D238</f>
        <v>25747</v>
      </c>
      <c r="H21" s="817"/>
      <c r="I21" s="157"/>
    </row>
    <row r="22" spans="1:9" s="542" customFormat="1" ht="12" customHeight="1" x14ac:dyDescent="0.2">
      <c r="A22" s="824" t="s">
        <v>560</v>
      </c>
      <c r="B22" s="825"/>
      <c r="C22" s="823">
        <v>2200</v>
      </c>
      <c r="D22" s="1805"/>
      <c r="E22" s="1807">
        <f>'Expenditures 15-22'!K47-SUM('Expenditures 15-22'!G47,'Expenditures 15-22'!I47)+'Expenditures 15-22'!D243</f>
        <v>55236</v>
      </c>
      <c r="F22" s="1805"/>
      <c r="G22" s="1808">
        <f>'Expenditures 15-22'!K47-SUM('Expenditures 15-22'!G47,'Expenditures 15-22'!I47)+'Expenditures 15-22'!D243</f>
        <v>55236</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199074</v>
      </c>
      <c r="F23" s="1805"/>
      <c r="G23" s="1807">
        <f>'Expenditures 15-22'!K53-SUM('Expenditures 15-22'!G53,'Expenditures 15-22'!I53)+'Expenditures 15-22'!D257+'Expenditures 15-22'!K330-SUM('Expenditures 15-22'!G330,'Expenditures 15-22'!I330)</f>
        <v>199074</v>
      </c>
      <c r="H23" s="817"/>
      <c r="I23" s="157"/>
    </row>
    <row r="24" spans="1:9" s="542" customFormat="1" ht="12" customHeight="1" x14ac:dyDescent="0.2">
      <c r="A24" s="824" t="s">
        <v>562</v>
      </c>
      <c r="B24" s="825"/>
      <c r="C24" s="823">
        <v>2400</v>
      </c>
      <c r="D24" s="1805"/>
      <c r="E24" s="1807">
        <f>'Expenditures 15-22'!K57-SUM('Expenditures 15-22'!G57,'Expenditures 15-22'!I57)+'Expenditures 15-22'!D261</f>
        <v>164755</v>
      </c>
      <c r="F24" s="1805"/>
      <c r="G24" s="1808">
        <f>'Expenditures 15-22'!K57-SUM('Expenditures 15-22'!G57,'Expenditures 15-22'!I57)+'Expenditures 15-22'!D261</f>
        <v>164755</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141065</v>
      </c>
      <c r="E27" s="1807">
        <f>E8</f>
        <v>0</v>
      </c>
      <c r="F27" s="1807">
        <f>'Expenditures 15-22'!K60-SUM('Expenditures 15-22'!G60,'Expenditures 15-22'!I60)+'Expenditures 15-22'!D264-E8</f>
        <v>141065</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325498</v>
      </c>
      <c r="F28" s="1809">
        <f>'Expenditures 15-22'!K61-SUM('Expenditures 15-22'!G61,'Expenditures 15-22'!I61)+'Expenditures 15-22'!K124-SUM('Expenditures 15-22'!G124,'Expenditures 15-22'!I124)+'Expenditures 15-22'!D266-E9</f>
        <v>325498</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206608</v>
      </c>
      <c r="F29" s="1805"/>
      <c r="G29" s="1808">
        <f>'Expenditures 15-22'!K62-SUM('Expenditures 15-22'!G62,'Expenditures 15-22'!I62)+'Expenditures 15-22'!K125-SUM('Expenditures 15-22'!G125,'Expenditures 15-22'!I125)+'Expenditures 15-22'!K182-SUM('Expenditures 15-22'!G182,'Expenditures 15-22'!I182)+'Expenditures 15-22'!D267</f>
        <v>206608</v>
      </c>
      <c r="H29" s="815"/>
    </row>
    <row r="30" spans="1:9" ht="12" customHeight="1" x14ac:dyDescent="0.2">
      <c r="A30" s="824" t="s">
        <v>100</v>
      </c>
      <c r="B30" s="827"/>
      <c r="C30" s="823">
        <v>2560</v>
      </c>
      <c r="D30" s="1805"/>
      <c r="E30" s="1807">
        <f>'Expenditures 15-22'!K63-SUM('Expenditures 15-22'!G63,'Expenditures 15-22'!I63)+'Expenditures 15-22'!D268-E10</f>
        <v>74373</v>
      </c>
      <c r="F30" s="1805"/>
      <c r="G30" s="1807">
        <f>'Expenditures 15-22'!K63-SUM('Expenditures 15-22'!G63,'Expenditures 15-22'!I63)+'Expenditures 15-22'!D268-E10</f>
        <v>74373</v>
      </c>
    </row>
    <row r="31" spans="1:9" ht="12" customHeight="1" x14ac:dyDescent="0.2">
      <c r="A31" s="824" t="s">
        <v>101</v>
      </c>
      <c r="B31" s="827"/>
      <c r="C31" s="823">
        <v>2570</v>
      </c>
      <c r="D31" s="1807">
        <f>'Expenditures 15-22'!K64-SUM('Expenditures 15-22'!G64,'Expenditures 15-22'!I64)+'Expenditures 15-22'!D269-E12</f>
        <v>220</v>
      </c>
      <c r="E31" s="1807">
        <f>E12</f>
        <v>0</v>
      </c>
      <c r="F31" s="1807">
        <f>'Expenditures 15-22'!K64-SUM('Expenditures 15-22'!G64,'Expenditures 15-22'!I64)+'Expenditures 15-22'!D269-E12</f>
        <v>220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1066</v>
      </c>
      <c r="F39" s="1805"/>
      <c r="G39" s="1807">
        <f>'Expenditures 15-22'!K75-SUM('Expenditures 15-22'!G75,'Expenditures 15-22'!I75)+'Expenditures 15-22'!K130-SUM('Expenditures 15-22'!G130,'Expenditures 15-22'!I130)+'Expenditures 15-22'!K185-SUM('Expenditures 15-22'!G185,'Expenditures 15-22'!I185)+'Expenditures 15-22'!D280</f>
        <v>1066</v>
      </c>
    </row>
    <row r="40" spans="1:7" ht="12" customHeight="1" x14ac:dyDescent="0.2">
      <c r="A40" s="820" t="s">
        <v>1798</v>
      </c>
      <c r="B40" s="821"/>
      <c r="C40" s="823"/>
      <c r="D40" s="1805"/>
      <c r="E40" s="1809">
        <f>-'Contracts Paid in CY 29'!F142</f>
        <v>-505</v>
      </c>
      <c r="F40" s="1805"/>
      <c r="G40" s="1809">
        <f>-'Contracts Paid in CY 29'!F142</f>
        <v>-505</v>
      </c>
    </row>
    <row r="41" spans="1:7" ht="12" customHeight="1" x14ac:dyDescent="0.2">
      <c r="A41" s="828" t="s">
        <v>155</v>
      </c>
      <c r="B41" s="829"/>
      <c r="C41" s="830"/>
      <c r="D41" s="1809">
        <f>SUM(D19:D39)</f>
        <v>141285</v>
      </c>
      <c r="E41" s="1809">
        <f>SUM(E19:E40)</f>
        <v>2747900</v>
      </c>
      <c r="F41" s="1809">
        <f>SUM(F19:F39)</f>
        <v>466783</v>
      </c>
      <c r="G41" s="1809">
        <f>SUM(G19:G40)</f>
        <v>2422402</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141285</v>
      </c>
      <c r="F43" s="1458" t="s">
        <v>470</v>
      </c>
      <c r="G43" s="1810">
        <f>F41</f>
        <v>466783</v>
      </c>
    </row>
    <row r="44" spans="1:7" ht="12" customHeight="1" x14ac:dyDescent="0.2">
      <c r="A44" s="817"/>
      <c r="B44" s="157"/>
      <c r="C44" s="831"/>
      <c r="D44" s="1458" t="s">
        <v>471</v>
      </c>
      <c r="E44" s="1810">
        <f>E41</f>
        <v>2747900</v>
      </c>
      <c r="F44" s="1458" t="s">
        <v>471</v>
      </c>
      <c r="G44" s="1810">
        <f>G41</f>
        <v>2422402</v>
      </c>
    </row>
    <row r="45" spans="1:7" ht="12" customHeight="1" x14ac:dyDescent="0.2">
      <c r="A45" s="817"/>
      <c r="B45" s="157"/>
      <c r="C45" s="157"/>
      <c r="D45" s="1459" t="s">
        <v>999</v>
      </c>
      <c r="E45" s="1811">
        <f>(E43/E44)</f>
        <v>5.1415626478401685E-2</v>
      </c>
      <c r="F45" s="1459" t="s">
        <v>999</v>
      </c>
      <c r="G45" s="1811">
        <f>(G43/G44)</f>
        <v>0.19269427617711676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A7" sqref="A7"/>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0" t="s">
        <v>1363</v>
      </c>
      <c r="B1" s="2400"/>
      <c r="C1" s="2400"/>
      <c r="D1" s="2400"/>
      <c r="E1" s="2400"/>
      <c r="F1" s="2400"/>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1" t="s">
        <v>1529</v>
      </c>
      <c r="B5" s="2402"/>
      <c r="C5" s="2403"/>
      <c r="D5" s="2403"/>
      <c r="E5" s="2403"/>
      <c r="F5" s="2403"/>
      <c r="G5" s="1507"/>
      <c r="L5" s="1507"/>
      <c r="M5" s="1855"/>
      <c r="N5" s="1855"/>
      <c r="O5" s="1855"/>
    </row>
    <row r="6" spans="1:15" ht="12" customHeight="1" x14ac:dyDescent="0.25">
      <c r="A6" s="1480"/>
      <c r="B6" s="1481"/>
      <c r="C6" s="2404" t="str">
        <f>COVER!A17</f>
        <v>Greenview CUSD 200</v>
      </c>
      <c r="D6" s="2404"/>
      <c r="E6" s="2404"/>
      <c r="F6" s="1482"/>
      <c r="G6" s="1507"/>
      <c r="L6" s="1507"/>
      <c r="M6" s="1855"/>
      <c r="N6" s="1855"/>
      <c r="O6" s="1855"/>
    </row>
    <row r="7" spans="1:15" ht="11.25" customHeight="1" thickBot="1" x14ac:dyDescent="0.3">
      <c r="A7" s="1480"/>
      <c r="B7" s="1481"/>
      <c r="C7" s="2405">
        <f>COVER!A13</f>
        <v>51065200026</v>
      </c>
      <c r="D7" s="2405"/>
      <c r="E7" s="2405"/>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t="s">
        <v>2058</v>
      </c>
      <c r="D19" s="1495" t="s">
        <v>2058</v>
      </c>
      <c r="E19" s="1498"/>
      <c r="F19" s="1497" t="s">
        <v>2069</v>
      </c>
      <c r="G19" s="1507"/>
      <c r="H19" s="1507">
        <f t="shared" si="0"/>
        <v>5</v>
      </c>
      <c r="I19" s="1507">
        <f t="shared" si="1"/>
        <v>5</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2058</v>
      </c>
      <c r="D26" s="1495" t="s">
        <v>2058</v>
      </c>
      <c r="E26" s="1498"/>
      <c r="F26" s="1497" t="s">
        <v>2070</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2058</v>
      </c>
      <c r="D31" s="1495" t="s">
        <v>2058</v>
      </c>
      <c r="E31" s="1498"/>
      <c r="F31" s="1497" t="s">
        <v>2071</v>
      </c>
      <c r="G31" s="1507"/>
      <c r="H31" s="1507">
        <f t="shared" si="0"/>
        <v>5</v>
      </c>
      <c r="I31" s="1507">
        <f t="shared" si="1"/>
        <v>5</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15</v>
      </c>
      <c r="I34" s="1507">
        <f>SUM(I11:I32)</f>
        <v>15</v>
      </c>
      <c r="J34" s="1507">
        <f>SUM(J11:J32)</f>
        <v>0</v>
      </c>
      <c r="K34" s="1507">
        <f>SUM(H34:J34)</f>
        <v>30</v>
      </c>
      <c r="L34" s="1507"/>
      <c r="M34" s="1855"/>
      <c r="N34" s="1855"/>
      <c r="O34" s="1855"/>
    </row>
    <row r="35" spans="1:15" ht="12" customHeight="1" x14ac:dyDescent="0.2">
      <c r="A35" s="1500" t="s">
        <v>1376</v>
      </c>
      <c r="B35" s="1501"/>
      <c r="C35" s="2406"/>
      <c r="D35" s="2406"/>
      <c r="E35" s="2406"/>
      <c r="F35" s="2407"/>
    </row>
    <row r="36" spans="1:15" ht="12" customHeight="1" x14ac:dyDescent="0.2">
      <c r="A36" s="2397"/>
      <c r="B36" s="2398"/>
      <c r="C36" s="2398"/>
      <c r="D36" s="2398"/>
      <c r="E36" s="2398"/>
      <c r="F36" s="2399"/>
    </row>
    <row r="37" spans="1:15" ht="12" customHeight="1" x14ac:dyDescent="0.2">
      <c r="A37" s="2397"/>
      <c r="B37" s="2398"/>
      <c r="C37" s="2398"/>
      <c r="D37" s="2398"/>
      <c r="E37" s="2398"/>
      <c r="F37" s="2399"/>
    </row>
    <row r="38" spans="1:15" ht="12" customHeight="1" x14ac:dyDescent="0.2">
      <c r="A38" s="2411"/>
      <c r="B38" s="2412"/>
      <c r="C38" s="2412"/>
      <c r="D38" s="2412"/>
      <c r="E38" s="2412"/>
      <c r="F38" s="2413"/>
    </row>
    <row r="39" spans="1:15" ht="4.5" hidden="1" customHeight="1" x14ac:dyDescent="0.2">
      <c r="A39" s="1502"/>
      <c r="B39" s="1502"/>
      <c r="C39" s="1502"/>
      <c r="D39" s="1502"/>
      <c r="E39" s="1502"/>
      <c r="F39" s="1502"/>
    </row>
    <row r="40" spans="1:15" s="1499" customFormat="1" ht="12" customHeight="1" x14ac:dyDescent="0.25">
      <c r="A40" s="1503" t="s">
        <v>1375</v>
      </c>
      <c r="B40" s="1504"/>
      <c r="C40" s="2414"/>
      <c r="D40" s="2414"/>
      <c r="E40" s="2414"/>
      <c r="F40" s="2415"/>
      <c r="H40" s="1508"/>
      <c r="I40" s="1508"/>
      <c r="J40" s="1508"/>
      <c r="K40" s="1508"/>
    </row>
    <row r="41" spans="1:15" s="1499" customFormat="1" ht="12" customHeight="1" x14ac:dyDescent="0.25">
      <c r="A41" s="2416"/>
      <c r="B41" s="2417"/>
      <c r="C41" s="2417"/>
      <c r="D41" s="2417"/>
      <c r="E41" s="2417"/>
      <c r="F41" s="2418"/>
      <c r="H41" s="1508"/>
      <c r="I41" s="1508"/>
      <c r="J41" s="1508"/>
      <c r="K41" s="1508"/>
    </row>
    <row r="42" spans="1:15" s="1499" customFormat="1" ht="12" customHeight="1" x14ac:dyDescent="0.25">
      <c r="A42" s="2416"/>
      <c r="B42" s="2417"/>
      <c r="C42" s="2417"/>
      <c r="D42" s="2417"/>
      <c r="E42" s="2417"/>
      <c r="F42" s="2418"/>
      <c r="H42" s="1508"/>
      <c r="I42" s="1508"/>
      <c r="J42" s="1508"/>
      <c r="K42" s="1508"/>
    </row>
    <row r="43" spans="1:15" s="1499" customFormat="1" ht="15" x14ac:dyDescent="0.25">
      <c r="A43" s="2408"/>
      <c r="B43" s="2409"/>
      <c r="C43" s="2409"/>
      <c r="D43" s="2409"/>
      <c r="E43" s="2409"/>
      <c r="F43" s="2410"/>
      <c r="H43" s="1508"/>
      <c r="I43" s="1508"/>
      <c r="J43" s="1508"/>
      <c r="K43" s="1508"/>
    </row>
    <row r="44" spans="1:15" s="1499" customFormat="1" ht="12" hidden="1" customHeight="1" x14ac:dyDescent="0.25">
      <c r="A44" s="2408"/>
      <c r="B44" s="2409"/>
      <c r="C44" s="2409"/>
      <c r="D44" s="2409"/>
      <c r="E44" s="2409"/>
      <c r="F44" s="241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C1" sqref="C1"/>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20" t="str">
        <f>COVER!A17</f>
        <v>Greenview CUSD 200</v>
      </c>
      <c r="K6" s="2420"/>
      <c r="L6" s="2421"/>
      <c r="M6" s="838"/>
      <c r="N6" s="1998"/>
    </row>
    <row r="7" spans="1:14" x14ac:dyDescent="0.2">
      <c r="A7" s="2422" t="s">
        <v>864</v>
      </c>
      <c r="B7" s="2423"/>
      <c r="C7" s="2423"/>
      <c r="D7" s="2423"/>
      <c r="E7" s="2424"/>
      <c r="F7" s="839"/>
      <c r="G7" s="838"/>
      <c r="H7" s="838"/>
      <c r="I7" s="1924" t="s">
        <v>369</v>
      </c>
      <c r="J7" s="2425">
        <f>COVER!A13</f>
        <v>51065200026</v>
      </c>
      <c r="K7" s="2425"/>
      <c r="L7" s="2425"/>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26" t="s">
        <v>478</v>
      </c>
      <c r="B11" s="2427"/>
      <c r="C11" s="2428"/>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105971</v>
      </c>
      <c r="F12" s="1942"/>
      <c r="G12" s="1968">
        <f>G68</f>
        <v>0</v>
      </c>
      <c r="H12" s="1944">
        <f t="shared" ref="H12:H18" si="0">SUM(E12:G12)</f>
        <v>105971</v>
      </c>
      <c r="I12" s="1943">
        <v>97437</v>
      </c>
      <c r="J12" s="1942"/>
      <c r="K12" s="1943"/>
      <c r="L12" s="1944">
        <f t="shared" ref="L12:L18" si="1">SUM(I12:K12)</f>
        <v>97437</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220</v>
      </c>
      <c r="F16" s="1942"/>
      <c r="G16" s="1968">
        <f>K68</f>
        <v>0</v>
      </c>
      <c r="H16" s="1944">
        <f t="shared" si="0"/>
        <v>220</v>
      </c>
      <c r="I16" s="1943">
        <v>220</v>
      </c>
      <c r="J16" s="1942"/>
      <c r="K16" s="1943"/>
      <c r="L16" s="1944">
        <f t="shared" si="1"/>
        <v>220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29" t="s">
        <v>7</v>
      </c>
      <c r="C18" s="2430"/>
      <c r="D18" s="2431"/>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106191</v>
      </c>
      <c r="F19" s="1950">
        <f t="shared" si="2"/>
        <v>0</v>
      </c>
      <c r="G19" s="1950">
        <f t="shared" ref="G19" si="3">SUM(G12:G17)-G18</f>
        <v>0</v>
      </c>
      <c r="H19" s="1950">
        <f t="shared" si="2"/>
        <v>106191</v>
      </c>
      <c r="I19" s="1950">
        <f t="shared" si="2"/>
        <v>97657</v>
      </c>
      <c r="J19" s="1950">
        <f t="shared" si="2"/>
        <v>0</v>
      </c>
      <c r="K19" s="1950">
        <f t="shared" si="2"/>
        <v>0</v>
      </c>
      <c r="L19" s="1950">
        <f t="shared" si="2"/>
        <v>97657</v>
      </c>
      <c r="M19" s="838"/>
      <c r="N19" s="1998"/>
    </row>
    <row r="20" spans="1:14" ht="13.5" thickTop="1" x14ac:dyDescent="0.2">
      <c r="A20" s="2003">
        <v>9</v>
      </c>
      <c r="B20" s="2432" t="s">
        <v>2021</v>
      </c>
      <c r="C20" s="2432"/>
      <c r="D20" s="2433"/>
      <c r="E20" s="1951"/>
      <c r="F20" s="1951"/>
      <c r="G20" s="1951"/>
      <c r="H20" s="1951"/>
      <c r="I20" s="1951"/>
      <c r="J20" s="1951"/>
      <c r="K20" s="1951"/>
      <c r="L20" s="1952">
        <f>IF(AND(H19&gt;0,L19&gt;0),(((L19-H19)/H19)),"Enter Budget Data")</f>
        <v>-8.0364626004086975E-2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34"/>
      <c r="D27" s="2434"/>
      <c r="E27" s="843"/>
      <c r="F27" s="2435"/>
      <c r="G27" s="2435"/>
      <c r="H27" s="2435"/>
      <c r="I27" s="838"/>
      <c r="J27" s="838"/>
      <c r="K27" s="838"/>
      <c r="L27" s="838"/>
      <c r="M27" s="838"/>
      <c r="N27" s="1998"/>
    </row>
    <row r="28" spans="1:14" x14ac:dyDescent="0.2">
      <c r="A28" s="1997"/>
      <c r="B28" s="2007"/>
      <c r="C28" s="1957" t="s">
        <v>1026</v>
      </c>
      <c r="D28" s="844"/>
      <c r="E28" s="1958"/>
      <c r="F28" s="2436" t="s">
        <v>1492</v>
      </c>
      <c r="G28" s="2436"/>
      <c r="H28" s="2436"/>
      <c r="I28" s="838"/>
      <c r="J28" s="838"/>
      <c r="K28" s="838"/>
      <c r="L28" s="838"/>
      <c r="M28" s="838"/>
      <c r="N28" s="1998"/>
    </row>
    <row r="29" spans="1:14" x14ac:dyDescent="0.2">
      <c r="A29" s="1997"/>
      <c r="B29" s="2007"/>
      <c r="C29" s="2437"/>
      <c r="D29" s="2437"/>
      <c r="E29" s="845"/>
      <c r="F29" s="2437"/>
      <c r="G29" s="2437"/>
      <c r="H29" s="2437"/>
      <c r="I29" s="838"/>
      <c r="J29" s="838"/>
      <c r="K29" s="838"/>
      <c r="L29" s="838"/>
      <c r="M29" s="838"/>
      <c r="N29" s="1998"/>
    </row>
    <row r="30" spans="1:14" x14ac:dyDescent="0.2">
      <c r="A30" s="1997"/>
      <c r="B30" s="2007"/>
      <c r="C30" s="1960" t="s">
        <v>1544</v>
      </c>
      <c r="D30" s="838"/>
      <c r="E30" s="1959"/>
      <c r="F30" s="2419" t="s">
        <v>1493</v>
      </c>
      <c r="G30" s="2419"/>
      <c r="H30" s="2419"/>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40" t="s">
        <v>2024</v>
      </c>
      <c r="D34" s="2441"/>
      <c r="E34" s="2441"/>
      <c r="F34" s="2441"/>
      <c r="G34" s="2441"/>
      <c r="H34" s="2441"/>
      <c r="I34" s="2441"/>
      <c r="J34" s="2441"/>
      <c r="K34" s="2016"/>
      <c r="L34" s="838"/>
      <c r="M34" s="838"/>
      <c r="N34" s="1998"/>
    </row>
    <row r="35" spans="1:14" x14ac:dyDescent="0.2">
      <c r="A35" s="1997"/>
      <c r="B35" s="838"/>
      <c r="C35" s="2441"/>
      <c r="D35" s="2441"/>
      <c r="E35" s="2441"/>
      <c r="F35" s="2441"/>
      <c r="G35" s="2441"/>
      <c r="H35" s="2441"/>
      <c r="I35" s="2441"/>
      <c r="J35" s="2441"/>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0" t="s">
        <v>2025</v>
      </c>
      <c r="D37" s="2441"/>
      <c r="E37" s="2441"/>
      <c r="F37" s="2441"/>
      <c r="G37" s="2441"/>
      <c r="H37" s="2441"/>
      <c r="I37" s="2441"/>
      <c r="J37" s="2441"/>
      <c r="K37" s="2016"/>
      <c r="L37" s="2018"/>
      <c r="M37" s="838"/>
      <c r="N37" s="1998"/>
    </row>
    <row r="38" spans="1:14" x14ac:dyDescent="0.2">
      <c r="A38" s="1997"/>
      <c r="B38" s="838"/>
      <c r="C38" s="2441"/>
      <c r="D38" s="2441"/>
      <c r="E38" s="2441"/>
      <c r="F38" s="2441"/>
      <c r="G38" s="2441"/>
      <c r="H38" s="2441"/>
      <c r="I38" s="2441"/>
      <c r="J38" s="2441"/>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42" t="s">
        <v>2026</v>
      </c>
      <c r="D40" s="2443"/>
      <c r="E40" s="2443"/>
      <c r="F40" s="2443"/>
      <c r="G40" s="2443"/>
      <c r="H40" s="2443"/>
      <c r="I40" s="2443"/>
      <c r="J40" s="2443"/>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4" t="s">
        <v>2027</v>
      </c>
      <c r="B43" s="2445"/>
      <c r="C43" s="2445"/>
      <c r="D43" s="2445"/>
      <c r="E43" s="2445"/>
      <c r="F43" s="2445"/>
      <c r="G43" s="2445"/>
      <c r="H43" s="2445"/>
      <c r="I43" s="2445"/>
      <c r="J43" s="2445"/>
      <c r="K43" s="2445"/>
      <c r="L43" s="2445"/>
      <c r="M43" s="2445"/>
      <c r="N43" s="2446"/>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47" t="s">
        <v>2029</v>
      </c>
      <c r="B46" s="2448"/>
      <c r="C46" s="2448"/>
      <c r="D46" s="2448"/>
      <c r="E46" s="2448"/>
      <c r="F46" s="2448"/>
      <c r="G46" s="2448"/>
      <c r="H46" s="2448"/>
      <c r="I46" s="2448"/>
      <c r="J46" s="2448"/>
      <c r="K46" s="2448"/>
      <c r="L46" s="2448"/>
      <c r="M46" s="2448"/>
      <c r="N46" s="2449"/>
    </row>
    <row r="47" spans="1:14" x14ac:dyDescent="0.2">
      <c r="A47" s="2447"/>
      <c r="B47" s="2448"/>
      <c r="C47" s="2448"/>
      <c r="D47" s="2448"/>
      <c r="E47" s="2448"/>
      <c r="F47" s="2448"/>
      <c r="G47" s="2448"/>
      <c r="H47" s="2448"/>
      <c r="I47" s="2448"/>
      <c r="J47" s="2448"/>
      <c r="K47" s="2448"/>
      <c r="L47" s="2448"/>
      <c r="M47" s="2448"/>
      <c r="N47" s="2449"/>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20" t="str">
        <f>J6</f>
        <v>Greenview CUSD 200</v>
      </c>
      <c r="M52" s="2420"/>
      <c r="N52" s="2450"/>
    </row>
    <row r="53" spans="1:14" x14ac:dyDescent="0.2">
      <c r="A53" s="1982"/>
      <c r="B53" s="1983"/>
      <c r="C53" s="1983"/>
      <c r="D53" s="1983"/>
      <c r="E53" s="1983"/>
      <c r="F53" s="1983"/>
      <c r="G53" s="1983"/>
      <c r="H53" s="1983"/>
      <c r="I53" s="1983"/>
      <c r="J53" s="1983"/>
      <c r="K53" s="1924" t="s">
        <v>369</v>
      </c>
      <c r="L53" s="2425">
        <f>J7</f>
        <v>51065200026</v>
      </c>
      <c r="M53" s="2425"/>
      <c r="N53" s="2451"/>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2"/>
      <c r="B55" s="2453"/>
      <c r="C55" s="2453"/>
      <c r="D55" s="1970"/>
      <c r="E55" s="1970"/>
      <c r="F55" s="1970"/>
      <c r="G55" s="2454" t="s">
        <v>2030</v>
      </c>
      <c r="H55" s="2454"/>
      <c r="I55" s="2454"/>
      <c r="J55" s="2454"/>
      <c r="K55" s="2454"/>
      <c r="L55" s="2454"/>
      <c r="M55" s="2454"/>
      <c r="N55" s="2455"/>
    </row>
    <row r="56" spans="1:14" ht="63.75" x14ac:dyDescent="0.2">
      <c r="A56" s="2456" t="s">
        <v>2031</v>
      </c>
      <c r="B56" s="2457"/>
      <c r="C56" s="2458"/>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59" t="s">
        <v>296</v>
      </c>
      <c r="B57" s="2460"/>
      <c r="C57" s="2460"/>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8" t="s">
        <v>2041</v>
      </c>
      <c r="B58" s="2439"/>
      <c r="C58" s="2439"/>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461" t="s">
        <v>297</v>
      </c>
      <c r="B59" s="2462"/>
      <c r="C59" s="2462"/>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61" t="s">
        <v>236</v>
      </c>
      <c r="B60" s="2462"/>
      <c r="C60" s="2462"/>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461" t="s">
        <v>697</v>
      </c>
      <c r="B61" s="2462"/>
      <c r="C61" s="2462"/>
      <c r="D61" s="1967">
        <v>2365</v>
      </c>
      <c r="E61" s="1977">
        <f>'Expenditures 15-22'!K323</f>
        <v>0</v>
      </c>
      <c r="F61" s="1972"/>
      <c r="G61" s="2031"/>
      <c r="H61" s="2032"/>
      <c r="I61" s="2032"/>
      <c r="J61" s="2032"/>
      <c r="K61" s="2032"/>
      <c r="L61" s="2032"/>
      <c r="M61" s="2032"/>
      <c r="N61" s="1975">
        <f t="shared" si="4"/>
        <v>0</v>
      </c>
    </row>
    <row r="62" spans="1:14" ht="24" customHeight="1" x14ac:dyDescent="0.2">
      <c r="A62" s="2461" t="s">
        <v>237</v>
      </c>
      <c r="B62" s="2462"/>
      <c r="C62" s="2462"/>
      <c r="D62" s="1967">
        <v>2366</v>
      </c>
      <c r="E62" s="1977">
        <f>'Expenditures 15-22'!K324</f>
        <v>0</v>
      </c>
      <c r="F62" s="1972"/>
      <c r="G62" s="2031"/>
      <c r="H62" s="2032"/>
      <c r="I62" s="2032"/>
      <c r="J62" s="2032"/>
      <c r="K62" s="2032"/>
      <c r="L62" s="2032"/>
      <c r="M62" s="2032"/>
      <c r="N62" s="1975">
        <f t="shared" si="4"/>
        <v>0</v>
      </c>
    </row>
    <row r="63" spans="1:14" ht="24" customHeight="1" x14ac:dyDescent="0.2">
      <c r="A63" s="2438" t="s">
        <v>1022</v>
      </c>
      <c r="B63" s="2439"/>
      <c r="C63" s="2439"/>
      <c r="D63" s="1967">
        <v>2367</v>
      </c>
      <c r="E63" s="1977">
        <f>'Expenditures 15-22'!K325</f>
        <v>0</v>
      </c>
      <c r="F63" s="1972"/>
      <c r="G63" s="2031"/>
      <c r="H63" s="2032"/>
      <c r="I63" s="2032"/>
      <c r="J63" s="2032"/>
      <c r="K63" s="2032"/>
      <c r="L63" s="2032"/>
      <c r="M63" s="2032"/>
      <c r="N63" s="1975">
        <f t="shared" si="4"/>
        <v>0</v>
      </c>
    </row>
    <row r="64" spans="1:14" ht="24" customHeight="1" x14ac:dyDescent="0.2">
      <c r="A64" s="2461" t="s">
        <v>1023</v>
      </c>
      <c r="B64" s="2462"/>
      <c r="C64" s="2462"/>
      <c r="D64" s="1967">
        <v>2368</v>
      </c>
      <c r="E64" s="1977">
        <f>'Expenditures 15-22'!K326</f>
        <v>0</v>
      </c>
      <c r="F64" s="1972"/>
      <c r="G64" s="2031"/>
      <c r="H64" s="2032"/>
      <c r="I64" s="2032"/>
      <c r="J64" s="2032"/>
      <c r="K64" s="2032"/>
      <c r="L64" s="2032"/>
      <c r="M64" s="2032"/>
      <c r="N64" s="1975">
        <f t="shared" si="4"/>
        <v>0</v>
      </c>
    </row>
    <row r="65" spans="1:14" ht="24" customHeight="1" x14ac:dyDescent="0.2">
      <c r="A65" s="2461" t="s">
        <v>965</v>
      </c>
      <c r="B65" s="2462"/>
      <c r="C65" s="2462"/>
      <c r="D65" s="1967">
        <v>2369</v>
      </c>
      <c r="E65" s="1977">
        <f>'Expenditures 15-22'!K327</f>
        <v>0</v>
      </c>
      <c r="F65" s="1972"/>
      <c r="G65" s="2031"/>
      <c r="H65" s="2032"/>
      <c r="I65" s="2032"/>
      <c r="J65" s="2032"/>
      <c r="K65" s="2032"/>
      <c r="L65" s="2032"/>
      <c r="M65" s="2032"/>
      <c r="N65" s="1975">
        <f t="shared" si="4"/>
        <v>0</v>
      </c>
    </row>
    <row r="66" spans="1:14" ht="24" customHeight="1" x14ac:dyDescent="0.2">
      <c r="A66" s="2461" t="s">
        <v>469</v>
      </c>
      <c r="B66" s="2462"/>
      <c r="C66" s="2462"/>
      <c r="D66" s="1967">
        <v>2371</v>
      </c>
      <c r="E66" s="1977">
        <f>'Expenditures 15-22'!K328</f>
        <v>0</v>
      </c>
      <c r="F66" s="1972"/>
      <c r="G66" s="2031"/>
      <c r="H66" s="2032"/>
      <c r="I66" s="2032"/>
      <c r="J66" s="2032"/>
      <c r="K66" s="2032"/>
      <c r="L66" s="2032"/>
      <c r="M66" s="2032"/>
      <c r="N66" s="1975">
        <f t="shared" si="4"/>
        <v>0</v>
      </c>
    </row>
    <row r="67" spans="1:14" ht="24.75" customHeight="1" x14ac:dyDescent="0.2">
      <c r="A67" s="2463" t="s">
        <v>2042</v>
      </c>
      <c r="B67" s="2464"/>
      <c r="C67" s="2464"/>
      <c r="D67" s="1969">
        <v>2372</v>
      </c>
      <c r="E67" s="1978">
        <f>'Expenditures 15-22'!K329</f>
        <v>0</v>
      </c>
      <c r="F67" s="1972"/>
      <c r="G67" s="2033"/>
      <c r="H67" s="2034"/>
      <c r="I67" s="2034"/>
      <c r="J67" s="2034"/>
      <c r="K67" s="2034"/>
      <c r="L67" s="2034"/>
      <c r="M67" s="2034"/>
      <c r="N67" s="1975">
        <f t="shared" si="4"/>
        <v>0</v>
      </c>
    </row>
    <row r="68" spans="1:14" x14ac:dyDescent="0.2">
      <c r="A68" s="2465" t="s">
        <v>1151</v>
      </c>
      <c r="B68" s="2466"/>
      <c r="C68" s="2466"/>
      <c r="D68" s="1970"/>
      <c r="E68" s="1974">
        <f>SUM(E57:E67)</f>
        <v>0</v>
      </c>
      <c r="F68" s="1973"/>
      <c r="G68" s="1974">
        <f t="shared" ref="G68:N68" si="5">SUM(G57:G67)</f>
        <v>0</v>
      </c>
      <c r="H68" s="1974">
        <f t="shared" si="5"/>
        <v>0</v>
      </c>
      <c r="I68" s="1974">
        <f t="shared" si="5"/>
        <v>0</v>
      </c>
      <c r="J68" s="1974">
        <f t="shared" si="5"/>
        <v>0</v>
      </c>
      <c r="K68" s="1974">
        <f t="shared" si="5"/>
        <v>0</v>
      </c>
      <c r="L68" s="1974">
        <f t="shared" si="5"/>
        <v>0</v>
      </c>
      <c r="M68" s="1974">
        <f t="shared" si="5"/>
        <v>0</v>
      </c>
      <c r="N68" s="1988">
        <f t="shared" si="5"/>
        <v>0</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 sqref="B1"/>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2073</v>
      </c>
    </row>
    <row r="6" spans="1:2" x14ac:dyDescent="0.2">
      <c r="A6" s="847">
        <v>2</v>
      </c>
      <c r="B6" s="307" t="s">
        <v>2074</v>
      </c>
    </row>
    <row r="7" spans="1:2" x14ac:dyDescent="0.2">
      <c r="A7" s="847">
        <v>3</v>
      </c>
      <c r="B7" s="307" t="s">
        <v>2075</v>
      </c>
    </row>
    <row r="8" spans="1:2" x14ac:dyDescent="0.2">
      <c r="A8" s="847">
        <v>4</v>
      </c>
      <c r="B8" s="307" t="s">
        <v>2076</v>
      </c>
    </row>
    <row r="9" spans="1:2" x14ac:dyDescent="0.2">
      <c r="A9" s="847">
        <v>5</v>
      </c>
      <c r="B9" s="307" t="s">
        <v>2077</v>
      </c>
    </row>
    <row r="10" spans="1:2" x14ac:dyDescent="0.2">
      <c r="A10" s="847">
        <v>6</v>
      </c>
      <c r="B10" s="307" t="s">
        <v>2078</v>
      </c>
    </row>
    <row r="11" spans="1:2" x14ac:dyDescent="0.2">
      <c r="A11" s="847">
        <v>7</v>
      </c>
      <c r="B11" s="307" t="s">
        <v>2079</v>
      </c>
    </row>
    <row r="12" spans="1:2" x14ac:dyDescent="0.2">
      <c r="A12" s="847">
        <v>8</v>
      </c>
    </row>
    <row r="13" spans="1:2" x14ac:dyDescent="0.2">
      <c r="A13" s="847">
        <v>9</v>
      </c>
    </row>
    <row r="14" spans="1:2" x14ac:dyDescent="0.2">
      <c r="A14" s="847">
        <v>10</v>
      </c>
    </row>
    <row r="15" spans="1:2" x14ac:dyDescent="0.2">
      <c r="A15" s="847"/>
    </row>
    <row r="16" spans="1:2" x14ac:dyDescent="0.2">
      <c r="A16" s="847"/>
    </row>
    <row r="17" spans="1:1" x14ac:dyDescent="0.2">
      <c r="A17" s="847"/>
    </row>
    <row r="18" spans="1:1" x14ac:dyDescent="0.2">
      <c r="A18" s="847"/>
    </row>
    <row r="19" spans="1:1" x14ac:dyDescent="0.2">
      <c r="A19" s="847"/>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Greenview CUSD 200</v>
      </c>
    </row>
    <row r="65" spans="2:2" x14ac:dyDescent="0.2">
      <c r="B65" s="849">
        <f>COVER!A13</f>
        <v>51065200026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1" sqref="B1"/>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 sqref="B1"/>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2295525</xdr:colOff>
                <xdr:row>3</xdr:row>
                <xdr:rowOff>142875</xdr:rowOff>
              </from>
              <to>
                <xdr:col>1</xdr:col>
                <xdr:colOff>3209925</xdr:colOff>
                <xdr:row>8</xdr:row>
                <xdr:rowOff>104775</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2635827</v>
      </c>
      <c r="C8" s="1813">
        <f>'Acct Summary 7-8'!D8</f>
        <v>404460</v>
      </c>
      <c r="D8" s="1813">
        <f>'Acct Summary 7-8'!F8</f>
        <v>198442</v>
      </c>
      <c r="E8" s="1813">
        <f>'Acct Summary 7-8'!I8</f>
        <v>15258</v>
      </c>
      <c r="F8" s="1813">
        <f>SUM(B8:E8)</f>
        <v>3253987</v>
      </c>
    </row>
    <row r="9" spans="1:8" s="858" customFormat="1" ht="14.25" customHeight="1" thickBot="1" x14ac:dyDescent="0.25">
      <c r="A9" s="857" t="s">
        <v>1353</v>
      </c>
      <c r="B9" s="1814">
        <f>'Acct Summary 7-8'!C17</f>
        <v>2730784</v>
      </c>
      <c r="C9" s="1814">
        <f>'Acct Summary 7-8'!D17</f>
        <v>425886</v>
      </c>
      <c r="D9" s="1814">
        <f>'Acct Summary 7-8'!F17</f>
        <v>243064</v>
      </c>
      <c r="E9" s="1813"/>
      <c r="F9" s="1813">
        <f>SUM(B9:E9)</f>
        <v>3399734</v>
      </c>
    </row>
    <row r="10" spans="1:8" s="858" customFormat="1" ht="14.25" thickTop="1" thickBot="1" x14ac:dyDescent="0.25">
      <c r="A10" s="859" t="s">
        <v>1354</v>
      </c>
      <c r="B10" s="1815">
        <f>(B8-B9)</f>
        <v>-94957</v>
      </c>
      <c r="C10" s="1815">
        <f>(C8-C9)</f>
        <v>-21426</v>
      </c>
      <c r="D10" s="1815">
        <f>(D8-D9)</f>
        <v>-44622</v>
      </c>
      <c r="E10" s="1814">
        <f>(E8-E9)</f>
        <v>15258</v>
      </c>
      <c r="F10" s="1816">
        <f>SUM(F8-F9)</f>
        <v>-145747</v>
      </c>
    </row>
    <row r="11" spans="1:8" s="858" customFormat="1" ht="14.25" thickTop="1" thickBot="1" x14ac:dyDescent="0.25">
      <c r="A11" s="860" t="s">
        <v>1903</v>
      </c>
      <c r="B11" s="1817">
        <f>'Acct Summary 7-8'!C81</f>
        <v>1348130</v>
      </c>
      <c r="C11" s="1817">
        <f>'Acct Summary 7-8'!D81</f>
        <v>527174</v>
      </c>
      <c r="D11" s="1817">
        <f>'Acct Summary 7-8'!F81</f>
        <v>248111</v>
      </c>
      <c r="E11" s="1817">
        <f>'Acct Summary 7-8'!I81</f>
        <v>144907</v>
      </c>
      <c r="F11" s="1818">
        <f>SUM(B11:E11)</f>
        <v>2268322</v>
      </c>
    </row>
    <row r="12" spans="1:8" ht="16.5" customHeight="1" thickTop="1" x14ac:dyDescent="0.2">
      <c r="A12" s="861"/>
      <c r="B12" s="862"/>
      <c r="C12" s="2472" t="str">
        <f>IF(AND(F10&lt;0,F11&gt;=0,ABS(F10*3)&gt;ABS(F11)),A16,IF(AND(F10&lt;0,F11&gt;0,ABS(F10*3)&lt;=ABS(F11)),A17,IF(AND(F10&lt;0,F11&lt;0),A16,IF(F11=0,A19,A18))))</f>
        <v>Unbalanced -  however, a deficit reduction plan is not required at this time.</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4" colorId="8" zoomScale="110" zoomScaleNormal="110" workbookViewId="0">
      <selection activeCell="A3" sqref="A3:D3"/>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51065200026</v>
      </c>
      <c r="E2" s="1542">
        <v>2020</v>
      </c>
      <c r="F2" s="1542">
        <v>1</v>
      </c>
      <c r="G2" s="1899">
        <v>101000300</v>
      </c>
    </row>
    <row r="3" spans="1:7" ht="15" x14ac:dyDescent="0.25">
      <c r="A3" t="s">
        <v>950</v>
      </c>
      <c r="B3" s="135" t="str">
        <f>COVER!A15</f>
        <v>Menard</v>
      </c>
      <c r="E3" s="1830" t="s">
        <v>1971</v>
      </c>
      <c r="F3" s="1830" t="s">
        <v>1970</v>
      </c>
      <c r="G3" s="1899">
        <v>101000400</v>
      </c>
    </row>
    <row r="4" spans="1:7" ht="15" x14ac:dyDescent="0.25">
      <c r="A4" t="s">
        <v>1000</v>
      </c>
      <c r="B4" s="135" t="str">
        <f>COVER!A17</f>
        <v>Greenview CUSD 200</v>
      </c>
      <c r="E4" s="1828">
        <v>44119</v>
      </c>
      <c r="F4" s="1829">
        <v>44151</v>
      </c>
      <c r="G4" s="1899">
        <v>101000600</v>
      </c>
    </row>
    <row r="5" spans="1:7" ht="15" x14ac:dyDescent="0.25">
      <c r="A5" t="s">
        <v>699</v>
      </c>
      <c r="B5" s="135" t="str">
        <f>COVER!A38</f>
        <v>Ryan Heavner, Superintendent</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f>IF(COVER!J30="x","Yes",IF(COVER!L30="x","No",0))</f>
        <v>0</v>
      </c>
      <c r="G13" s="1899">
        <v>202100800</v>
      </c>
    </row>
    <row r="14" spans="1:7" ht="15" x14ac:dyDescent="0.25">
      <c r="A14" t="s">
        <v>473</v>
      </c>
      <c r="B14" s="135">
        <f>IF(COVER!J31="x","Yes",IF(COVER!L31="x","No",0))</f>
        <v>0</v>
      </c>
      <c r="G14" s="1899">
        <v>402100300</v>
      </c>
    </row>
    <row r="15" spans="1:7" ht="15" x14ac:dyDescent="0.25">
      <c r="A15" t="s">
        <v>573</v>
      </c>
      <c r="B15" s="135" t="str">
        <f>COVER!T23</f>
        <v>066-005315</v>
      </c>
      <c r="G15" s="1899">
        <v>402100400</v>
      </c>
    </row>
    <row r="16" spans="1:7" ht="15" x14ac:dyDescent="0.25">
      <c r="A16" t="s">
        <v>419</v>
      </c>
      <c r="B16" s="135" t="str">
        <f>COVER!T13</f>
        <v>Pehlman and Dold, P.C.</v>
      </c>
      <c r="G16" s="1899">
        <v>402100600</v>
      </c>
    </row>
    <row r="17" spans="1:7" ht="15" x14ac:dyDescent="0.25">
      <c r="A17" t="s">
        <v>878</v>
      </c>
      <c r="B17" s="135" t="str">
        <f>COVER!T15</f>
        <v>Dorinda L Fitzgerald</v>
      </c>
      <c r="G17" s="1899">
        <v>402100800</v>
      </c>
    </row>
    <row r="18" spans="1:7" ht="15" x14ac:dyDescent="0.25">
      <c r="A18" t="s">
        <v>1140</v>
      </c>
      <c r="B18" s="135" t="str">
        <f>COVER!T17</f>
        <v>100 North Amos Avenue</v>
      </c>
      <c r="G18" s="1899">
        <v>102200300</v>
      </c>
    </row>
    <row r="19" spans="1:7" ht="15" x14ac:dyDescent="0.25">
      <c r="A19" t="s">
        <v>880</v>
      </c>
      <c r="B19" s="135" t="str">
        <f>COVER!T25</f>
        <v>dfitzgerald@p-dcpas.com</v>
      </c>
      <c r="G19" s="1899">
        <v>102200400</v>
      </c>
    </row>
    <row r="20" spans="1:7" ht="15" x14ac:dyDescent="0.25">
      <c r="A20" t="s">
        <v>881</v>
      </c>
      <c r="B20" s="135" t="str">
        <f>COVER!T19</f>
        <v>Springfield</v>
      </c>
      <c r="G20" s="1899">
        <v>102200600</v>
      </c>
    </row>
    <row r="21" spans="1:7" ht="15" x14ac:dyDescent="0.25">
      <c r="A21" t="s">
        <v>476</v>
      </c>
      <c r="B21" s="135" t="str">
        <f>COVER!X19</f>
        <v>IL</v>
      </c>
      <c r="G21" s="1899">
        <v>102200800</v>
      </c>
    </row>
    <row r="22" spans="1:7" ht="15" x14ac:dyDescent="0.25">
      <c r="A22" t="s">
        <v>882</v>
      </c>
      <c r="B22" s="135">
        <f>COVER!Z19</f>
        <v>62702</v>
      </c>
      <c r="G22" s="1899">
        <v>102300300</v>
      </c>
    </row>
    <row r="23" spans="1:7" ht="15" x14ac:dyDescent="0.25">
      <c r="A23" t="s">
        <v>1142</v>
      </c>
      <c r="B23" s="135" t="str">
        <f>COVER!T21</f>
        <v>(217) 787-0563</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Yes</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Yes</v>
      </c>
      <c r="G49" s="1899">
        <v>102540800</v>
      </c>
    </row>
    <row r="50" spans="1:7" ht="15" x14ac:dyDescent="0.25">
      <c r="A50" s="1" t="s">
        <v>1463</v>
      </c>
      <c r="B50" s="146">
        <f>'Aud Quest 2'!H53</f>
        <v>35431</v>
      </c>
      <c r="G50" s="1899">
        <v>202540300</v>
      </c>
    </row>
    <row r="51" spans="1:7" ht="15" x14ac:dyDescent="0.25">
      <c r="A51" s="1" t="s">
        <v>1465</v>
      </c>
      <c r="B51" s="135" t="str">
        <f>IF('Aud Quest 2'!B54="x","Yes",IF('Aud Quest 2'!B54&lt;&gt;"x","0"))</f>
        <v>Yes</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23012</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1348130</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1326743</v>
      </c>
      <c r="D92" s="2" t="str">
        <f t="shared" si="0"/>
        <v>Error?</v>
      </c>
      <c r="G92" s="1899">
        <v>102640600</v>
      </c>
    </row>
    <row r="93" spans="1:7" ht="15" x14ac:dyDescent="0.25">
      <c r="A93" s="5">
        <v>32</v>
      </c>
      <c r="B93" s="1832">
        <f>'Assets-Liab 5-6'!C41</f>
        <v>1348130</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20666</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527174</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477174</v>
      </c>
      <c r="D123" s="2" t="str">
        <f t="shared" si="0"/>
        <v>Error?</v>
      </c>
      <c r="G123" s="1899">
        <v>203000400</v>
      </c>
    </row>
    <row r="124" spans="1:7" ht="15" x14ac:dyDescent="0.25">
      <c r="A124" s="5">
        <v>63</v>
      </c>
      <c r="B124" s="1832">
        <f>'Assets-Liab 5-6'!D41</f>
        <v>527174</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13961</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248111</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248111</v>
      </c>
      <c r="D170" s="2" t="str">
        <f t="shared" si="1"/>
        <v>Error?</v>
      </c>
    </row>
    <row r="171" spans="1:4" x14ac:dyDescent="0.2">
      <c r="A171" s="5">
        <v>110</v>
      </c>
      <c r="B171" s="1832">
        <f>'Assets-Liab 5-6'!F41</f>
        <v>248111</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153</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24627</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262</v>
      </c>
      <c r="C188" s="2" t="s">
        <v>569</v>
      </c>
      <c r="D188" s="2" t="str">
        <f t="shared" si="1"/>
        <v>Error?</v>
      </c>
    </row>
    <row r="189" spans="1:4" x14ac:dyDescent="0.2">
      <c r="A189" s="5">
        <v>128</v>
      </c>
      <c r="B189" s="1832">
        <f>'Assets-Liab 5-6'!G39</f>
        <v>24365</v>
      </c>
      <c r="D189" s="2" t="str">
        <f t="shared" si="1"/>
        <v>Error?</v>
      </c>
    </row>
    <row r="190" spans="1:4" x14ac:dyDescent="0.2">
      <c r="A190" s="5">
        <v>129</v>
      </c>
      <c r="B190" s="1832">
        <f>'Assets-Liab 5-6'!G41</f>
        <v>24627</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7500</v>
      </c>
      <c r="D273" s="2" t="str">
        <f t="shared" si="3"/>
        <v>Error?</v>
      </c>
    </row>
    <row r="274" spans="1:4" x14ac:dyDescent="0.2">
      <c r="A274" s="5">
        <v>213</v>
      </c>
      <c r="B274" s="1832">
        <f>'Assets-Liab 5-6'!M17</f>
        <v>3020279</v>
      </c>
      <c r="D274" s="2" t="str">
        <f t="shared" si="3"/>
        <v>Error?</v>
      </c>
    </row>
    <row r="275" spans="1:4" x14ac:dyDescent="0.2">
      <c r="A275" s="5">
        <v>214</v>
      </c>
      <c r="B275" s="1832">
        <f>'Assets-Liab 5-6'!M18</f>
        <v>41861</v>
      </c>
      <c r="D275" s="2" t="str">
        <f t="shared" si="3"/>
        <v>Error?</v>
      </c>
    </row>
    <row r="276" spans="1:4" x14ac:dyDescent="0.2">
      <c r="A276" s="5">
        <v>215</v>
      </c>
      <c r="B276" s="1832">
        <f>'Assets-Liab 5-6'!M19</f>
        <v>865660</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3935300</v>
      </c>
      <c r="C279" s="2" t="s">
        <v>569</v>
      </c>
      <c r="D279" s="2" t="str">
        <f t="shared" si="3"/>
        <v>Error?</v>
      </c>
    </row>
    <row r="280" spans="1:4" x14ac:dyDescent="0.2">
      <c r="A280" s="5">
        <v>219</v>
      </c>
      <c r="B280" s="1832">
        <f>'Assets-Liab 5-6'!M40</f>
        <v>3935300</v>
      </c>
      <c r="D280" s="2" t="str">
        <f t="shared" si="3"/>
        <v>Error?</v>
      </c>
    </row>
    <row r="281" spans="1:4" x14ac:dyDescent="0.2">
      <c r="A281" s="5">
        <v>220</v>
      </c>
      <c r="B281" s="1832">
        <f>'Assets-Liab 5-6'!M41</f>
        <v>3935300</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1263993</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41387</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1357623</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6934</v>
      </c>
      <c r="D722" s="2" t="str">
        <f t="shared" si="10"/>
        <v>Error?</v>
      </c>
    </row>
    <row r="723" spans="1:4" x14ac:dyDescent="0.2">
      <c r="A723" s="5">
        <v>662</v>
      </c>
      <c r="B723" s="1832">
        <f>'Expenditures 15-22'!C38</f>
        <v>14957</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21891</v>
      </c>
      <c r="C727" s="2" t="s">
        <v>569</v>
      </c>
      <c r="D727" s="2" t="str">
        <f t="shared" si="10"/>
        <v>Error?</v>
      </c>
    </row>
    <row r="728" spans="1:4" x14ac:dyDescent="0.2">
      <c r="A728" s="5">
        <v>667</v>
      </c>
      <c r="B728" s="1832">
        <f>'Expenditures 15-22'!C44</f>
        <v>1000</v>
      </c>
      <c r="D728" s="2" t="str">
        <f t="shared" si="10"/>
        <v>Error?</v>
      </c>
    </row>
    <row r="729" spans="1:4" x14ac:dyDescent="0.2">
      <c r="A729" s="5">
        <v>668</v>
      </c>
      <c r="B729" s="1832">
        <f>'Expenditures 15-22'!C45</f>
        <v>393</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1393</v>
      </c>
      <c r="C731" s="2" t="s">
        <v>569</v>
      </c>
      <c r="D731" s="2" t="str">
        <f t="shared" si="10"/>
        <v>Error?</v>
      </c>
    </row>
    <row r="732" spans="1:4" x14ac:dyDescent="0.2">
      <c r="A732" s="5">
        <v>671</v>
      </c>
      <c r="B732" s="1832">
        <f>'Expenditures 15-22'!C49</f>
        <v>4000</v>
      </c>
      <c r="D732" s="2" t="str">
        <f t="shared" si="10"/>
        <v>Error?</v>
      </c>
    </row>
    <row r="733" spans="1:4" x14ac:dyDescent="0.2">
      <c r="A733" s="5">
        <v>672</v>
      </c>
      <c r="B733" s="1832">
        <f>'Expenditures 15-22'!C50</f>
        <v>93923</v>
      </c>
      <c r="D733" s="2" t="str">
        <f t="shared" si="10"/>
        <v>Error?</v>
      </c>
    </row>
    <row r="734" spans="1:4" x14ac:dyDescent="0.2">
      <c r="A734" s="5">
        <v>673</v>
      </c>
      <c r="B734" s="1832">
        <f>'Expenditures 15-22'!C53</f>
        <v>97923</v>
      </c>
      <c r="C734" s="2" t="s">
        <v>569</v>
      </c>
      <c r="D734" s="2" t="str">
        <f t="shared" si="10"/>
        <v>Error?</v>
      </c>
    </row>
    <row r="735" spans="1:4" x14ac:dyDescent="0.2">
      <c r="A735" s="5">
        <v>674</v>
      </c>
      <c r="B735" s="1832">
        <f>'Expenditures 15-22'!C55</f>
        <v>137028</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137028</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111995</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61022</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173017</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431252</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1788875</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81065</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32</v>
      </c>
      <c r="D775" s="2" t="str">
        <f t="shared" si="11"/>
        <v>Error?</v>
      </c>
    </row>
    <row r="776" spans="1:4" x14ac:dyDescent="0.2">
      <c r="A776" s="5">
        <v>715</v>
      </c>
      <c r="B776" s="1832">
        <f>'Expenditures 15-22'!D14</f>
        <v>749</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84270</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398</v>
      </c>
      <c r="D780" s="2" t="str">
        <f t="shared" si="11"/>
        <v>Error?</v>
      </c>
    </row>
    <row r="781" spans="1:4" x14ac:dyDescent="0.2">
      <c r="A781" s="5">
        <v>720</v>
      </c>
      <c r="B781" s="1832">
        <f>'Expenditures 15-22'!D38</f>
        <v>1</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399</v>
      </c>
      <c r="C785" s="2" t="s">
        <v>569</v>
      </c>
      <c r="D785" s="2" t="str">
        <f t="shared" si="11"/>
        <v>Error?</v>
      </c>
    </row>
    <row r="786" spans="1:4" x14ac:dyDescent="0.2">
      <c r="A786" s="5">
        <v>725</v>
      </c>
      <c r="B786" s="1832">
        <f>'Expenditures 15-22'!D44</f>
        <v>35</v>
      </c>
      <c r="D786" s="2" t="str">
        <f t="shared" si="11"/>
        <v>Error?</v>
      </c>
    </row>
    <row r="787" spans="1:4" x14ac:dyDescent="0.2">
      <c r="A787" s="5">
        <v>726</v>
      </c>
      <c r="B787" s="1832">
        <f>'Expenditures 15-22'!D45</f>
        <v>440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475</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12046</v>
      </c>
      <c r="D791" s="2" t="str">
        <f t="shared" si="11"/>
        <v>Error?</v>
      </c>
    </row>
    <row r="792" spans="1:4" x14ac:dyDescent="0.2">
      <c r="A792" s="5">
        <v>731</v>
      </c>
      <c r="B792" s="1832">
        <f>'Expenditures 15-22'!D53</f>
        <v>12046</v>
      </c>
      <c r="C792" s="2" t="s">
        <v>569</v>
      </c>
      <c r="D792" s="2" t="str">
        <f t="shared" si="11"/>
        <v>Error?</v>
      </c>
    </row>
    <row r="793" spans="1:4" x14ac:dyDescent="0.2">
      <c r="A793" s="5">
        <v>732</v>
      </c>
      <c r="B793" s="1832">
        <f>'Expenditures 15-22'!D55</f>
        <v>15060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15060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4324</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3897</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8221</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36201</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120471</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33643</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1390</v>
      </c>
      <c r="D833" s="2" t="str">
        <f t="shared" si="12"/>
        <v>Error?</v>
      </c>
    </row>
    <row r="834" spans="1:4" x14ac:dyDescent="0.2">
      <c r="A834" s="5">
        <v>773</v>
      </c>
      <c r="B834" s="1832">
        <f>'Expenditures 15-22'!E14</f>
        <v>16395</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51428</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25</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25</v>
      </c>
      <c r="C843" s="2" t="s">
        <v>569</v>
      </c>
      <c r="D843" s="2" t="str">
        <f t="shared" si="12"/>
        <v>Error?</v>
      </c>
    </row>
    <row r="844" spans="1:4" x14ac:dyDescent="0.2">
      <c r="A844" s="5">
        <v>783</v>
      </c>
      <c r="B844" s="1832">
        <f>'Expenditures 15-22'!E44</f>
        <v>18761</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18761</v>
      </c>
      <c r="C847" s="2" t="s">
        <v>569</v>
      </c>
      <c r="D847" s="2" t="str">
        <f t="shared" si="12"/>
        <v>Error?</v>
      </c>
    </row>
    <row r="848" spans="1:4" x14ac:dyDescent="0.2">
      <c r="A848" s="5">
        <v>787</v>
      </c>
      <c r="B848" s="1832">
        <f>'Expenditures 15-22'!E49</f>
        <v>76237</v>
      </c>
      <c r="D848" s="2" t="str">
        <f t="shared" si="12"/>
        <v>Error?</v>
      </c>
    </row>
    <row r="849" spans="1:4" x14ac:dyDescent="0.2">
      <c r="A849" s="5">
        <v>788</v>
      </c>
      <c r="B849" s="1832">
        <f>'Expenditures 15-22'!E50</f>
        <v>0</v>
      </c>
      <c r="D849" s="2" t="str">
        <f t="shared" si="12"/>
        <v>Error?</v>
      </c>
    </row>
    <row r="850" spans="1:4" x14ac:dyDescent="0.2">
      <c r="A850" s="5">
        <v>789</v>
      </c>
      <c r="B850" s="1832">
        <f>'Expenditures 15-22'!E53</f>
        <v>76237</v>
      </c>
      <c r="C850" s="2" t="s">
        <v>569</v>
      </c>
      <c r="D850" s="2" t="str">
        <f t="shared" si="12"/>
        <v>Error?</v>
      </c>
    </row>
    <row r="851" spans="1:4" x14ac:dyDescent="0.2">
      <c r="A851" s="5">
        <v>790</v>
      </c>
      <c r="B851" s="1832">
        <f>'Expenditures 15-22'!E55</f>
        <v>1300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1300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168</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2739</v>
      </c>
      <c r="D857" s="2" t="str">
        <f t="shared" si="12"/>
        <v>Error?</v>
      </c>
    </row>
    <row r="858" spans="1:4" x14ac:dyDescent="0.2">
      <c r="A858" s="5">
        <v>797</v>
      </c>
      <c r="B858" s="1832">
        <f>'Expenditures 15-22'!E63</f>
        <v>2954</v>
      </c>
      <c r="D858" s="2" t="str">
        <f t="shared" si="12"/>
        <v>Error?</v>
      </c>
    </row>
    <row r="859" spans="1:4" x14ac:dyDescent="0.2">
      <c r="A859" s="5">
        <v>798</v>
      </c>
      <c r="B859" s="1832">
        <f>'Expenditures 15-22'!E64</f>
        <v>220</v>
      </c>
      <c r="D859" s="2" t="str">
        <f t="shared" si="12"/>
        <v>Error?</v>
      </c>
    </row>
    <row r="860" spans="1:4" x14ac:dyDescent="0.2">
      <c r="A860" s="10">
        <v>799</v>
      </c>
      <c r="B860" s="1832"/>
      <c r="D860" s="2" t="str">
        <f t="shared" si="12"/>
        <v>OK</v>
      </c>
    </row>
    <row r="861" spans="1:4" x14ac:dyDescent="0.2">
      <c r="A861" s="5">
        <v>800</v>
      </c>
      <c r="B861" s="1832">
        <f>'Expenditures 15-22'!E65</f>
        <v>6081</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102404</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450393</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118780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8593</v>
      </c>
      <c r="D891" s="2" t="str">
        <f t="shared" si="12"/>
        <v>Error?</v>
      </c>
    </row>
    <row r="892" spans="1:4" x14ac:dyDescent="0.2">
      <c r="A892" s="5">
        <v>831</v>
      </c>
      <c r="B892" s="1832">
        <f>'Expenditures 15-22'!F14</f>
        <v>18042</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145415</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1292</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1292</v>
      </c>
      <c r="C901" s="2" t="s">
        <v>569</v>
      </c>
      <c r="D901" s="2" t="str">
        <f t="shared" si="13"/>
        <v>Error?</v>
      </c>
    </row>
    <row r="902" spans="1:4" x14ac:dyDescent="0.2">
      <c r="A902" s="5">
        <v>841</v>
      </c>
      <c r="B902" s="1832">
        <f>'Expenditures 15-22'!F44</f>
        <v>34495</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34495</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0</v>
      </c>
      <c r="C908" s="2" t="s">
        <v>569</v>
      </c>
      <c r="D908" s="2" t="str">
        <f t="shared" si="13"/>
        <v>Error?</v>
      </c>
    </row>
    <row r="909" spans="1:4" x14ac:dyDescent="0.2">
      <c r="A909" s="5">
        <v>848</v>
      </c>
      <c r="B909" s="1832">
        <f>'Expenditures 15-22'!F55</f>
        <v>1647</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1647</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6551</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42066</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48617</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86051</v>
      </c>
      <c r="C929" s="2" t="s">
        <v>569</v>
      </c>
      <c r="D929" s="2" t="str">
        <f t="shared" si="13"/>
        <v>Error?</v>
      </c>
    </row>
    <row r="930" spans="1:4" x14ac:dyDescent="0.2">
      <c r="A930" s="5">
        <v>869</v>
      </c>
      <c r="B930" s="1832">
        <f>'Expenditures 15-22'!F75</f>
        <v>1066</v>
      </c>
      <c r="D930" s="2" t="str">
        <f t="shared" si="13"/>
        <v>Error?</v>
      </c>
    </row>
    <row r="931" spans="1:4" x14ac:dyDescent="0.2">
      <c r="A931" s="5">
        <v>870</v>
      </c>
      <c r="B931" s="1832">
        <f>'Expenditures 15-22'!F114</f>
        <v>232532</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93941</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2700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96641</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1636</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1636</v>
      </c>
      <c r="C959" s="2" t="s">
        <v>569</v>
      </c>
      <c r="D959" s="2" t="str">
        <f t="shared" ref="D959:D1022" si="14">IF(ISBLANK(B959),"OK",IF(A959-B959=0,"OK","Error?"))</f>
        <v>Error?</v>
      </c>
    </row>
    <row r="960" spans="1:4" x14ac:dyDescent="0.2">
      <c r="A960" s="5">
        <v>899</v>
      </c>
      <c r="B960" s="1832">
        <f>'Expenditures 15-22'!G44</f>
        <v>1345</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1345</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1347</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3534</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4881</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7862</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104503</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22026</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22026</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11198</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11198</v>
      </c>
      <c r="C1024" s="2" t="s">
        <v>569</v>
      </c>
      <c r="D1024" s="2" t="str">
        <f t="shared" si="15"/>
        <v>Error?</v>
      </c>
    </row>
    <row r="1025" spans="1:4" x14ac:dyDescent="0.2">
      <c r="A1025" s="5">
        <v>964</v>
      </c>
      <c r="B1025" s="1832">
        <f>'Expenditures 15-22'!H55</f>
        <v>356</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356</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366</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366</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11920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33946</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1591467</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10015</v>
      </c>
      <c r="C1105" s="2" t="s">
        <v>569</v>
      </c>
      <c r="D1105" s="2" t="str">
        <f t="shared" si="16"/>
        <v>Error?</v>
      </c>
    </row>
    <row r="1106" spans="1:4" x14ac:dyDescent="0.2">
      <c r="A1106" s="5">
        <v>1045</v>
      </c>
      <c r="B1106" s="1832">
        <f>'Expenditures 15-22'!K14</f>
        <v>101299</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1757452</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7332</v>
      </c>
      <c r="C1110" s="2" t="s">
        <v>569</v>
      </c>
      <c r="D1110" s="2" t="str">
        <f t="shared" si="16"/>
        <v>Error?</v>
      </c>
    </row>
    <row r="1111" spans="1:4" x14ac:dyDescent="0.2">
      <c r="A1111" s="5">
        <v>1050</v>
      </c>
      <c r="B1111" s="1832">
        <f>'Expenditures 15-22'!K38</f>
        <v>17911</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25243</v>
      </c>
      <c r="C1115" s="2" t="s">
        <v>569</v>
      </c>
      <c r="D1115" s="2" t="str">
        <f t="shared" si="16"/>
        <v>Error?</v>
      </c>
    </row>
    <row r="1116" spans="1:4" x14ac:dyDescent="0.2">
      <c r="A1116" s="5">
        <v>1055</v>
      </c>
      <c r="B1116" s="1832">
        <f>'Expenditures 15-22'!K44</f>
        <v>55636</v>
      </c>
      <c r="C1116" s="2" t="s">
        <v>569</v>
      </c>
      <c r="D1116" s="2" t="str">
        <f t="shared" si="16"/>
        <v>Error?</v>
      </c>
    </row>
    <row r="1117" spans="1:4" x14ac:dyDescent="0.2">
      <c r="A1117" s="5">
        <v>1056</v>
      </c>
      <c r="B1117" s="1832">
        <f>'Expenditures 15-22'!K45</f>
        <v>833</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56469</v>
      </c>
      <c r="C1119" s="2" t="s">
        <v>569</v>
      </c>
      <c r="D1119" s="2" t="str">
        <f t="shared" si="16"/>
        <v>Error?</v>
      </c>
    </row>
    <row r="1120" spans="1:4" x14ac:dyDescent="0.2">
      <c r="A1120" s="5">
        <v>1059</v>
      </c>
      <c r="B1120" s="1832">
        <f>'Expenditures 15-22'!K49</f>
        <v>91435</v>
      </c>
      <c r="C1120" s="2" t="s">
        <v>569</v>
      </c>
      <c r="D1120" s="2" t="str">
        <f t="shared" si="16"/>
        <v>Error?</v>
      </c>
    </row>
    <row r="1121" spans="1:4" x14ac:dyDescent="0.2">
      <c r="A1121" s="5">
        <v>1060</v>
      </c>
      <c r="B1121" s="1832">
        <f>'Expenditures 15-22'!K50</f>
        <v>105971</v>
      </c>
      <c r="C1121" s="2" t="s">
        <v>569</v>
      </c>
      <c r="D1121" s="2" t="str">
        <f t="shared" si="16"/>
        <v>Error?</v>
      </c>
    </row>
    <row r="1122" spans="1:4" x14ac:dyDescent="0.2">
      <c r="A1122" s="5">
        <v>1061</v>
      </c>
      <c r="B1122" s="1832">
        <f>'Expenditures 15-22'!K53</f>
        <v>197406</v>
      </c>
      <c r="C1122" s="2" t="s">
        <v>569</v>
      </c>
      <c r="D1122" s="2" t="str">
        <f t="shared" si="16"/>
        <v>Error?</v>
      </c>
    </row>
    <row r="1123" spans="1:4" x14ac:dyDescent="0.2">
      <c r="A1123" s="5">
        <v>1062</v>
      </c>
      <c r="B1123" s="1832">
        <f>'Expenditures 15-22'!K55</f>
        <v>155395</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155395</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124758</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2739</v>
      </c>
      <c r="C1129" s="2" t="s">
        <v>569</v>
      </c>
      <c r="D1129" s="2" t="str">
        <f t="shared" si="16"/>
        <v>Error?</v>
      </c>
    </row>
    <row r="1130" spans="1:4" x14ac:dyDescent="0.2">
      <c r="A1130" s="5">
        <v>1069</v>
      </c>
      <c r="B1130" s="1832">
        <f>'Expenditures 15-22'!K63</f>
        <v>113475</v>
      </c>
      <c r="C1130" s="2" t="s">
        <v>569</v>
      </c>
      <c r="D1130" s="2" t="str">
        <f t="shared" si="16"/>
        <v>Error?</v>
      </c>
    </row>
    <row r="1131" spans="1:4" x14ac:dyDescent="0.2">
      <c r="A1131" s="5">
        <v>1070</v>
      </c>
      <c r="B1131" s="1832">
        <f>'Expenditures 15-22'!K64</f>
        <v>220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241192</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675705</v>
      </c>
      <c r="C1143" s="2" t="s">
        <v>569</v>
      </c>
      <c r="D1143" s="2" t="str">
        <f t="shared" si="16"/>
        <v>Error?</v>
      </c>
    </row>
    <row r="1144" spans="1:4" x14ac:dyDescent="0.2">
      <c r="A1144" s="5">
        <v>1083</v>
      </c>
      <c r="B1144" s="1832">
        <f>'Expenditures 15-22'!K75</f>
        <v>1066</v>
      </c>
      <c r="C1144" s="2" t="s">
        <v>569</v>
      </c>
      <c r="D1144" s="2" t="str">
        <f t="shared" si="16"/>
        <v>Error?</v>
      </c>
    </row>
    <row r="1145" spans="1:4" x14ac:dyDescent="0.2">
      <c r="A1145" s="5">
        <v>1084</v>
      </c>
      <c r="B1145" s="1832">
        <f>'Expenditures 15-22'!K102</f>
        <v>296561</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2730784</v>
      </c>
      <c r="C1152" s="2" t="s">
        <v>569</v>
      </c>
      <c r="D1152" s="2" t="str">
        <f t="shared" si="17"/>
        <v>Error?</v>
      </c>
    </row>
    <row r="1153" spans="1:4" x14ac:dyDescent="0.2">
      <c r="A1153" s="5">
        <v>1092</v>
      </c>
      <c r="B1153" s="1832">
        <f>'Expenditures 15-22'!K115</f>
        <v>-94957</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142677</v>
      </c>
      <c r="D1221" s="2" t="str">
        <f t="shared" si="18"/>
        <v>Error?</v>
      </c>
    </row>
    <row r="1222" spans="1:4" x14ac:dyDescent="0.2">
      <c r="A1222" s="10">
        <v>1161</v>
      </c>
      <c r="B1222" s="1832"/>
      <c r="D1222" s="2" t="str">
        <f t="shared" si="18"/>
        <v>OK</v>
      </c>
    </row>
    <row r="1223" spans="1:4" x14ac:dyDescent="0.2">
      <c r="A1223" s="5">
        <v>1162</v>
      </c>
      <c r="B1223" s="1832">
        <f>'Expenditures 15-22'!C127</f>
        <v>142677</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142677</v>
      </c>
      <c r="C1225" s="2" t="s">
        <v>569</v>
      </c>
      <c r="D1225" s="2" t="str">
        <f t="shared" si="18"/>
        <v>Error?</v>
      </c>
    </row>
    <row r="1226" spans="1:4" x14ac:dyDescent="0.2">
      <c r="A1226" s="5">
        <v>1165</v>
      </c>
      <c r="B1226" s="1832">
        <f>'Expenditures 15-22'!C151</f>
        <v>142677</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8674</v>
      </c>
      <c r="D1229" s="2" t="str">
        <f t="shared" si="18"/>
        <v>Error?</v>
      </c>
    </row>
    <row r="1230" spans="1:4" x14ac:dyDescent="0.2">
      <c r="A1230" s="10">
        <v>1169</v>
      </c>
      <c r="B1230" s="1832"/>
      <c r="D1230" s="2" t="str">
        <f t="shared" si="18"/>
        <v>OK</v>
      </c>
    </row>
    <row r="1231" spans="1:4" x14ac:dyDescent="0.2">
      <c r="A1231" s="5">
        <v>1170</v>
      </c>
      <c r="B1231" s="1832">
        <f>'Expenditures 15-22'!D127</f>
        <v>8674</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8674</v>
      </c>
      <c r="C1233" s="2" t="s">
        <v>569</v>
      </c>
      <c r="D1233" s="2" t="str">
        <f t="shared" si="18"/>
        <v>Error?</v>
      </c>
    </row>
    <row r="1234" spans="1:4" x14ac:dyDescent="0.2">
      <c r="A1234" s="5">
        <v>1173</v>
      </c>
      <c r="B1234" s="1832">
        <f>'Expenditures 15-22'!D151</f>
        <v>8674</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6912</v>
      </c>
      <c r="D1236" s="2" t="str">
        <f t="shared" si="18"/>
        <v>Error?</v>
      </c>
    </row>
    <row r="1237" spans="1:4" x14ac:dyDescent="0.2">
      <c r="A1237" s="5">
        <v>1176</v>
      </c>
      <c r="B1237" s="1832">
        <f>'Expenditures 15-22'!E124</f>
        <v>64955</v>
      </c>
      <c r="D1237" s="2" t="str">
        <f t="shared" si="18"/>
        <v>Error?</v>
      </c>
    </row>
    <row r="1238" spans="1:4" x14ac:dyDescent="0.2">
      <c r="A1238" s="10">
        <v>1177</v>
      </c>
      <c r="B1238" s="1832"/>
      <c r="D1238" s="2" t="str">
        <f t="shared" si="18"/>
        <v>OK</v>
      </c>
    </row>
    <row r="1239" spans="1:4" x14ac:dyDescent="0.2">
      <c r="A1239" s="5">
        <v>1178</v>
      </c>
      <c r="B1239" s="1832">
        <f>'Expenditures 15-22'!E127</f>
        <v>71867</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71867</v>
      </c>
      <c r="C1241" s="2" t="s">
        <v>569</v>
      </c>
      <c r="D1241" s="2" t="str">
        <f t="shared" si="18"/>
        <v>Error?</v>
      </c>
    </row>
    <row r="1242" spans="1:4" x14ac:dyDescent="0.2">
      <c r="A1242" s="5">
        <v>1181</v>
      </c>
      <c r="B1242" s="1832">
        <f>'Expenditures 15-22'!E151</f>
        <v>71867</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88261</v>
      </c>
      <c r="D1245" s="2" t="str">
        <f t="shared" si="18"/>
        <v>Error?</v>
      </c>
    </row>
    <row r="1246" spans="1:4" x14ac:dyDescent="0.2">
      <c r="A1246" s="10">
        <v>1185</v>
      </c>
      <c r="B1246" s="1832"/>
      <c r="D1246" s="2" t="str">
        <f t="shared" si="18"/>
        <v>OK</v>
      </c>
    </row>
    <row r="1247" spans="1:4" x14ac:dyDescent="0.2">
      <c r="A1247" s="5">
        <v>1186</v>
      </c>
      <c r="B1247" s="1832">
        <f>'Expenditures 15-22'!F127</f>
        <v>88261</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88261</v>
      </c>
      <c r="C1249" s="2" t="s">
        <v>569</v>
      </c>
      <c r="D1249" s="2" t="str">
        <f t="shared" si="18"/>
        <v>Error?</v>
      </c>
    </row>
    <row r="1250" spans="1:4" x14ac:dyDescent="0.2">
      <c r="A1250" s="5">
        <v>1189</v>
      </c>
      <c r="B1250" s="1832">
        <f>'Expenditures 15-22'!F151</f>
        <v>88261</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114402</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114402</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114402</v>
      </c>
      <c r="C1258" s="2" t="s">
        <v>569</v>
      </c>
      <c r="D1258" s="2" t="str">
        <f t="shared" si="18"/>
        <v>Error?</v>
      </c>
    </row>
    <row r="1259" spans="1:4" x14ac:dyDescent="0.2">
      <c r="A1259" s="5">
        <v>1198</v>
      </c>
      <c r="B1259" s="1832">
        <f>'Expenditures 15-22'!G151</f>
        <v>114402</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6912</v>
      </c>
      <c r="C1275" s="2" t="s">
        <v>569</v>
      </c>
      <c r="D1275" s="2" t="str">
        <f t="shared" si="18"/>
        <v>Error?</v>
      </c>
    </row>
    <row r="1276" spans="1:4" x14ac:dyDescent="0.2">
      <c r="A1276" s="5">
        <v>1215</v>
      </c>
      <c r="B1276" s="1832">
        <f>'Expenditures 15-22'!K124</f>
        <v>418974</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425886</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425886</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425886</v>
      </c>
      <c r="C1288" s="2" t="s">
        <v>569</v>
      </c>
      <c r="D1288" s="2" t="str">
        <f t="shared" si="19"/>
        <v>Error?</v>
      </c>
    </row>
    <row r="1289" spans="1:4" x14ac:dyDescent="0.2">
      <c r="A1289" s="5">
        <v>1228</v>
      </c>
      <c r="B1289" s="1832">
        <f>'Expenditures 15-22'!K152</f>
        <v>-21426</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145655</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145655</v>
      </c>
      <c r="C1339" s="2" t="s">
        <v>569</v>
      </c>
      <c r="D1339" s="2" t="str">
        <f t="shared" si="19"/>
        <v>Error?</v>
      </c>
    </row>
    <row r="1340" spans="1:4" x14ac:dyDescent="0.2">
      <c r="A1340" s="5">
        <v>1279</v>
      </c>
      <c r="B1340" s="1832">
        <f>'Expenditures 15-22'!C210</f>
        <v>145655</v>
      </c>
      <c r="C1340" s="2" t="s">
        <v>569</v>
      </c>
      <c r="D1340" s="2" t="str">
        <f t="shared" si="19"/>
        <v>Error?</v>
      </c>
    </row>
    <row r="1341" spans="1:4" x14ac:dyDescent="0.2">
      <c r="A1341" s="5">
        <v>1280</v>
      </c>
      <c r="B1341" s="1832">
        <f>'Expenditures 15-22'!D182</f>
        <v>6657</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6657</v>
      </c>
      <c r="C1345" s="2" t="s">
        <v>569</v>
      </c>
      <c r="D1345" s="2" t="str">
        <f t="shared" si="20"/>
        <v>Error?</v>
      </c>
    </row>
    <row r="1346" spans="1:4" x14ac:dyDescent="0.2">
      <c r="A1346" s="5">
        <v>1285</v>
      </c>
      <c r="B1346" s="1832">
        <f>'Expenditures 15-22'!D210</f>
        <v>6657</v>
      </c>
      <c r="C1346" s="2" t="s">
        <v>569</v>
      </c>
      <c r="D1346" s="2" t="str">
        <f t="shared" si="20"/>
        <v>Error?</v>
      </c>
    </row>
    <row r="1347" spans="1:4" x14ac:dyDescent="0.2">
      <c r="A1347" s="5">
        <v>1286</v>
      </c>
      <c r="B1347" s="1832">
        <f>'Expenditures 15-22'!E182</f>
        <v>5843</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5843</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5843</v>
      </c>
      <c r="C1353" s="2" t="s">
        <v>569</v>
      </c>
      <c r="D1353" s="2" t="str">
        <f t="shared" si="20"/>
        <v>Error?</v>
      </c>
    </row>
    <row r="1354" spans="1:4" x14ac:dyDescent="0.2">
      <c r="A1354" s="5">
        <v>1293</v>
      </c>
      <c r="B1354" s="1832">
        <f>'Expenditures 15-22'!F182</f>
        <v>23126</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23126</v>
      </c>
      <c r="C1358" s="2" t="s">
        <v>569</v>
      </c>
      <c r="D1358" s="2" t="str">
        <f t="shared" si="20"/>
        <v>Error?</v>
      </c>
    </row>
    <row r="1359" spans="1:4" x14ac:dyDescent="0.2">
      <c r="A1359" s="5">
        <v>1298</v>
      </c>
      <c r="B1359" s="1832">
        <f>'Expenditures 15-22'!F210</f>
        <v>23126</v>
      </c>
      <c r="C1359" s="2" t="s">
        <v>569</v>
      </c>
      <c r="D1359" s="2" t="str">
        <f t="shared" si="20"/>
        <v>Error?</v>
      </c>
    </row>
    <row r="1360" spans="1:4" x14ac:dyDescent="0.2">
      <c r="A1360" s="5">
        <v>1299</v>
      </c>
      <c r="B1360" s="1832">
        <f>'Expenditures 15-22'!G182</f>
        <v>59999</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59999</v>
      </c>
      <c r="C1364" s="2" t="s">
        <v>569</v>
      </c>
      <c r="D1364" s="2" t="str">
        <f t="shared" si="20"/>
        <v>Error?</v>
      </c>
    </row>
    <row r="1365" spans="1:4" x14ac:dyDescent="0.2">
      <c r="A1365" s="5">
        <v>1304</v>
      </c>
      <c r="B1365" s="1832">
        <f>'Expenditures 15-22'!G210</f>
        <v>59999</v>
      </c>
      <c r="C1365" s="2" t="s">
        <v>569</v>
      </c>
      <c r="D1365" s="2" t="str">
        <f t="shared" si="20"/>
        <v>Error?</v>
      </c>
    </row>
    <row r="1366" spans="1:4" x14ac:dyDescent="0.2">
      <c r="A1366" s="5">
        <v>1305</v>
      </c>
      <c r="B1366" s="1832">
        <f>'Expenditures 15-22'!H182</f>
        <v>1779</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1779</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1779</v>
      </c>
      <c r="C1376" s="2" t="s">
        <v>569</v>
      </c>
      <c r="D1376" s="2" t="str">
        <f t="shared" si="20"/>
        <v>Error?</v>
      </c>
    </row>
    <row r="1377" spans="1:4" x14ac:dyDescent="0.2">
      <c r="A1377" s="5">
        <v>1316</v>
      </c>
      <c r="B1377" s="1832">
        <f>'Expenditures 15-22'!K182</f>
        <v>243064</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243064</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243064</v>
      </c>
      <c r="C1388" s="2" t="s">
        <v>569</v>
      </c>
      <c r="D1388" s="2" t="str">
        <f t="shared" si="20"/>
        <v>Error?</v>
      </c>
    </row>
    <row r="1389" spans="1:4" x14ac:dyDescent="0.2">
      <c r="A1389" s="5">
        <v>1328</v>
      </c>
      <c r="B1389" s="1832">
        <f>'Expenditures 15-22'!K211</f>
        <v>-44622</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20</v>
      </c>
      <c r="D1407" s="2" t="str">
        <f t="shared" ref="D1407:D1470" si="21">IF(ISBLANK(B1407),"OK",IF(A1407-B1407=0,"OK","Error?"))</f>
        <v>Error?</v>
      </c>
    </row>
    <row r="1408" spans="1:4" x14ac:dyDescent="0.2">
      <c r="A1408" s="5">
        <v>1347</v>
      </c>
      <c r="B1408" s="1832">
        <f>'Expenditures 15-22'!D223</f>
        <v>1926</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35237</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101</v>
      </c>
      <c r="D1412" s="2" t="str">
        <f t="shared" si="21"/>
        <v>Error?</v>
      </c>
    </row>
    <row r="1413" spans="1:4" x14ac:dyDescent="0.2">
      <c r="A1413" s="5">
        <v>1352</v>
      </c>
      <c r="B1413" s="1832">
        <f>'Expenditures 15-22'!D234</f>
        <v>2039</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2140</v>
      </c>
      <c r="C1417" s="2" t="s">
        <v>569</v>
      </c>
      <c r="D1417" s="2" t="str">
        <f t="shared" si="21"/>
        <v>Error?</v>
      </c>
    </row>
    <row r="1418" spans="1:4" x14ac:dyDescent="0.2">
      <c r="A1418" s="5">
        <v>1357</v>
      </c>
      <c r="B1418" s="1832">
        <f>'Expenditures 15-22'!D240</f>
        <v>51</v>
      </c>
      <c r="D1418" s="2" t="str">
        <f t="shared" si="21"/>
        <v>Error?</v>
      </c>
    </row>
    <row r="1419" spans="1:4" x14ac:dyDescent="0.2">
      <c r="A1419" s="5">
        <v>1358</v>
      </c>
      <c r="B1419" s="1832">
        <f>'Expenditures 15-22'!D241</f>
        <v>61</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112</v>
      </c>
      <c r="C1421" s="2" t="s">
        <v>569</v>
      </c>
      <c r="D1421" s="2" t="str">
        <f t="shared" si="21"/>
        <v>Error?</v>
      </c>
    </row>
    <row r="1422" spans="1:4" x14ac:dyDescent="0.2">
      <c r="A1422" s="5">
        <v>1361</v>
      </c>
      <c r="B1422" s="1832">
        <f>'Expenditures 15-22'!D245</f>
        <v>306</v>
      </c>
      <c r="D1422" s="2" t="str">
        <f t="shared" si="21"/>
        <v>Error?</v>
      </c>
    </row>
    <row r="1423" spans="1:4" x14ac:dyDescent="0.2">
      <c r="A1423" s="5">
        <v>1362</v>
      </c>
      <c r="B1423" s="1832">
        <f>'Expenditures 15-22'!D246</f>
        <v>1362</v>
      </c>
      <c r="D1423" s="2" t="str">
        <f t="shared" si="21"/>
        <v>OK</v>
      </c>
    </row>
    <row r="1424" spans="1:4" x14ac:dyDescent="0.2">
      <c r="A1424" s="5">
        <v>1363</v>
      </c>
      <c r="B1424" s="1832">
        <f>'Expenditures 15-22'!D257</f>
        <v>1668</v>
      </c>
      <c r="C1424" s="2" t="s">
        <v>569</v>
      </c>
      <c r="D1424" s="2" t="str">
        <f t="shared" si="21"/>
        <v>Error?</v>
      </c>
    </row>
    <row r="1425" spans="1:4" x14ac:dyDescent="0.2">
      <c r="A1425" s="5">
        <v>1364</v>
      </c>
      <c r="B1425" s="1832">
        <f>'Expenditures 15-22'!D259</f>
        <v>9360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9360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17654</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20926</v>
      </c>
      <c r="D1431" s="2" t="str">
        <f t="shared" si="21"/>
        <v>Error?</v>
      </c>
    </row>
    <row r="1432" spans="1:4" x14ac:dyDescent="0.2">
      <c r="A1432" s="5">
        <v>1371</v>
      </c>
      <c r="B1432" s="1832">
        <f>'Expenditures 15-22'!D267</f>
        <v>20804</v>
      </c>
      <c r="D1432" s="2" t="str">
        <f t="shared" si="21"/>
        <v>Error?</v>
      </c>
    </row>
    <row r="1433" spans="1:4" x14ac:dyDescent="0.2">
      <c r="A1433" s="5">
        <v>1372</v>
      </c>
      <c r="B1433" s="1832">
        <f>'Expenditures 15-22'!D268</f>
        <v>9452</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68836</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82116</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117353</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20</v>
      </c>
      <c r="C1471" s="2" t="s">
        <v>569</v>
      </c>
      <c r="D1471" s="2" t="str">
        <f t="shared" ref="D1471:D1534" si="22">IF(ISBLANK(B1471),"OK",IF(A1471-B1471=0,"OK","Error?"))</f>
        <v>Error?</v>
      </c>
    </row>
    <row r="1472" spans="1:4" x14ac:dyDescent="0.2">
      <c r="A1472" s="5">
        <v>1411</v>
      </c>
      <c r="B1472" s="1832">
        <f>'Expenditures 15-22'!K223</f>
        <v>1926</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35237</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101</v>
      </c>
      <c r="C1476" s="2" t="s">
        <v>569</v>
      </c>
      <c r="D1476" s="2" t="str">
        <f t="shared" si="22"/>
        <v>Error?</v>
      </c>
    </row>
    <row r="1477" spans="1:4" x14ac:dyDescent="0.2">
      <c r="A1477" s="5">
        <v>1416</v>
      </c>
      <c r="B1477" s="1832">
        <f>'Expenditures 15-22'!K234</f>
        <v>2039</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2140</v>
      </c>
      <c r="C1481" s="2" t="s">
        <v>569</v>
      </c>
      <c r="D1481" s="2" t="str">
        <f t="shared" si="22"/>
        <v>Error?</v>
      </c>
    </row>
    <row r="1482" spans="1:4" x14ac:dyDescent="0.2">
      <c r="A1482" s="5">
        <v>1421</v>
      </c>
      <c r="B1482" s="1832">
        <f>'Expenditures 15-22'!K240</f>
        <v>51</v>
      </c>
      <c r="C1482" s="2" t="s">
        <v>569</v>
      </c>
      <c r="D1482" s="2" t="str">
        <f t="shared" si="22"/>
        <v>Error?</v>
      </c>
    </row>
    <row r="1483" spans="1:4" x14ac:dyDescent="0.2">
      <c r="A1483" s="5">
        <v>1422</v>
      </c>
      <c r="B1483" s="1832">
        <f>'Expenditures 15-22'!K241</f>
        <v>61</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112</v>
      </c>
      <c r="C1485" s="2" t="s">
        <v>569</v>
      </c>
      <c r="D1485" s="2" t="str">
        <f t="shared" si="22"/>
        <v>Error?</v>
      </c>
    </row>
    <row r="1486" spans="1:4" x14ac:dyDescent="0.2">
      <c r="A1486" s="5">
        <v>1425</v>
      </c>
      <c r="B1486" s="1832">
        <f>'Expenditures 15-22'!K245</f>
        <v>306</v>
      </c>
      <c r="C1486" s="2" t="s">
        <v>569</v>
      </c>
      <c r="D1486" s="2" t="str">
        <f t="shared" si="22"/>
        <v>Error?</v>
      </c>
    </row>
    <row r="1487" spans="1:4" x14ac:dyDescent="0.2">
      <c r="A1487" s="5">
        <v>1426</v>
      </c>
      <c r="B1487" s="1832">
        <f>'Expenditures 15-22'!K246</f>
        <v>1362</v>
      </c>
      <c r="C1487" s="2" t="s">
        <v>569</v>
      </c>
      <c r="D1487" s="2" t="str">
        <f t="shared" si="22"/>
        <v>Error?</v>
      </c>
    </row>
    <row r="1488" spans="1:4" x14ac:dyDescent="0.2">
      <c r="A1488" s="5">
        <v>1427</v>
      </c>
      <c r="B1488" s="1832">
        <f>'Expenditures 15-22'!K257</f>
        <v>1668</v>
      </c>
      <c r="C1488" s="2" t="s">
        <v>569</v>
      </c>
      <c r="D1488" s="2" t="str">
        <f t="shared" si="22"/>
        <v>Error?</v>
      </c>
    </row>
    <row r="1489" spans="1:4" x14ac:dyDescent="0.2">
      <c r="A1489" s="5">
        <v>1428</v>
      </c>
      <c r="B1489" s="1832">
        <f>'Expenditures 15-22'!K259</f>
        <v>9360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9360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17654</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20926</v>
      </c>
      <c r="C1495" s="2" t="s">
        <v>569</v>
      </c>
      <c r="D1495" s="2" t="str">
        <f t="shared" si="22"/>
        <v>Error?</v>
      </c>
    </row>
    <row r="1496" spans="1:4" x14ac:dyDescent="0.2">
      <c r="A1496" s="5">
        <v>1435</v>
      </c>
      <c r="B1496" s="1832">
        <f>'Expenditures 15-22'!K267</f>
        <v>20804</v>
      </c>
      <c r="C1496" s="2" t="s">
        <v>569</v>
      </c>
      <c r="D1496" s="2" t="str">
        <f t="shared" si="22"/>
        <v>Error?</v>
      </c>
    </row>
    <row r="1497" spans="1:4" x14ac:dyDescent="0.2">
      <c r="A1497" s="5">
        <v>1436</v>
      </c>
      <c r="B1497" s="1832">
        <f>'Expenditures 15-22'!K268</f>
        <v>9452</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68836</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82116</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117353</v>
      </c>
      <c r="C1517" s="2" t="s">
        <v>569</v>
      </c>
      <c r="D1517" s="2" t="str">
        <f t="shared" si="22"/>
        <v>Error?</v>
      </c>
    </row>
    <row r="1518" spans="1:4" x14ac:dyDescent="0.2">
      <c r="A1518" s="5">
        <v>1457</v>
      </c>
      <c r="B1518" s="1832">
        <f>'Expenditures 15-22'!K296</f>
        <v>-36340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1443087</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1348130</v>
      </c>
      <c r="C1630" s="2" t="s">
        <v>569</v>
      </c>
      <c r="D1630" s="2" t="str">
        <f t="shared" si="24"/>
        <v>Error?</v>
      </c>
    </row>
    <row r="1631" spans="1:4" x14ac:dyDescent="0.2">
      <c r="A1631" s="5">
        <v>1570</v>
      </c>
      <c r="B1631" s="1832">
        <f>'Acct Summary 7-8'!D79</f>
        <v>248600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527174</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592733</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248111</v>
      </c>
      <c r="C1672" s="2" t="s">
        <v>569</v>
      </c>
      <c r="D1672" s="2" t="str">
        <f t="shared" si="25"/>
        <v>Error?</v>
      </c>
    </row>
    <row r="1673" spans="1:4" x14ac:dyDescent="0.2">
      <c r="A1673" s="5">
        <v>1612</v>
      </c>
      <c r="B1673" s="1832">
        <f>'Acct Summary 7-8'!G79</f>
        <v>10705</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24365</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1487884</v>
      </c>
      <c r="C1744" s="2" t="s">
        <v>569</v>
      </c>
      <c r="D1744" s="2" t="str">
        <f t="shared" si="26"/>
        <v>Error?</v>
      </c>
    </row>
    <row r="1745" spans="1:5" x14ac:dyDescent="0.2">
      <c r="A1745" s="5">
        <v>1684</v>
      </c>
      <c r="B1745" s="1832">
        <f>'Tax Sched 23'!B5</f>
        <v>245136</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118033</v>
      </c>
      <c r="C1747" s="2" t="s">
        <v>569</v>
      </c>
      <c r="D1747" s="2" t="str">
        <f t="shared" si="26"/>
        <v>Error?</v>
      </c>
    </row>
    <row r="1748" spans="1:5" x14ac:dyDescent="0.2">
      <c r="A1748" s="5">
        <v>1687</v>
      </c>
      <c r="B1748" s="1832">
        <f>'Tax Sched 23'!B8</f>
        <v>47203</v>
      </c>
      <c r="C1748" s="2" t="s">
        <v>569</v>
      </c>
      <c r="D1748" s="2" t="str">
        <f t="shared" si="26"/>
        <v>Error?</v>
      </c>
    </row>
    <row r="1749" spans="1:5" x14ac:dyDescent="0.2">
      <c r="A1749" s="5">
        <v>1688</v>
      </c>
      <c r="B1749" s="1832">
        <f>'Tax Sched 23'!B10</f>
        <v>13204</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29688</v>
      </c>
      <c r="C1753" s="2" t="s">
        <v>569</v>
      </c>
      <c r="D1753" s="2" t="str">
        <f t="shared" si="26"/>
        <v>Error?</v>
      </c>
    </row>
    <row r="1754" spans="1:5" x14ac:dyDescent="0.2">
      <c r="A1754" s="5">
        <v>1693</v>
      </c>
      <c r="B1754" s="1832">
        <f>'Tax Sched 23'!B14</f>
        <v>49539</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2031019</v>
      </c>
      <c r="C1759" s="2" t="s">
        <v>569</v>
      </c>
      <c r="D1759" s="2" t="str">
        <f t="shared" si="26"/>
        <v>Error?</v>
      </c>
    </row>
    <row r="1760" spans="1:5" x14ac:dyDescent="0.2">
      <c r="A1760" s="5">
        <v>1699</v>
      </c>
      <c r="B1760" s="1832">
        <f>'Tax Sched 23'!D4</f>
        <v>1487884</v>
      </c>
      <c r="C1760" s="2" t="s">
        <v>569</v>
      </c>
      <c r="D1760" s="2" t="str">
        <f t="shared" si="26"/>
        <v>Error?</v>
      </c>
    </row>
    <row r="1761" spans="1:7" x14ac:dyDescent="0.2">
      <c r="A1761" s="5">
        <v>1700</v>
      </c>
      <c r="B1761" s="1832">
        <f>'Tax Sched 23'!D5</f>
        <v>245136</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118033</v>
      </c>
      <c r="C1763" s="2" t="s">
        <v>569</v>
      </c>
      <c r="D1763" s="2" t="str">
        <f t="shared" si="26"/>
        <v>Error?</v>
      </c>
    </row>
    <row r="1764" spans="1:7" x14ac:dyDescent="0.2">
      <c r="A1764" s="5">
        <v>1703</v>
      </c>
      <c r="B1764" s="1832">
        <f>'Tax Sched 23'!D8</f>
        <v>47203</v>
      </c>
      <c r="C1764" s="2" t="s">
        <v>569</v>
      </c>
      <c r="D1764" s="2" t="str">
        <f t="shared" si="26"/>
        <v>Error?</v>
      </c>
    </row>
    <row r="1765" spans="1:7" x14ac:dyDescent="0.2">
      <c r="A1765" s="5">
        <v>1704</v>
      </c>
      <c r="B1765" s="1832">
        <f>'Tax Sched 23'!D10</f>
        <v>13204</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29688</v>
      </c>
      <c r="C1769" s="2" t="s">
        <v>569</v>
      </c>
      <c r="D1769" s="2" t="str">
        <f t="shared" si="26"/>
        <v>Error?</v>
      </c>
    </row>
    <row r="1770" spans="1:7" x14ac:dyDescent="0.2">
      <c r="A1770" s="5">
        <v>1709</v>
      </c>
      <c r="B1770" s="1832">
        <f>'Tax Sched 23'!D14</f>
        <v>49539</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2031019</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1529502</v>
      </c>
      <c r="C1792" s="2" t="s">
        <v>569</v>
      </c>
      <c r="D1792" s="2" t="str">
        <f t="shared" si="27"/>
        <v>Error?</v>
      </c>
    </row>
    <row r="1793" spans="1:4" x14ac:dyDescent="0.2">
      <c r="A1793" s="5">
        <v>1732</v>
      </c>
      <c r="B1793" s="1832">
        <f>'Tax Sched 23'!F5</f>
        <v>237177</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114217</v>
      </c>
      <c r="C1795" s="2" t="s">
        <v>569</v>
      </c>
      <c r="D1795" s="2" t="str">
        <f t="shared" si="27"/>
        <v>Error?</v>
      </c>
    </row>
    <row r="1796" spans="1:4" x14ac:dyDescent="0.2">
      <c r="A1796" s="5">
        <v>1735</v>
      </c>
      <c r="B1796" s="1832">
        <f>'Tax Sched 23'!F8</f>
        <v>42199</v>
      </c>
      <c r="C1796" s="2" t="s">
        <v>569</v>
      </c>
      <c r="D1796" s="2" t="str">
        <f t="shared" si="27"/>
        <v>Error?</v>
      </c>
    </row>
    <row r="1797" spans="1:4" x14ac:dyDescent="0.2">
      <c r="A1797" s="5">
        <v>1736</v>
      </c>
      <c r="B1797" s="1832">
        <f>'Tax Sched 23'!F10</f>
        <v>11827</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26506</v>
      </c>
      <c r="C1801" s="2" t="s">
        <v>569</v>
      </c>
      <c r="D1801" s="2" t="str">
        <f t="shared" si="27"/>
        <v>Error?</v>
      </c>
    </row>
    <row r="1802" spans="1:4" x14ac:dyDescent="0.2">
      <c r="A1802" s="5">
        <v>1741</v>
      </c>
      <c r="B1802" s="1832">
        <f>'Tax Sched 23'!F14</f>
        <v>44315</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2066395</v>
      </c>
      <c r="C1807" s="2" t="s">
        <v>569</v>
      </c>
      <c r="D1807" s="2" t="str">
        <f t="shared" si="27"/>
        <v>Error?</v>
      </c>
    </row>
    <row r="1808" spans="1:4" x14ac:dyDescent="0.2">
      <c r="A1808" s="5">
        <v>1747</v>
      </c>
      <c r="B1808" s="1832">
        <f>'Tax Sched 23'!E4</f>
        <v>1529502</v>
      </c>
      <c r="D1808" s="2" t="str">
        <f t="shared" si="27"/>
        <v>Error?</v>
      </c>
    </row>
    <row r="1809" spans="1:4" x14ac:dyDescent="0.2">
      <c r="A1809" s="5">
        <v>1748</v>
      </c>
      <c r="B1809" s="1832">
        <f>'Tax Sched 23'!E5</f>
        <v>237177</v>
      </c>
      <c r="D1809" s="2" t="str">
        <f t="shared" si="27"/>
        <v>Error?</v>
      </c>
    </row>
    <row r="1810" spans="1:4" x14ac:dyDescent="0.2">
      <c r="A1810" s="5">
        <v>1749</v>
      </c>
      <c r="B1810" s="1832">
        <f>'Tax Sched 23'!E6</f>
        <v>0</v>
      </c>
      <c r="D1810" s="2" t="str">
        <f t="shared" si="27"/>
        <v>Error?</v>
      </c>
    </row>
    <row r="1811" spans="1:4" x14ac:dyDescent="0.2">
      <c r="A1811" s="5">
        <v>1750</v>
      </c>
      <c r="B1811" s="1832">
        <f>'Tax Sched 23'!E7</f>
        <v>114217</v>
      </c>
      <c r="D1811" s="2" t="str">
        <f t="shared" si="27"/>
        <v>Error?</v>
      </c>
    </row>
    <row r="1812" spans="1:4" x14ac:dyDescent="0.2">
      <c r="A1812" s="5">
        <v>1751</v>
      </c>
      <c r="B1812" s="1832">
        <f>'Tax Sched 23'!E8</f>
        <v>42199</v>
      </c>
      <c r="D1812" s="2" t="str">
        <f t="shared" si="27"/>
        <v>Error?</v>
      </c>
    </row>
    <row r="1813" spans="1:4" x14ac:dyDescent="0.2">
      <c r="A1813" s="5">
        <v>1752</v>
      </c>
      <c r="B1813" s="1832">
        <f>'Tax Sched 23'!E10</f>
        <v>11827</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26506</v>
      </c>
      <c r="D1817" s="2" t="str">
        <f t="shared" si="27"/>
        <v>Error?</v>
      </c>
    </row>
    <row r="1818" spans="1:4" x14ac:dyDescent="0.2">
      <c r="A1818" s="5">
        <v>1757</v>
      </c>
      <c r="B1818" s="1832">
        <f>'Tax Sched 23'!E14</f>
        <v>44315</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2066395</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49539</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49539</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49539</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7500</v>
      </c>
      <c r="D2008" s="2" t="str">
        <f t="shared" si="30"/>
        <v>Error?</v>
      </c>
    </row>
    <row r="2009" spans="1:4" x14ac:dyDescent="0.2">
      <c r="A2009" s="5">
        <v>1948</v>
      </c>
      <c r="B2009" s="1832">
        <f>'Cap Outlay Deprec 26'!C8</f>
        <v>2905877</v>
      </c>
      <c r="D2009" s="2" t="str">
        <f t="shared" si="30"/>
        <v>Error?</v>
      </c>
    </row>
    <row r="2010" spans="1:4" x14ac:dyDescent="0.2">
      <c r="A2010" s="5">
        <v>1949</v>
      </c>
      <c r="B2010" s="1832">
        <f>'Cap Outlay Deprec 26'!C10</f>
        <v>41861</v>
      </c>
      <c r="D2010" s="2" t="str">
        <f t="shared" si="30"/>
        <v>Error?</v>
      </c>
    </row>
    <row r="2011" spans="1:4" x14ac:dyDescent="0.2">
      <c r="A2011" s="5">
        <v>1950</v>
      </c>
      <c r="B2011" s="1832">
        <f>'Cap Outlay Deprec 26'!C12</f>
        <v>297728</v>
      </c>
      <c r="D2011" s="2" t="str">
        <f t="shared" si="30"/>
        <v>Error?</v>
      </c>
    </row>
    <row r="2012" spans="1:4" x14ac:dyDescent="0.2">
      <c r="A2012" s="5">
        <v>1951</v>
      </c>
      <c r="B2012" s="1832">
        <f>'Cap Outlay Deprec 26'!C13</f>
        <v>407365</v>
      </c>
      <c r="D2012" s="2" t="str">
        <f t="shared" si="30"/>
        <v>Error?</v>
      </c>
    </row>
    <row r="2013" spans="1:4" x14ac:dyDescent="0.2">
      <c r="A2013" s="5">
        <v>1952</v>
      </c>
      <c r="B2013" s="1832">
        <f>'Cap Outlay Deprec 26'!C16</f>
        <v>3660331</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114402</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104503</v>
      </c>
      <c r="D2017" s="2" t="str">
        <f t="shared" si="30"/>
        <v>Error?</v>
      </c>
    </row>
    <row r="2018" spans="1:4" x14ac:dyDescent="0.2">
      <c r="A2018" s="5">
        <v>1957</v>
      </c>
      <c r="B2018" s="1832">
        <f>'Cap Outlay Deprec 26'!D13</f>
        <v>59999</v>
      </c>
      <c r="D2018" s="2" t="str">
        <f t="shared" si="30"/>
        <v>Error?</v>
      </c>
    </row>
    <row r="2019" spans="1:4" x14ac:dyDescent="0.2">
      <c r="A2019" s="5">
        <v>1958</v>
      </c>
      <c r="B2019" s="1832">
        <f>'Cap Outlay Deprec 26'!D16</f>
        <v>278904</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3935</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3935</v>
      </c>
      <c r="C2025" s="2" t="s">
        <v>569</v>
      </c>
      <c r="D2025" s="2" t="str">
        <f t="shared" si="30"/>
        <v>Error?</v>
      </c>
    </row>
    <row r="2026" spans="1:4" x14ac:dyDescent="0.2">
      <c r="A2026" s="5">
        <v>1965</v>
      </c>
      <c r="B2026" s="1832">
        <f>'Cap Outlay Deprec 26'!F5</f>
        <v>7500</v>
      </c>
      <c r="C2026" s="2" t="s">
        <v>569</v>
      </c>
      <c r="D2026" s="2" t="str">
        <f t="shared" si="30"/>
        <v>Error?</v>
      </c>
    </row>
    <row r="2027" spans="1:4" x14ac:dyDescent="0.2">
      <c r="A2027" s="5">
        <v>1966</v>
      </c>
      <c r="B2027" s="1832">
        <f>'Cap Outlay Deprec 26'!F8</f>
        <v>3020279</v>
      </c>
      <c r="C2027" s="2" t="s">
        <v>569</v>
      </c>
      <c r="D2027" s="2" t="str">
        <f t="shared" si="30"/>
        <v>Error?</v>
      </c>
    </row>
    <row r="2028" spans="1:4" x14ac:dyDescent="0.2">
      <c r="A2028" s="5">
        <v>1967</v>
      </c>
      <c r="B2028" s="1832">
        <f>'Cap Outlay Deprec 26'!F10</f>
        <v>41861</v>
      </c>
      <c r="C2028" s="2" t="s">
        <v>569</v>
      </c>
      <c r="D2028" s="2" t="str">
        <f t="shared" si="30"/>
        <v>Error?</v>
      </c>
    </row>
    <row r="2029" spans="1:4" x14ac:dyDescent="0.2">
      <c r="A2029" s="5">
        <v>1968</v>
      </c>
      <c r="B2029" s="1832">
        <f>'Cap Outlay Deprec 26'!F12</f>
        <v>398296</v>
      </c>
      <c r="C2029" s="2" t="s">
        <v>569</v>
      </c>
      <c r="D2029" s="2" t="str">
        <f t="shared" si="30"/>
        <v>Error?</v>
      </c>
    </row>
    <row r="2030" spans="1:4" x14ac:dyDescent="0.2">
      <c r="A2030" s="5">
        <v>1969</v>
      </c>
      <c r="B2030" s="1832">
        <f>'Cap Outlay Deprec 26'!F13</f>
        <v>467364</v>
      </c>
      <c r="C2030" s="2" t="s">
        <v>569</v>
      </c>
      <c r="D2030" s="2" t="str">
        <f t="shared" si="30"/>
        <v>Error?</v>
      </c>
    </row>
    <row r="2031" spans="1:4" x14ac:dyDescent="0.2">
      <c r="A2031" s="5">
        <v>1970</v>
      </c>
      <c r="B2031" s="1832">
        <f>'Cap Outlay Deprec 26'!F16</f>
        <v>3935300</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1683219</v>
      </c>
      <c r="D2033" s="2" t="str">
        <f t="shared" si="30"/>
        <v>Error?</v>
      </c>
    </row>
    <row r="2034" spans="1:4" x14ac:dyDescent="0.2">
      <c r="A2034" s="5">
        <v>1973</v>
      </c>
      <c r="B2034" s="1832">
        <f>'Cap Outlay Deprec 26'!H10</f>
        <v>27777</v>
      </c>
      <c r="D2034" s="2" t="str">
        <f t="shared" si="30"/>
        <v>Error?</v>
      </c>
    </row>
    <row r="2035" spans="1:4" x14ac:dyDescent="0.2">
      <c r="A2035" s="5">
        <v>1974</v>
      </c>
      <c r="B2035" s="1832">
        <f>'Cap Outlay Deprec 26'!H12</f>
        <v>176078</v>
      </c>
      <c r="D2035" s="2" t="str">
        <f t="shared" si="30"/>
        <v>Error?</v>
      </c>
    </row>
    <row r="2036" spans="1:4" x14ac:dyDescent="0.2">
      <c r="A2036" s="5">
        <v>1975</v>
      </c>
      <c r="B2036" s="1832">
        <f>'Cap Outlay Deprec 26'!H13</f>
        <v>140013</v>
      </c>
      <c r="D2036" s="2" t="str">
        <f t="shared" si="30"/>
        <v>Error?</v>
      </c>
    </row>
    <row r="2037" spans="1:4" x14ac:dyDescent="0.2">
      <c r="A2037" s="5">
        <v>1976</v>
      </c>
      <c r="B2037" s="1832">
        <f>'Cap Outlay Deprec 26'!H16</f>
        <v>2027087</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35657</v>
      </c>
      <c r="D2039" s="2" t="str">
        <f t="shared" si="30"/>
        <v>Error?</v>
      </c>
    </row>
    <row r="2040" spans="1:4" x14ac:dyDescent="0.2">
      <c r="A2040" s="5">
        <v>1979</v>
      </c>
      <c r="B2040" s="1832">
        <f>'Cap Outlay Deprec 26'!I10</f>
        <v>2093</v>
      </c>
      <c r="D2040" s="2" t="str">
        <f t="shared" si="30"/>
        <v>Error?</v>
      </c>
    </row>
    <row r="2041" spans="1:4" x14ac:dyDescent="0.2">
      <c r="A2041" s="5">
        <v>1980</v>
      </c>
      <c r="B2041" s="1832">
        <f>'Cap Outlay Deprec 26'!I12</f>
        <v>29375</v>
      </c>
      <c r="D2041" s="2" t="str">
        <f t="shared" si="30"/>
        <v>Error?</v>
      </c>
    </row>
    <row r="2042" spans="1:4" x14ac:dyDescent="0.2">
      <c r="A2042" s="5">
        <v>1981</v>
      </c>
      <c r="B2042" s="1832">
        <f>'Cap Outlay Deprec 26'!I13</f>
        <v>80419</v>
      </c>
      <c r="D2042" s="2" t="str">
        <f t="shared" si="30"/>
        <v>Error?</v>
      </c>
    </row>
    <row r="2043" spans="1:4" x14ac:dyDescent="0.2">
      <c r="A2043" s="5">
        <v>1982</v>
      </c>
      <c r="B2043" s="1832">
        <f>'Cap Outlay Deprec 26'!I16</f>
        <v>147544</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3935</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3935</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1718876</v>
      </c>
      <c r="C2051" s="2" t="s">
        <v>569</v>
      </c>
      <c r="D2051" s="2" t="str">
        <f t="shared" si="31"/>
        <v>Error?</v>
      </c>
    </row>
    <row r="2052" spans="1:4" x14ac:dyDescent="0.2">
      <c r="A2052" s="5">
        <v>1991</v>
      </c>
      <c r="B2052" s="1832">
        <f>'Cap Outlay Deprec 26'!K10</f>
        <v>29870</v>
      </c>
      <c r="C2052" s="2" t="s">
        <v>569</v>
      </c>
      <c r="D2052" s="2" t="str">
        <f t="shared" si="31"/>
        <v>Error?</v>
      </c>
    </row>
    <row r="2053" spans="1:4" x14ac:dyDescent="0.2">
      <c r="A2053" s="5">
        <v>1992</v>
      </c>
      <c r="B2053" s="1832">
        <f>'Cap Outlay Deprec 26'!K12</f>
        <v>201518</v>
      </c>
      <c r="C2053" s="2" t="s">
        <v>569</v>
      </c>
      <c r="D2053" s="2" t="str">
        <f t="shared" si="31"/>
        <v>Error?</v>
      </c>
    </row>
    <row r="2054" spans="1:4" x14ac:dyDescent="0.2">
      <c r="A2054" s="5">
        <v>1993</v>
      </c>
      <c r="B2054" s="1832">
        <f>'Cap Outlay Deprec 26'!K13</f>
        <v>220432</v>
      </c>
      <c r="C2054" s="2" t="s">
        <v>569</v>
      </c>
      <c r="D2054" s="2" t="str">
        <f t="shared" si="31"/>
        <v>Error?</v>
      </c>
    </row>
    <row r="2055" spans="1:4" x14ac:dyDescent="0.2">
      <c r="A2055" s="5">
        <v>1994</v>
      </c>
      <c r="B2055" s="1832">
        <f>'Cap Outlay Deprec 26'!K16</f>
        <v>2170696</v>
      </c>
      <c r="C2055" s="2" t="s">
        <v>569</v>
      </c>
      <c r="D2055" s="2" t="str">
        <f t="shared" si="31"/>
        <v>Error?</v>
      </c>
    </row>
    <row r="2056" spans="1:4" x14ac:dyDescent="0.2">
      <c r="A2056" s="5">
        <v>1995</v>
      </c>
      <c r="B2056" s="1832">
        <f>'Cap Outlay Deprec 26'!L5</f>
        <v>7500</v>
      </c>
      <c r="C2056" s="2" t="s">
        <v>569</v>
      </c>
      <c r="D2056" s="2" t="str">
        <f t="shared" si="31"/>
        <v>Error?</v>
      </c>
    </row>
    <row r="2057" spans="1:4" x14ac:dyDescent="0.2">
      <c r="A2057" s="5">
        <v>1996</v>
      </c>
      <c r="B2057" s="1832">
        <f>'Cap Outlay Deprec 26'!L8</f>
        <v>1301403</v>
      </c>
      <c r="C2057" s="2" t="s">
        <v>569</v>
      </c>
      <c r="D2057" s="2" t="str">
        <f t="shared" si="31"/>
        <v>Error?</v>
      </c>
    </row>
    <row r="2058" spans="1:4" x14ac:dyDescent="0.2">
      <c r="A2058" s="5">
        <v>1997</v>
      </c>
      <c r="B2058" s="1832">
        <f>'Cap Outlay Deprec 26'!L10</f>
        <v>11991</v>
      </c>
      <c r="C2058" s="2" t="s">
        <v>569</v>
      </c>
      <c r="D2058" s="2" t="str">
        <f t="shared" si="31"/>
        <v>Error?</v>
      </c>
    </row>
    <row r="2059" spans="1:4" x14ac:dyDescent="0.2">
      <c r="A2059" s="5">
        <v>1998</v>
      </c>
      <c r="B2059" s="1832">
        <f>'Cap Outlay Deprec 26'!L12</f>
        <v>196778</v>
      </c>
      <c r="C2059" s="2" t="s">
        <v>569</v>
      </c>
      <c r="D2059" s="2" t="str">
        <f t="shared" si="31"/>
        <v>Error?</v>
      </c>
    </row>
    <row r="2060" spans="1:4" x14ac:dyDescent="0.2">
      <c r="A2060" s="5">
        <v>1999</v>
      </c>
      <c r="B2060" s="1832">
        <f>'Cap Outlay Deprec 26'!L13</f>
        <v>246932</v>
      </c>
      <c r="C2060" s="2" t="s">
        <v>569</v>
      </c>
      <c r="D2060" s="2" t="str">
        <f t="shared" si="31"/>
        <v>Error?</v>
      </c>
    </row>
    <row r="2061" spans="1:4" x14ac:dyDescent="0.2">
      <c r="A2061" s="5">
        <v>2000</v>
      </c>
      <c r="B2061" s="1832">
        <f>'Cap Outlay Deprec 26'!L16</f>
        <v>1764604</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235361</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50000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21387</v>
      </c>
      <c r="D2435" s="2" t="str">
        <f t="shared" si="37"/>
        <v>Error?</v>
      </c>
    </row>
    <row r="2436" spans="1:4" x14ac:dyDescent="0.2">
      <c r="A2436" s="10">
        <v>2375</v>
      </c>
      <c r="B2436" s="1832"/>
      <c r="D2436" s="2" t="str">
        <f t="shared" si="37"/>
        <v>OK</v>
      </c>
    </row>
    <row r="2437" spans="1:4" x14ac:dyDescent="0.2">
      <c r="A2437" s="5">
        <v>2376</v>
      </c>
      <c r="B2437" s="1832">
        <f>'Assets-Liab 5-6'!D38</f>
        <v>50000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1622674</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581563</v>
      </c>
      <c r="C2553" s="2" t="s">
        <v>569</v>
      </c>
      <c r="D2553" s="2" t="str">
        <f t="shared" si="38"/>
        <v>Error?</v>
      </c>
    </row>
    <row r="2554" spans="1:4" x14ac:dyDescent="0.2">
      <c r="A2554" s="5">
        <v>2493</v>
      </c>
      <c r="B2554" s="1832">
        <f>'Acct Summary 7-8'!C7</f>
        <v>406581</v>
      </c>
      <c r="C2554" s="2" t="s">
        <v>569</v>
      </c>
      <c r="D2554" s="2" t="str">
        <f t="shared" si="38"/>
        <v>Error?</v>
      </c>
    </row>
    <row r="2555" spans="1:4" x14ac:dyDescent="0.2">
      <c r="A2555" s="5">
        <v>2494</v>
      </c>
      <c r="B2555" s="1832">
        <f>'Acct Summary 7-8'!C8</f>
        <v>2635827</v>
      </c>
      <c r="C2555" s="2" t="s">
        <v>569</v>
      </c>
      <c r="D2555" s="2" t="str">
        <f t="shared" si="38"/>
        <v>Error?</v>
      </c>
    </row>
    <row r="2556" spans="1:4" x14ac:dyDescent="0.2">
      <c r="A2556" s="5">
        <v>2495</v>
      </c>
      <c r="B2556" s="1832">
        <f>'Acct Summary 7-8'!C12</f>
        <v>1757452</v>
      </c>
      <c r="C2556" s="2" t="s">
        <v>569</v>
      </c>
      <c r="D2556" s="2" t="str">
        <f t="shared" si="38"/>
        <v>Error?</v>
      </c>
    </row>
    <row r="2557" spans="1:4" x14ac:dyDescent="0.2">
      <c r="A2557" s="5">
        <v>2496</v>
      </c>
      <c r="B2557" s="1832">
        <f>'Acct Summary 7-8'!C13</f>
        <v>675705</v>
      </c>
      <c r="C2557" s="2" t="s">
        <v>569</v>
      </c>
      <c r="D2557" s="2" t="str">
        <f t="shared" si="38"/>
        <v>Error?</v>
      </c>
    </row>
    <row r="2558" spans="1:4" x14ac:dyDescent="0.2">
      <c r="A2558" s="5">
        <v>2497</v>
      </c>
      <c r="B2558" s="1832">
        <f>'Acct Summary 7-8'!C14</f>
        <v>1066</v>
      </c>
      <c r="C2558" s="2" t="s">
        <v>569</v>
      </c>
      <c r="D2558" s="2" t="str">
        <f t="shared" si="38"/>
        <v>Error?</v>
      </c>
    </row>
    <row r="2559" spans="1:4" x14ac:dyDescent="0.2">
      <c r="A2559" s="5">
        <v>2498</v>
      </c>
      <c r="B2559" s="1832">
        <f>'Acct Summary 7-8'!C15</f>
        <v>296561</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2730784</v>
      </c>
      <c r="C2561" s="2" t="s">
        <v>569</v>
      </c>
      <c r="D2561" s="2" t="str">
        <f t="shared" si="39"/>
        <v>Error?</v>
      </c>
    </row>
    <row r="2562" spans="1:4" x14ac:dyDescent="0.2">
      <c r="A2562" s="5">
        <v>2501</v>
      </c>
      <c r="B2562" s="1832">
        <f>'Acct Summary 7-8'!C20</f>
        <v>-94957</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354460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404460</v>
      </c>
      <c r="C2568" s="2" t="s">
        <v>569</v>
      </c>
      <c r="D2568" s="2" t="str">
        <f t="shared" si="39"/>
        <v>Error?</v>
      </c>
    </row>
    <row r="2569" spans="1:4" x14ac:dyDescent="0.2">
      <c r="A2569" s="5">
        <v>2508</v>
      </c>
      <c r="B2569" s="1832">
        <f>'Acct Summary 7-8'!D13</f>
        <v>425886</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425886</v>
      </c>
      <c r="C2573" s="2" t="s">
        <v>569</v>
      </c>
      <c r="D2573" s="2" t="str">
        <f t="shared" si="39"/>
        <v>Error?</v>
      </c>
    </row>
    <row r="2574" spans="1:4" x14ac:dyDescent="0.2">
      <c r="A2574" s="5">
        <v>2513</v>
      </c>
      <c r="B2574" s="1832">
        <f>'Acct Summary 7-8'!D20</f>
        <v>-21426</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121233</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77209</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198442</v>
      </c>
      <c r="C2595" s="2" t="s">
        <v>569</v>
      </c>
      <c r="D2595" s="2" t="str">
        <f t="shared" si="39"/>
        <v>Error?</v>
      </c>
    </row>
    <row r="2596" spans="1:4" x14ac:dyDescent="0.2">
      <c r="A2596" s="5">
        <v>2535</v>
      </c>
      <c r="B2596" s="1832">
        <f>'Acct Summary 7-8'!F13</f>
        <v>243064</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243064</v>
      </c>
      <c r="C2600" s="2" t="s">
        <v>569</v>
      </c>
      <c r="D2600" s="2" t="str">
        <f t="shared" si="39"/>
        <v>Error?</v>
      </c>
    </row>
    <row r="2601" spans="1:4" x14ac:dyDescent="0.2">
      <c r="A2601" s="5">
        <v>2540</v>
      </c>
      <c r="B2601" s="1832">
        <f>'Acct Summary 7-8'!F20</f>
        <v>-44622</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81013</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81013</v>
      </c>
      <c r="C2606" s="2" t="s">
        <v>569</v>
      </c>
      <c r="D2606" s="2" t="str">
        <f t="shared" si="39"/>
        <v>Error?</v>
      </c>
    </row>
    <row r="2607" spans="1:4" x14ac:dyDescent="0.2">
      <c r="A2607" s="5">
        <v>2546</v>
      </c>
      <c r="B2607" s="1832">
        <f>'Acct Summary 7-8'!G12</f>
        <v>35237</v>
      </c>
      <c r="C2607" s="2" t="s">
        <v>569</v>
      </c>
      <c r="D2607" s="2" t="str">
        <f t="shared" si="39"/>
        <v>Error?</v>
      </c>
    </row>
    <row r="2608" spans="1:4" x14ac:dyDescent="0.2">
      <c r="A2608" s="5">
        <v>2547</v>
      </c>
      <c r="B2608" s="1832">
        <f>'Acct Summary 7-8'!G13</f>
        <v>82116</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117353</v>
      </c>
      <c r="C2612" s="2" t="s">
        <v>569</v>
      </c>
      <c r="D2612" s="2" t="str">
        <f t="shared" si="39"/>
        <v>Error?</v>
      </c>
    </row>
    <row r="2613" spans="1:4" x14ac:dyDescent="0.2">
      <c r="A2613" s="5">
        <v>2552</v>
      </c>
      <c r="B2613" s="1832">
        <f>'Acct Summary 7-8'!G20</f>
        <v>-36340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235361</v>
      </c>
      <c r="C2789" s="2" t="s">
        <v>569</v>
      </c>
      <c r="D2789" s="2" t="str">
        <f t="shared" si="42"/>
        <v>Error?</v>
      </c>
    </row>
    <row r="2790" spans="1:4" x14ac:dyDescent="0.2">
      <c r="A2790" s="5">
        <v>2729</v>
      </c>
      <c r="B2790" s="1832">
        <f>'Expenditures 15-22'!E102</f>
        <v>296561</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36827</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144907</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61001</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144907</v>
      </c>
      <c r="D2912" s="2" t="str">
        <f t="shared" si="44"/>
        <v>Error?</v>
      </c>
    </row>
    <row r="2913" spans="1:4" x14ac:dyDescent="0.2">
      <c r="A2913" s="5">
        <v>2852</v>
      </c>
      <c r="B2913" s="1832">
        <f>'Assets-Liab 5-6'!I41</f>
        <v>144907</v>
      </c>
      <c r="C2913" s="2" t="s">
        <v>569</v>
      </c>
      <c r="D2913" s="2" t="str">
        <f t="shared" si="44"/>
        <v>Error?</v>
      </c>
    </row>
    <row r="2914" spans="1:4" x14ac:dyDescent="0.2">
      <c r="A2914" s="5">
        <v>2853</v>
      </c>
      <c r="B2914" s="1832">
        <f>'Assets-Liab 5-6'!L33</f>
        <v>61001</v>
      </c>
      <c r="D2914" s="2" t="str">
        <f t="shared" si="44"/>
        <v>Error?</v>
      </c>
    </row>
    <row r="2915" spans="1:4" x14ac:dyDescent="0.2">
      <c r="A2915" s="10">
        <v>2854</v>
      </c>
      <c r="B2915" s="1832"/>
      <c r="D2915" s="2" t="str">
        <f t="shared" si="44"/>
        <v>OK</v>
      </c>
    </row>
    <row r="2916" spans="1:4" x14ac:dyDescent="0.2">
      <c r="A2916" s="5">
        <v>2855</v>
      </c>
      <c r="B2916" s="1832">
        <f>'Assets-Liab 5-6'!L34</f>
        <v>61001</v>
      </c>
      <c r="C2916" s="2" t="s">
        <v>569</v>
      </c>
      <c r="D2916" s="2" t="str">
        <f t="shared" si="44"/>
        <v>Error?</v>
      </c>
    </row>
    <row r="2917" spans="1:4" x14ac:dyDescent="0.2">
      <c r="A2917" s="5">
        <v>2856</v>
      </c>
      <c r="B2917" s="1832">
        <f>'Assets-Liab 5-6'!L41</f>
        <v>61001</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201067</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5614</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28680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201067</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5614</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28680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15258</v>
      </c>
      <c r="C3225" s="2" t="s">
        <v>569</v>
      </c>
      <c r="D3225" s="2" t="str">
        <f t="shared" si="49"/>
        <v>Error?</v>
      </c>
    </row>
    <row r="3226" spans="1:4" x14ac:dyDescent="0.2">
      <c r="A3226" s="5">
        <v>3165</v>
      </c>
      <c r="B3226" s="1832">
        <f>'Acct Summary 7-8'!I8</f>
        <v>15258</v>
      </c>
      <c r="C3226" s="2" t="s">
        <v>569</v>
      </c>
      <c r="D3226" s="2" t="str">
        <f t="shared" si="49"/>
        <v>Error?</v>
      </c>
    </row>
    <row r="3227" spans="1:4" x14ac:dyDescent="0.2">
      <c r="A3227" s="5">
        <v>3166</v>
      </c>
      <c r="B3227" s="1832">
        <f>'Acct Summary 7-8'!I20</f>
        <v>15258</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-94957</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300000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300000</v>
      </c>
      <c r="C3238" s="2" t="s">
        <v>569</v>
      </c>
      <c r="D3238" s="2" t="str">
        <f t="shared" si="49"/>
        <v>Error?</v>
      </c>
    </row>
    <row r="3239" spans="1:4" x14ac:dyDescent="0.2">
      <c r="A3239" s="5">
        <v>3178</v>
      </c>
      <c r="B3239" s="1832">
        <f>'Acct Summary 7-8'!D78</f>
        <v>278574</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300000</v>
      </c>
      <c r="C3254" s="2" t="s">
        <v>569</v>
      </c>
      <c r="D3254" s="2" t="str">
        <f t="shared" si="49"/>
        <v>Error?</v>
      </c>
    </row>
    <row r="3255" spans="1:4" x14ac:dyDescent="0.2">
      <c r="A3255" s="5">
        <v>3194</v>
      </c>
      <c r="B3255" s="1832">
        <f>'Acct Summary 7-8'!F77</f>
        <v>-300000</v>
      </c>
      <c r="C3255" s="2" t="s">
        <v>569</v>
      </c>
      <c r="D3255" s="2" t="str">
        <f t="shared" si="49"/>
        <v>Error?</v>
      </c>
    </row>
    <row r="3256" spans="1:4" x14ac:dyDescent="0.2">
      <c r="A3256" s="5">
        <v>3195</v>
      </c>
      <c r="B3256" s="1832">
        <f>'Acct Summary 7-8'!F78</f>
        <v>-344622</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50000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50000</v>
      </c>
      <c r="C3261" s="2" t="s">
        <v>569</v>
      </c>
      <c r="D3261" s="2" t="str">
        <f t="shared" si="49"/>
        <v>Error?</v>
      </c>
    </row>
    <row r="3262" spans="1:4" x14ac:dyDescent="0.2">
      <c r="A3262" s="5">
        <v>3201</v>
      </c>
      <c r="B3262" s="1832">
        <f>'Acct Summary 7-8'!G78</f>
        <v>13660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50000</v>
      </c>
      <c r="C3318" s="2" t="s">
        <v>569</v>
      </c>
      <c r="D3318" s="2" t="str">
        <f t="shared" si="50"/>
        <v>Error?</v>
      </c>
    </row>
    <row r="3319" spans="1:4" x14ac:dyDescent="0.2">
      <c r="A3319" s="5">
        <v>3258</v>
      </c>
      <c r="B3319" s="1832">
        <f>'Acct Summary 7-8'!I77</f>
        <v>-50000</v>
      </c>
      <c r="C3319" s="2" t="s">
        <v>569</v>
      </c>
      <c r="D3319" s="2" t="str">
        <f t="shared" si="50"/>
        <v>Error?</v>
      </c>
    </row>
    <row r="3320" spans="1:4" x14ac:dyDescent="0.2">
      <c r="A3320" s="5">
        <v>3259</v>
      </c>
      <c r="B3320" s="1832">
        <f>'Acct Summary 7-8'!I78</f>
        <v>-34742</v>
      </c>
      <c r="C3320" s="2" t="s">
        <v>569</v>
      </c>
      <c r="D3320" s="2" t="str">
        <f t="shared" si="50"/>
        <v>Error?</v>
      </c>
    </row>
    <row r="3321" spans="1:4" x14ac:dyDescent="0.2">
      <c r="A3321" s="5">
        <v>3260</v>
      </c>
      <c r="B3321" s="1832">
        <f>'Acct Summary 7-8'!I79</f>
        <v>179649</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144907</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52243</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2424</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54671</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26421</v>
      </c>
      <c r="D3387" s="2" t="str">
        <f t="shared" si="51"/>
        <v>Error?</v>
      </c>
    </row>
    <row r="3388" spans="1:4" x14ac:dyDescent="0.2">
      <c r="A3388" s="5">
        <v>3327</v>
      </c>
      <c r="B3388" s="1832">
        <f>'Expenditures 15-22'!D217</f>
        <v>6870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26421</v>
      </c>
      <c r="C3390" s="2" t="s">
        <v>569</v>
      </c>
      <c r="D3390" s="2" t="str">
        <f t="shared" si="51"/>
        <v>Error?</v>
      </c>
    </row>
    <row r="3391" spans="1:4" x14ac:dyDescent="0.2">
      <c r="A3391" s="5">
        <v>3330</v>
      </c>
      <c r="B3391" s="1832">
        <f>'Expenditures 15-22'!K217</f>
        <v>6870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25009</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1296684</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506508</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233587</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24474</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108080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61001</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32157</v>
      </c>
      <c r="C3446" s="2" t="s">
        <v>569</v>
      </c>
      <c r="D3446" s="2" t="str">
        <f t="shared" si="52"/>
        <v>Error?</v>
      </c>
    </row>
    <row r="3447" spans="1:4" x14ac:dyDescent="0.2">
      <c r="A3447" s="5">
        <v>3386</v>
      </c>
      <c r="B3447" s="1832">
        <f>'Tax Sched 23'!D16</f>
        <v>32157</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52737</v>
      </c>
      <c r="C3449" s="2" t="s">
        <v>569</v>
      </c>
      <c r="D3449" s="2" t="str">
        <f t="shared" si="52"/>
        <v>Error?</v>
      </c>
    </row>
    <row r="3450" spans="1:4" x14ac:dyDescent="0.2">
      <c r="A3450" s="5">
        <v>3389</v>
      </c>
      <c r="B3450" s="1832">
        <f>'Tax Sched 23'!E16</f>
        <v>52737</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28973</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559</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29532</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29532</v>
      </c>
      <c r="D3567" s="2" t="str">
        <f t="shared" si="54"/>
        <v>Error?</v>
      </c>
    </row>
    <row r="3568" spans="1:4" x14ac:dyDescent="0.2">
      <c r="A3568" s="5">
        <v>3507</v>
      </c>
      <c r="B3568" s="1832">
        <f>'Assets-Liab 5-6'!K41</f>
        <v>29532</v>
      </c>
      <c r="C3568" s="2" t="s">
        <v>569</v>
      </c>
      <c r="D3568" s="2" t="str">
        <f t="shared" si="54"/>
        <v>Error?</v>
      </c>
    </row>
    <row r="3569" spans="1:4" x14ac:dyDescent="0.2">
      <c r="A3569" s="5">
        <v>3508</v>
      </c>
      <c r="B3569" s="1832">
        <f>'Acct Summary 7-8'!K4</f>
        <v>29695</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29695</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29695</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29695</v>
      </c>
      <c r="C3588" s="2" t="s">
        <v>569</v>
      </c>
      <c r="D3588" s="2" t="str">
        <f t="shared" si="55"/>
        <v>Error?</v>
      </c>
    </row>
    <row r="3589" spans="1:4" x14ac:dyDescent="0.2">
      <c r="A3589" s="5">
        <v>3528</v>
      </c>
      <c r="B3589" s="1832">
        <f>'Acct Summary 7-8'!K79</f>
        <v>-163</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29532</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29695</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8175</v>
      </c>
      <c r="C3725" s="2" t="s">
        <v>569</v>
      </c>
      <c r="D3725" s="2" t="str">
        <f t="shared" si="57"/>
        <v>Error?</v>
      </c>
    </row>
    <row r="3726" spans="1:4" x14ac:dyDescent="0.2">
      <c r="A3726" s="5">
        <v>3665</v>
      </c>
      <c r="B3726" s="1832">
        <f>'Tax Sched 23'!D13</f>
        <v>8175</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7915</v>
      </c>
      <c r="C3728" s="2" t="s">
        <v>569</v>
      </c>
      <c r="D3728" s="2" t="str">
        <f t="shared" si="57"/>
        <v>Error?</v>
      </c>
    </row>
    <row r="3729" spans="1:4" x14ac:dyDescent="0.2">
      <c r="A3729" s="5">
        <v>3668</v>
      </c>
      <c r="B3729" s="1832">
        <f>'Tax Sched 23'!E13</f>
        <v>7915</v>
      </c>
      <c r="D3729" s="2" t="str">
        <f t="shared" si="57"/>
        <v>Error?</v>
      </c>
    </row>
    <row r="3730" spans="1:4" x14ac:dyDescent="0.2">
      <c r="A3730" s="5">
        <v>3669</v>
      </c>
      <c r="B3730" s="1832">
        <f>'ICR Computation 30'!E10</f>
        <v>45020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1163995</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3799822</v>
      </c>
      <c r="C4122" s="2" t="s">
        <v>569</v>
      </c>
      <c r="D4122" s="2" t="str">
        <f t="shared" si="63"/>
        <v>Error?</v>
      </c>
    </row>
    <row r="4123" spans="1:4" x14ac:dyDescent="0.2">
      <c r="A4123" s="5">
        <v>4062</v>
      </c>
      <c r="B4123" s="1832">
        <f>'Acct Summary 7-8'!D10</f>
        <v>404460</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198442</v>
      </c>
      <c r="C4125" s="2" t="s">
        <v>569</v>
      </c>
      <c r="D4125" s="2" t="str">
        <f t="shared" si="63"/>
        <v>Error?</v>
      </c>
    </row>
    <row r="4126" spans="1:4" x14ac:dyDescent="0.2">
      <c r="A4126" s="5">
        <v>4065</v>
      </c>
      <c r="B4126" s="1832">
        <f>'Acct Summary 7-8'!G10</f>
        <v>81013</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15258</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29695</v>
      </c>
      <c r="C4130" s="2" t="s">
        <v>569</v>
      </c>
      <c r="D4130" s="2" t="str">
        <f t="shared" si="63"/>
        <v>Error?</v>
      </c>
    </row>
    <row r="4131" spans="1:4" x14ac:dyDescent="0.2">
      <c r="A4131" s="5">
        <v>4070</v>
      </c>
      <c r="B4131" s="1832">
        <f>'Acct Summary 7-8'!C18</f>
        <v>1163995</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3894779</v>
      </c>
      <c r="C4136" s="2" t="s">
        <v>569</v>
      </c>
      <c r="D4136" s="2" t="str">
        <f t="shared" si="63"/>
        <v>Error?</v>
      </c>
    </row>
    <row r="4137" spans="1:4" x14ac:dyDescent="0.2">
      <c r="A4137" s="5">
        <v>4076</v>
      </c>
      <c r="B4137" s="1832">
        <f>'Acct Summary 7-8'!D19</f>
        <v>425886</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243064</v>
      </c>
      <c r="C4139" s="2" t="s">
        <v>569</v>
      </c>
      <c r="D4139" s="2" t="str">
        <f t="shared" si="63"/>
        <v>Error?</v>
      </c>
    </row>
    <row r="4140" spans="1:4" x14ac:dyDescent="0.2">
      <c r="A4140" s="5">
        <v>4079</v>
      </c>
      <c r="B4140" s="1832">
        <f>'Acct Summary 7-8'!G19</f>
        <v>117353</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3323.7000000000003</v>
      </c>
      <c r="C4265" s="2" t="s">
        <v>569</v>
      </c>
      <c r="D4265" s="2" t="str">
        <f t="shared" si="65"/>
        <v>Error?</v>
      </c>
      <c r="E4265" s="125"/>
    </row>
    <row r="4266" spans="1:5" x14ac:dyDescent="0.2">
      <c r="A4266" s="12">
        <v>4205</v>
      </c>
      <c r="B4266" s="1832">
        <f>('FP Info 3'!F10)*100000</f>
        <v>515.4</v>
      </c>
      <c r="C4266" s="2" t="s">
        <v>569</v>
      </c>
      <c r="D4266" s="2" t="str">
        <f t="shared" si="65"/>
        <v>Error?</v>
      </c>
      <c r="E4266" s="125"/>
    </row>
    <row r="4267" spans="1:5" x14ac:dyDescent="0.2">
      <c r="A4267" s="12">
        <v>4206</v>
      </c>
      <c r="B4267" s="1832">
        <f>('FP Info 3'!H10)*100000</f>
        <v>248.2</v>
      </c>
      <c r="C4267" s="2" t="s">
        <v>569</v>
      </c>
      <c r="D4267" s="2" t="str">
        <f t="shared" si="65"/>
        <v>Error?</v>
      </c>
      <c r="E4267" s="125"/>
    </row>
    <row r="4268" spans="1:5" x14ac:dyDescent="0.2">
      <c r="A4268" s="12">
        <v>4207</v>
      </c>
      <c r="B4268" s="1832">
        <f>('FP Info 3'!J10)*100000</f>
        <v>4086.9999999999995</v>
      </c>
      <c r="C4268" s="2" t="s">
        <v>569</v>
      </c>
      <c r="D4268" s="2" t="str">
        <f t="shared" si="65"/>
        <v>Error?</v>
      </c>
    </row>
    <row r="4269" spans="1:5" x14ac:dyDescent="0.2">
      <c r="A4269" s="12">
        <v>4208</v>
      </c>
      <c r="B4269" s="1832">
        <f>'FP Info 3'!J16</f>
        <v>2268322</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178539</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3175</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14910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25.700000000000003</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1527</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8384</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35390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37676</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46018067</v>
      </c>
      <c r="D4995" s="2" t="str">
        <f t="shared" si="77"/>
        <v>Error?</v>
      </c>
    </row>
    <row r="4996" spans="1:4" x14ac:dyDescent="0.2">
      <c r="A4996" s="12">
        <v>4935</v>
      </c>
      <c r="B4996" s="1832">
        <f>'FP Info 3'!H31</f>
        <v>6350493.2460000003</v>
      </c>
      <c r="D4996" s="2" t="str">
        <f t="shared" si="77"/>
        <v>Error?</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300000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300000</v>
      </c>
      <c r="D5024" s="2" t="str">
        <f t="shared" si="77"/>
        <v>Error?</v>
      </c>
    </row>
    <row r="5025" spans="1:4" x14ac:dyDescent="0.2">
      <c r="A5025" s="10">
        <v>4964</v>
      </c>
      <c r="B5025" s="1832"/>
      <c r="C5025" s="2" t="s">
        <v>569</v>
      </c>
      <c r="D5025" s="2" t="str">
        <f t="shared" si="77"/>
        <v>OK</v>
      </c>
    </row>
    <row r="5026" spans="1:4" x14ac:dyDescent="0.2">
      <c r="A5026" s="5">
        <v>4965</v>
      </c>
      <c r="B5026" s="1832">
        <f>'Revenues 9-14'!C6</f>
        <v>8175</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1487884</v>
      </c>
      <c r="D5061" s="2" t="str">
        <f t="shared" si="78"/>
        <v>Error?</v>
      </c>
    </row>
    <row r="5062" spans="1:4" x14ac:dyDescent="0.2">
      <c r="A5062" s="10">
        <v>5001</v>
      </c>
      <c r="B5062" s="1832"/>
      <c r="D5062" s="2" t="str">
        <f t="shared" si="78"/>
        <v>OK</v>
      </c>
    </row>
    <row r="5063" spans="1:4" x14ac:dyDescent="0.2">
      <c r="A5063" s="5">
        <v>5002</v>
      </c>
      <c r="B5063" s="1832">
        <f>'Revenues 9-14'!C7</f>
        <v>49539</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1545598</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13100</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13100</v>
      </c>
      <c r="C5090" s="2" t="s">
        <v>569</v>
      </c>
      <c r="D5090" s="2" t="str">
        <f t="shared" si="78"/>
        <v>Error?</v>
      </c>
    </row>
    <row r="5091" spans="1:4" x14ac:dyDescent="0.2">
      <c r="A5091" s="5">
        <v>5030</v>
      </c>
      <c r="B5091" s="1832">
        <f>'Revenues 9-14'!C70</f>
        <v>938</v>
      </c>
      <c r="D5091" s="2" t="str">
        <f t="shared" si="78"/>
        <v>Error?</v>
      </c>
    </row>
    <row r="5092" spans="1:4" x14ac:dyDescent="0.2">
      <c r="A5092" s="5">
        <v>5031</v>
      </c>
      <c r="B5092" s="1832">
        <f>'Revenues 9-14'!C71</f>
        <v>1415</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3199</v>
      </c>
      <c r="D5094" s="2" t="str">
        <f t="shared" si="78"/>
        <v>Error?</v>
      </c>
    </row>
    <row r="5095" spans="1:4" x14ac:dyDescent="0.2">
      <c r="A5095" s="5">
        <v>5034</v>
      </c>
      <c r="B5095" s="1832">
        <f>'Revenues 9-14'!C74</f>
        <v>363</v>
      </c>
      <c r="D5095" s="2" t="str">
        <f t="shared" si="78"/>
        <v>Error?</v>
      </c>
    </row>
    <row r="5096" spans="1:4" x14ac:dyDescent="0.2">
      <c r="A5096" s="5">
        <v>5035</v>
      </c>
      <c r="B5096" s="1832">
        <f>'Revenues 9-14'!C75</f>
        <v>28182</v>
      </c>
      <c r="C5096" s="2" t="s">
        <v>569</v>
      </c>
      <c r="D5096" s="2" t="str">
        <f t="shared" si="78"/>
        <v>Error?</v>
      </c>
    </row>
    <row r="5097" spans="1:4" x14ac:dyDescent="0.2">
      <c r="A5097" s="5">
        <v>5036</v>
      </c>
      <c r="B5097" s="1832">
        <f>'Revenues 9-14'!C77</f>
        <v>8990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8990</v>
      </c>
      <c r="C5102" s="2" t="s">
        <v>569</v>
      </c>
      <c r="D5102" s="2" t="str">
        <f t="shared" si="78"/>
        <v>Error?</v>
      </c>
    </row>
    <row r="5103" spans="1:4" x14ac:dyDescent="0.2">
      <c r="A5103" s="5">
        <v>5042</v>
      </c>
      <c r="B5103" s="1832">
        <f>'Revenues 9-14'!C84</f>
        <v>15161</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15161</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8562</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553</v>
      </c>
      <c r="D5119" s="2" t="str">
        <f t="shared" ref="D5119:D5182" si="79">IF(ISBLANK(B5119),"OK",IF(A5119-B5119=0,"OK","Error?"))</f>
        <v>Error?</v>
      </c>
    </row>
    <row r="5120" spans="1:4" x14ac:dyDescent="0.2">
      <c r="A5120" s="5">
        <v>5059</v>
      </c>
      <c r="B5120" s="1832">
        <f>'Revenues 9-14'!C108</f>
        <v>11643</v>
      </c>
      <c r="C5120" s="2" t="s">
        <v>569</v>
      </c>
      <c r="D5120" s="2" t="str">
        <f t="shared" si="79"/>
        <v>Error?</v>
      </c>
    </row>
    <row r="5121" spans="1:4" x14ac:dyDescent="0.2">
      <c r="A5121" s="5">
        <v>5060</v>
      </c>
      <c r="B5121" s="1832">
        <f>'Revenues 9-14'!C109</f>
        <v>1622674</v>
      </c>
      <c r="C5121" s="2" t="s">
        <v>569</v>
      </c>
      <c r="D5121" s="2" t="str">
        <f t="shared" si="79"/>
        <v>Error?</v>
      </c>
    </row>
    <row r="5122" spans="1:4" x14ac:dyDescent="0.2">
      <c r="A5122" s="5">
        <v>5061</v>
      </c>
      <c r="B5122" s="1832">
        <f>'Revenues 9-14'!C111</f>
        <v>3900</v>
      </c>
      <c r="D5122" s="2" t="str">
        <f t="shared" si="79"/>
        <v>Error?</v>
      </c>
    </row>
    <row r="5123" spans="1:4" x14ac:dyDescent="0.2">
      <c r="A5123" s="5">
        <v>5062</v>
      </c>
      <c r="B5123" s="1832">
        <f>'Revenues 9-14'!C112</f>
        <v>21109</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25009</v>
      </c>
      <c r="C5125" s="2" t="s">
        <v>569</v>
      </c>
      <c r="D5125" s="2" t="str">
        <f t="shared" si="79"/>
        <v>Error?</v>
      </c>
    </row>
    <row r="5126" spans="1:4" x14ac:dyDescent="0.2">
      <c r="A5126" s="5">
        <v>5065</v>
      </c>
      <c r="B5126" s="1832">
        <f>'Revenues 9-14'!C117</f>
        <v>567378</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567378</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3235</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397</v>
      </c>
      <c r="D5167" s="2" t="str">
        <f t="shared" si="79"/>
        <v>Error?</v>
      </c>
    </row>
    <row r="5168" spans="1:4" x14ac:dyDescent="0.2">
      <c r="A5168" s="5">
        <v>5107</v>
      </c>
      <c r="B5168" s="1832">
        <f>'Revenues 9-14'!C148</f>
        <v>2169</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14185</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581563</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35390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28337</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2830</v>
      </c>
      <c r="D5241" s="2" t="str">
        <f t="shared" si="80"/>
        <v>Error?</v>
      </c>
    </row>
    <row r="5242" spans="1:4" x14ac:dyDescent="0.2">
      <c r="A5242" s="5">
        <v>5181</v>
      </c>
      <c r="B5242" s="1832">
        <f>'Revenues 9-14'!C194</f>
        <v>44061</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75228</v>
      </c>
      <c r="C5246" s="2" t="s">
        <v>569</v>
      </c>
      <c r="D5246" s="2" t="str">
        <f t="shared" si="80"/>
        <v>Error?</v>
      </c>
    </row>
    <row r="5247" spans="1:4" x14ac:dyDescent="0.2">
      <c r="A5247" s="5">
        <v>5186</v>
      </c>
      <c r="B5247" s="1832">
        <f>'Revenues 9-14'!C200</f>
        <v>61663</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240202</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371191</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406581</v>
      </c>
      <c r="C5326" s="2" t="s">
        <v>569</v>
      </c>
      <c r="D5326" s="2" t="str">
        <f t="shared" si="82"/>
        <v>Error?</v>
      </c>
    </row>
    <row r="5327" spans="1:5" x14ac:dyDescent="0.2">
      <c r="A5327" s="5">
        <v>5266</v>
      </c>
      <c r="B5327" s="1832">
        <f>'Revenues 9-14'!C268</f>
        <v>2635827</v>
      </c>
      <c r="C5327" s="2" t="s">
        <v>569</v>
      </c>
      <c r="D5327" s="2" t="str">
        <f t="shared" si="82"/>
        <v>Error?</v>
      </c>
    </row>
    <row r="5328" spans="1:5" x14ac:dyDescent="0.2">
      <c r="A5328" s="5">
        <v>5267</v>
      </c>
      <c r="B5328" s="1832">
        <f>'Revenues 9-14'!D5</f>
        <v>245136</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245136</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74651</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74651</v>
      </c>
      <c r="C5339" s="2" t="s">
        <v>569</v>
      </c>
      <c r="D5339" s="2" t="str">
        <f t="shared" si="82"/>
        <v>Error?</v>
      </c>
    </row>
    <row r="5340" spans="1:4" x14ac:dyDescent="0.2">
      <c r="A5340" s="5">
        <v>5279</v>
      </c>
      <c r="B5340" s="1832">
        <f>'Revenues 9-14'!D65</f>
        <v>1962</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1962</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32711</v>
      </c>
      <c r="C5355" s="2" t="s">
        <v>569</v>
      </c>
      <c r="D5355" s="2" t="str">
        <f t="shared" si="82"/>
        <v>Error?</v>
      </c>
    </row>
    <row r="5356" spans="1:4" x14ac:dyDescent="0.2">
      <c r="A5356" s="5">
        <v>5295</v>
      </c>
      <c r="B5356" s="1832">
        <f>'Revenues 9-14'!D109</f>
        <v>354460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404460</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118033</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118033</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3200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3200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121233</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53179</v>
      </c>
      <c r="D5615" s="2" t="str">
        <f t="shared" si="86"/>
        <v>Error?</v>
      </c>
    </row>
    <row r="5616" spans="1:4" x14ac:dyDescent="0.2">
      <c r="A5616" s="10">
        <v>5555</v>
      </c>
      <c r="B5616" s="1832"/>
      <c r="D5616" s="2" t="str">
        <f t="shared" si="86"/>
        <v>OK</v>
      </c>
    </row>
    <row r="5617" spans="1:5" x14ac:dyDescent="0.2">
      <c r="A5617" s="5">
        <v>5556</v>
      </c>
      <c r="B5617" s="1832">
        <f>'Revenues 9-14'!F153</f>
        <v>24030</v>
      </c>
      <c r="D5617" s="2" t="str">
        <f t="shared" si="86"/>
        <v>Error?</v>
      </c>
    </row>
    <row r="5618" spans="1:5" x14ac:dyDescent="0.2">
      <c r="A5618" s="5">
        <v>5557</v>
      </c>
      <c r="B5618" s="1832">
        <f>'Revenues 9-14'!F155</f>
        <v>77209</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77209</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77209</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198442</v>
      </c>
      <c r="C5720" s="2" t="s">
        <v>569</v>
      </c>
      <c r="D5720" s="2" t="str">
        <f t="shared" si="88"/>
        <v>Error?</v>
      </c>
    </row>
    <row r="5721" spans="1:4" x14ac:dyDescent="0.2">
      <c r="A5721" s="5">
        <v>5660</v>
      </c>
      <c r="B5721" s="1832">
        <f>'Revenues 9-14'!G5</f>
        <v>47203</v>
      </c>
      <c r="D5721" s="2" t="str">
        <f t="shared" si="88"/>
        <v>Error?</v>
      </c>
    </row>
    <row r="5722" spans="1:4" x14ac:dyDescent="0.2">
      <c r="A5722" s="5">
        <v>5661</v>
      </c>
      <c r="B5722" s="1832">
        <f>'Revenues 9-14'!G7</f>
        <v>0</v>
      </c>
      <c r="D5722" s="2" t="str">
        <f t="shared" si="88"/>
        <v>Error?</v>
      </c>
    </row>
    <row r="5723" spans="1:4" x14ac:dyDescent="0.2">
      <c r="A5723" s="5">
        <v>5662</v>
      </c>
      <c r="B5723" s="1832">
        <f>'Revenues 9-14'!G8</f>
        <v>32157</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79360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1651</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1651</v>
      </c>
      <c r="C5730" s="2" t="s">
        <v>569</v>
      </c>
      <c r="D5730" s="2" t="str">
        <f t="shared" si="88"/>
        <v>Error?</v>
      </c>
    </row>
    <row r="5731" spans="1:4" x14ac:dyDescent="0.2">
      <c r="A5731" s="5">
        <v>5670</v>
      </c>
      <c r="B5731" s="1832">
        <f>'Revenues 9-14'!G65</f>
        <v>2</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2</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81013</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13204</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13204</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2054</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2054</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15258</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29688</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29688</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7</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7</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29695</v>
      </c>
      <c r="C6023" s="2" t="s">
        <v>569</v>
      </c>
      <c r="D6023" s="2" t="str">
        <f t="shared" si="93"/>
        <v>Error?</v>
      </c>
    </row>
    <row r="6024" spans="1:5" x14ac:dyDescent="0.2">
      <c r="A6024" s="5">
        <v>5963</v>
      </c>
      <c r="B6024" s="1832">
        <f>'Revenues 9-14'!G109</f>
        <v>81013</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15258</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29695</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22267</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9854</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217</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28434</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563</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262</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-94957</v>
      </c>
      <c r="D6267" s="2" t="str">
        <f t="shared" si="96"/>
        <v>Error?</v>
      </c>
      <c r="E6267" s="2" t="s">
        <v>189</v>
      </c>
    </row>
    <row r="6268" spans="1:5" x14ac:dyDescent="0.2">
      <c r="A6268">
        <v>6207</v>
      </c>
      <c r="B6268" s="1832">
        <f>'Acct Summary 7-8'!D82</f>
        <v>278574</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-344622</v>
      </c>
      <c r="D6270" s="2" t="str">
        <f t="shared" si="96"/>
        <v>Error?</v>
      </c>
      <c r="E6270" s="2" t="s">
        <v>189</v>
      </c>
    </row>
    <row r="6271" spans="1:5" x14ac:dyDescent="0.2">
      <c r="A6271">
        <v>6210</v>
      </c>
      <c r="B6271" s="1832">
        <f>'Acct Summary 7-8'!G82</f>
        <v>13660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-34742</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29695</v>
      </c>
      <c r="D6275" s="2" t="str">
        <f t="shared" si="97"/>
        <v>Error?</v>
      </c>
      <c r="E6275" s="2" t="s">
        <v>189</v>
      </c>
    </row>
    <row r="6276" spans="1:5" x14ac:dyDescent="0.2">
      <c r="A6276">
        <v>6215</v>
      </c>
      <c r="B6276" s="1832">
        <f>'Acct Summary 7-8'!C83</f>
        <v>-7.0436085540711943E-2</v>
      </c>
      <c r="D6276" s="2" t="str">
        <f t="shared" si="97"/>
        <v>Error?</v>
      </c>
      <c r="E6276" s="2" t="s">
        <v>189</v>
      </c>
    </row>
    <row r="6277" spans="1:5" x14ac:dyDescent="0.2">
      <c r="A6277">
        <v>6216</v>
      </c>
      <c r="B6277" s="1832">
        <f>'Acct Summary 7-8'!D83</f>
        <v>0.52842894376429794</v>
      </c>
      <c r="D6277" s="2" t="str">
        <f t="shared" si="97"/>
        <v>Error?</v>
      </c>
      <c r="E6277" s="2" t="s">
        <v>189</v>
      </c>
    </row>
    <row r="6278" spans="1:5" x14ac:dyDescent="0.2">
      <c r="A6278">
        <v>6217</v>
      </c>
      <c r="B6278" s="1832" t="e">
        <f>'Acct Summary 7-8'!E83</f>
        <v>#DIV/0!</v>
      </c>
      <c r="D6278" s="2" t="e">
        <f t="shared" si="97"/>
        <v>#DIV/0!</v>
      </c>
      <c r="E6278" s="2" t="s">
        <v>189</v>
      </c>
    </row>
    <row r="6279" spans="1:5" x14ac:dyDescent="0.2">
      <c r="A6279">
        <v>6218</v>
      </c>
      <c r="B6279" s="1832">
        <f>'Acct Summary 7-8'!F83</f>
        <v>-1.388983156732269</v>
      </c>
      <c r="D6279" s="2" t="str">
        <f t="shared" si="97"/>
        <v>Error?</v>
      </c>
      <c r="E6279" s="2" t="s">
        <v>189</v>
      </c>
    </row>
    <row r="6280" spans="1:5" x14ac:dyDescent="0.2">
      <c r="A6280">
        <v>6219</v>
      </c>
      <c r="B6280" s="1832">
        <f>'Acct Summary 7-8'!G83</f>
        <v>0.5606402626718654</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-0.23975377310964963</v>
      </c>
      <c r="D6282" s="2" t="str">
        <f t="shared" si="97"/>
        <v>Error?</v>
      </c>
      <c r="E6282" s="2" t="s">
        <v>189</v>
      </c>
    </row>
    <row r="6283" spans="1:5" x14ac:dyDescent="0.2">
      <c r="A6283">
        <v>6222</v>
      </c>
      <c r="B6283" s="1832" t="e">
        <f>'Acct Summary 7-8'!J83</f>
        <v>#DIV/0!</v>
      </c>
      <c r="D6283" s="2" t="e">
        <f t="shared" si="97"/>
        <v>#DIV/0!</v>
      </c>
      <c r="E6283" s="2" t="s">
        <v>189</v>
      </c>
    </row>
    <row r="6284" spans="1:5" x14ac:dyDescent="0.2">
      <c r="A6284">
        <v>6223</v>
      </c>
      <c r="B6284" s="1832">
        <f>'Acct Summary 7-8'!K83</f>
        <v>1.0055194365434106</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32711</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1001</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3235</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45</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4</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49</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2</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2</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4</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4</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7</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2</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9</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15</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61200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61200</v>
      </c>
      <c r="D7010" s="2" t="str">
        <f t="shared" si="108"/>
        <v>Error?</v>
      </c>
    </row>
    <row r="7011" spans="1:4" x14ac:dyDescent="0.2">
      <c r="A7011">
        <v>6950</v>
      </c>
      <c r="B7011" s="1832">
        <f>'Expenditures 15-22'!E100</f>
        <v>61200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61200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64</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5</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5</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5</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5</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5</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5</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5</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147544</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941</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2229</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3170</v>
      </c>
      <c r="D7719" s="2" t="str">
        <f t="shared" si="126"/>
        <v>Error?</v>
      </c>
      <c r="E7719" s="2" t="s">
        <v>822</v>
      </c>
    </row>
    <row r="7720" spans="1:6" x14ac:dyDescent="0.2">
      <c r="A7720">
        <v>7659</v>
      </c>
      <c r="B7720" s="1832">
        <f>'Rest Tax Levies-Tort Im 25'!H14</f>
        <v>49539</v>
      </c>
      <c r="D7720" s="2" t="str">
        <f t="shared" si="126"/>
        <v>Error?</v>
      </c>
      <c r="E7720" s="2" t="s">
        <v>822</v>
      </c>
    </row>
    <row r="7721" spans="1:6" x14ac:dyDescent="0.2">
      <c r="A7721">
        <v>7660</v>
      </c>
      <c r="B7721" s="1832">
        <f>'Rest Tax Levies-Tort Im 25'!K14</f>
        <v>3170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50000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3170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0</v>
      </c>
      <c r="D7817" s="2" t="str">
        <f t="shared" si="128"/>
        <v>Error?</v>
      </c>
      <c r="E7817" s="4" t="s">
        <v>1966</v>
      </c>
    </row>
    <row r="7818" spans="1:5" x14ac:dyDescent="0.2">
      <c r="A7818">
        <v>7757</v>
      </c>
      <c r="B7818" s="1832">
        <f>'PCTC-OEPP 27-28'!F172</f>
        <v>35180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-505</v>
      </c>
      <c r="D7820" s="2" t="str">
        <f t="shared" si="128"/>
        <v>Error?</v>
      </c>
    </row>
    <row r="7821" spans="1:5" x14ac:dyDescent="0.2">
      <c r="A7821">
        <v>7760</v>
      </c>
      <c r="B7821" s="1832">
        <f>'ICR Computation 30'!G40</f>
        <v>-505</v>
      </c>
      <c r="D7821" s="2" t="str">
        <f t="shared" si="128"/>
        <v>Error?</v>
      </c>
    </row>
    <row r="7822" spans="1:5" x14ac:dyDescent="0.2">
      <c r="A7822" s="1">
        <v>7761</v>
      </c>
      <c r="B7822" s="1832">
        <f>'PCTC-OEPP 27-28'!F14</f>
        <v>3517087</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1066</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576531</v>
      </c>
      <c r="D7834" s="2" t="str">
        <f t="shared" si="129"/>
        <v>Error?</v>
      </c>
      <c r="E7834" s="4" t="s">
        <v>1998</v>
      </c>
    </row>
    <row r="7835" spans="1:5" x14ac:dyDescent="0.2">
      <c r="A7835">
        <v>7774</v>
      </c>
      <c r="B7835" s="1832">
        <f>'PCTC-OEPP 27-28'!F78</f>
        <v>2940556</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13550.94930875576</v>
      </c>
      <c r="D7837" s="2" t="str">
        <f t="shared" si="129"/>
        <v>Error?</v>
      </c>
      <c r="E7837" s="4" t="s">
        <v>1998</v>
      </c>
    </row>
    <row r="7838" spans="1:5" x14ac:dyDescent="0.2">
      <c r="A7838">
        <v>7777</v>
      </c>
      <c r="B7838" s="1832">
        <f>'PCTC-OEPP 27-28'!F96</f>
        <v>8990</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1527</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3235</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2169</v>
      </c>
      <c r="D7846" s="2" t="str">
        <f t="shared" si="129"/>
        <v>Error?</v>
      </c>
      <c r="E7846" s="4" t="s">
        <v>1998</v>
      </c>
    </row>
    <row r="7847" spans="1:5" x14ac:dyDescent="0.2">
      <c r="A7847">
        <v>7786</v>
      </c>
      <c r="B7847" s="1832">
        <f>'PCTC-OEPP 27-28'!F112</f>
        <v>77209</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8384</v>
      </c>
      <c r="D7855" s="2" t="str">
        <f t="shared" si="129"/>
        <v>Error?</v>
      </c>
      <c r="E7855" s="4" t="s">
        <v>1998</v>
      </c>
    </row>
    <row r="7856" spans="1:5" x14ac:dyDescent="0.2">
      <c r="A7856">
        <v>7795</v>
      </c>
      <c r="B7856" s="1832">
        <f>'PCTC-OEPP 27-28'!F124</f>
        <v>35390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75228</v>
      </c>
      <c r="D7858" s="2" t="str">
        <f t="shared" si="129"/>
        <v>Error?</v>
      </c>
      <c r="E7858" s="4" t="s">
        <v>1998</v>
      </c>
    </row>
    <row r="7859" spans="1:5" x14ac:dyDescent="0.2">
      <c r="A7859">
        <v>7798</v>
      </c>
      <c r="B7859" s="1832">
        <f>'PCTC-OEPP 27-28'!F127</f>
        <v>240202</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14910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3175</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37676</v>
      </c>
      <c r="D7876" s="2" t="str">
        <f t="shared" si="129"/>
        <v>Error?</v>
      </c>
      <c r="E7876" s="4" t="s">
        <v>1998</v>
      </c>
    </row>
    <row r="7877" spans="1:5" x14ac:dyDescent="0.2">
      <c r="A7877">
        <v>7816</v>
      </c>
      <c r="B7877" s="1832">
        <f>'PCTC-OEPP 27-28'!F175</f>
        <v>637015</v>
      </c>
      <c r="D7877" s="2" t="str">
        <f t="shared" si="129"/>
        <v>Error?</v>
      </c>
      <c r="E7877" s="4" t="s">
        <v>1998</v>
      </c>
    </row>
    <row r="7878" spans="1:5" x14ac:dyDescent="0.2">
      <c r="A7878">
        <v>7817</v>
      </c>
      <c r="B7878" s="1832">
        <f>'PCTC-OEPP 27-28'!F176</f>
        <v>2303541</v>
      </c>
      <c r="D7878" s="2" t="str">
        <f t="shared" si="129"/>
        <v>Error?</v>
      </c>
      <c r="E7878" s="4" t="s">
        <v>1998</v>
      </c>
    </row>
    <row r="7879" spans="1:5" x14ac:dyDescent="0.2">
      <c r="A7879">
        <v>7818</v>
      </c>
      <c r="B7879" s="1832">
        <f>'PCTC-OEPP 27-28'!F178</f>
        <v>2451085</v>
      </c>
      <c r="D7879" s="2" t="str">
        <f t="shared" si="129"/>
        <v>Error?</v>
      </c>
      <c r="E7879" s="4" t="s">
        <v>1998</v>
      </c>
    </row>
    <row r="7880" spans="1:5" x14ac:dyDescent="0.2">
      <c r="A7880">
        <v>7819</v>
      </c>
      <c r="B7880" s="1832">
        <f>'PCTC-OEPP 27-28'!F180</f>
        <v>11295.322580645161</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2" t="s">
        <v>1181</v>
      </c>
      <c r="B2" s="2512"/>
      <c r="C2" s="2512"/>
      <c r="D2" s="2512"/>
      <c r="E2" s="2512"/>
      <c r="F2" s="2512"/>
      <c r="G2" s="2512"/>
      <c r="H2" s="2512"/>
      <c r="I2" s="2512"/>
      <c r="J2" s="2512"/>
      <c r="K2" s="2512"/>
      <c r="L2" s="2512"/>
    </row>
    <row r="3" spans="1:29" ht="13.5" customHeight="1" x14ac:dyDescent="0.2">
      <c r="A3" s="2544" t="s">
        <v>1180</v>
      </c>
      <c r="B3" s="2544"/>
      <c r="C3" s="2544"/>
      <c r="D3" s="2544"/>
      <c r="E3" s="2544"/>
      <c r="F3" s="2544"/>
      <c r="G3" s="2544"/>
      <c r="H3" s="2544"/>
      <c r="I3" s="2544"/>
      <c r="J3" s="2544"/>
      <c r="K3" s="2544"/>
      <c r="L3" s="2544"/>
    </row>
    <row r="4" spans="1:29" ht="13.5" customHeight="1" x14ac:dyDescent="0.2">
      <c r="A4" s="2533" t="str">
        <f>"Year Ending June 30, "&amp;'AFR20'!E2</f>
        <v>Year Ending June 30, 2020</v>
      </c>
      <c r="B4" s="2534"/>
      <c r="C4" s="2534"/>
      <c r="D4" s="2534"/>
      <c r="E4" s="2534"/>
      <c r="F4" s="2534"/>
      <c r="G4" s="2534"/>
      <c r="H4" s="2534"/>
      <c r="I4" s="2534"/>
      <c r="J4" s="2534"/>
      <c r="K4" s="2534"/>
      <c r="L4" s="253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5" t="str">
        <f>COVER!A17</f>
        <v>Greenview CUSD 200</v>
      </c>
      <c r="B7" s="2536"/>
      <c r="C7" s="2536"/>
      <c r="D7" s="2537"/>
      <c r="E7" s="2538">
        <f>COVER!A13</f>
        <v>51065200026</v>
      </c>
      <c r="F7" s="2539"/>
      <c r="G7" s="2545" t="str">
        <f>COVER!T23</f>
        <v>066-005315</v>
      </c>
      <c r="H7" s="2546"/>
      <c r="I7" s="2546"/>
      <c r="J7" s="2546"/>
      <c r="K7" s="2546"/>
      <c r="L7" s="2547"/>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8"/>
      <c r="B9" s="2549"/>
      <c r="C9" s="2549"/>
      <c r="D9" s="2549"/>
      <c r="E9" s="2549"/>
      <c r="F9" s="2550"/>
      <c r="G9" s="2518" t="str">
        <f>COVER!T13</f>
        <v>Pehlman and Dold, P.C.</v>
      </c>
      <c r="H9" s="2551"/>
      <c r="I9" s="2551"/>
      <c r="J9" s="2551"/>
      <c r="K9" s="2551"/>
      <c r="L9" s="2552"/>
    </row>
    <row r="10" spans="1:29" ht="13.5" customHeight="1" x14ac:dyDescent="0.2">
      <c r="A10" s="2524" t="str">
        <f>COVER!A38</f>
        <v>Ryan Heavner, Superintendent</v>
      </c>
      <c r="B10" s="2525"/>
      <c r="C10" s="2525"/>
      <c r="D10" s="2525"/>
      <c r="E10" s="2525"/>
      <c r="F10" s="2526"/>
      <c r="G10" s="2518" t="str">
        <f>COVER!T17</f>
        <v>100 North Amos Avenue</v>
      </c>
      <c r="H10" s="2519"/>
      <c r="I10" s="2519"/>
      <c r="J10" s="2519"/>
      <c r="K10" s="2519"/>
      <c r="L10" s="2520"/>
    </row>
    <row r="11" spans="1:29" ht="13.5" customHeight="1" x14ac:dyDescent="0.2">
      <c r="A11" s="963" t="s">
        <v>1502</v>
      </c>
      <c r="B11" s="964"/>
      <c r="C11" s="965"/>
      <c r="D11" s="970"/>
      <c r="E11" s="965"/>
      <c r="F11" s="969"/>
      <c r="G11" s="2518" t="str">
        <f>COVER!T19</f>
        <v>Springfield</v>
      </c>
      <c r="H11" s="2519"/>
      <c r="I11" s="2519"/>
      <c r="J11" s="2519"/>
      <c r="K11" s="2519"/>
      <c r="L11" s="2520"/>
    </row>
    <row r="12" spans="1:29" ht="13.5" customHeight="1" x14ac:dyDescent="0.2">
      <c r="A12" s="2527" t="s">
        <v>1501</v>
      </c>
      <c r="B12" s="2528"/>
      <c r="C12" s="2528"/>
      <c r="D12" s="2528"/>
      <c r="E12" s="2528"/>
      <c r="F12" s="2529"/>
      <c r="G12" s="2521"/>
      <c r="H12" s="2522"/>
      <c r="I12" s="2522"/>
      <c r="J12" s="2522"/>
      <c r="K12" s="2522"/>
      <c r="L12" s="2523"/>
    </row>
    <row r="13" spans="1:29" ht="13.5" customHeight="1" x14ac:dyDescent="0.2">
      <c r="A13" s="2518"/>
      <c r="B13" s="2519"/>
      <c r="C13" s="2519"/>
      <c r="D13" s="2519"/>
      <c r="E13" s="2519"/>
      <c r="F13" s="2520"/>
      <c r="G13" s="2513" t="s">
        <v>1503</v>
      </c>
      <c r="H13" s="2514"/>
      <c r="I13" s="2530" t="str">
        <f>COVER!T25</f>
        <v>dfitzgerald@p-dcpas.com</v>
      </c>
      <c r="J13" s="2531"/>
      <c r="K13" s="2531"/>
      <c r="L13" s="2532"/>
    </row>
    <row r="14" spans="1:29" ht="13.5" customHeight="1" x14ac:dyDescent="0.2">
      <c r="A14" s="2518" t="str">
        <f>COVER!A19</f>
        <v>147 Palmer Street</v>
      </c>
      <c r="B14" s="2519"/>
      <c r="C14" s="2519"/>
      <c r="D14" s="2519"/>
      <c r="E14" s="2519"/>
      <c r="F14" s="2520"/>
      <c r="G14" s="974" t="s">
        <v>1175</v>
      </c>
      <c r="H14" s="972"/>
      <c r="I14" s="972"/>
      <c r="J14" s="972"/>
      <c r="K14" s="972"/>
      <c r="L14" s="973"/>
    </row>
    <row r="15" spans="1:29" ht="13.5" customHeight="1" x14ac:dyDescent="0.2">
      <c r="A15" s="2518" t="str">
        <f>COVER!A21</f>
        <v>Greenview</v>
      </c>
      <c r="B15" s="2519"/>
      <c r="C15" s="2519"/>
      <c r="D15" s="2519"/>
      <c r="E15" s="2519"/>
      <c r="F15" s="2520"/>
      <c r="G15" s="2515" t="str">
        <f>COVER!T15</f>
        <v>Dorinda L Fitzgerald</v>
      </c>
      <c r="H15" s="2516"/>
      <c r="I15" s="2516"/>
      <c r="J15" s="2516"/>
      <c r="K15" s="2516"/>
      <c r="L15" s="2517"/>
    </row>
    <row r="16" spans="1:29" ht="12.2" customHeight="1" x14ac:dyDescent="0.2">
      <c r="A16" s="2541">
        <f>COVER!A25</f>
        <v>62642</v>
      </c>
      <c r="B16" s="2542"/>
      <c r="C16" s="2542"/>
      <c r="D16" s="2542"/>
      <c r="E16" s="2542"/>
      <c r="F16" s="2543"/>
      <c r="G16" s="2553"/>
      <c r="H16" s="2554"/>
      <c r="I16" s="2554"/>
      <c r="J16" s="2554"/>
      <c r="K16" s="2554"/>
      <c r="L16" s="2555"/>
    </row>
    <row r="17" spans="1:13" ht="12.2" customHeight="1" x14ac:dyDescent="0.2">
      <c r="A17" s="2556"/>
      <c r="B17" s="2542"/>
      <c r="C17" s="2542"/>
      <c r="D17" s="2542"/>
      <c r="E17" s="2542"/>
      <c r="F17" s="2543"/>
      <c r="G17" s="974" t="s">
        <v>1174</v>
      </c>
      <c r="H17" s="972"/>
      <c r="I17" s="972"/>
      <c r="J17" s="972"/>
      <c r="K17" s="976" t="s">
        <v>1173</v>
      </c>
      <c r="L17" s="969"/>
      <c r="M17" s="962"/>
    </row>
    <row r="18" spans="1:13" ht="12.2" customHeight="1" x14ac:dyDescent="0.2">
      <c r="A18" s="2524"/>
      <c r="B18" s="2525"/>
      <c r="C18" s="2525"/>
      <c r="D18" s="2525"/>
      <c r="E18" s="2525"/>
      <c r="F18" s="2526"/>
      <c r="G18" s="2535" t="str">
        <f>COVER!T21</f>
        <v>(217) 787-0563</v>
      </c>
      <c r="H18" s="2536"/>
      <c r="I18" s="2536"/>
      <c r="J18" s="2536"/>
      <c r="K18" s="2535" t="str">
        <f>COVER!X21</f>
        <v>(217) 787-9266</v>
      </c>
      <c r="L18" s="254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Greenview CUSD 200</v>
      </c>
      <c r="B1" s="2558"/>
      <c r="C1" s="2558"/>
      <c r="D1" s="2558"/>
    </row>
    <row r="2" spans="1:11" s="991" customFormat="1" ht="12.75" x14ac:dyDescent="0.2">
      <c r="A2" s="2559">
        <f>'Single Audit Cover'!E7</f>
        <v>51065200026</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Greenview CUSD 200</v>
      </c>
      <c r="B1" s="2562"/>
      <c r="C1" s="2562"/>
      <c r="D1" s="2562"/>
      <c r="E1" s="2562"/>
    </row>
    <row r="2" spans="1:5" x14ac:dyDescent="0.2">
      <c r="A2" s="2563">
        <f>'Single Audit Cover'!E7</f>
        <v>51065200026</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406581</v>
      </c>
    </row>
    <row r="11" spans="1:5" ht="18" customHeight="1" x14ac:dyDescent="0.2">
      <c r="A11" s="1037" t="s">
        <v>1229</v>
      </c>
      <c r="B11" s="1038"/>
      <c r="C11" s="1038"/>
    </row>
    <row r="12" spans="1:5" x14ac:dyDescent="0.2">
      <c r="A12" s="1037" t="s">
        <v>1228</v>
      </c>
      <c r="B12" s="1038" t="s">
        <v>1227</v>
      </c>
      <c r="C12" s="1038"/>
      <c r="D12" s="1040">
        <f>SUM('Revenues 9-14'!C112:D112,'Revenues 9-14'!F112:G112)</f>
        <v>21109</v>
      </c>
    </row>
    <row r="13" spans="1:5" x14ac:dyDescent="0.2">
      <c r="A13" s="1037" t="s">
        <v>1226</v>
      </c>
      <c r="B13" s="1038"/>
      <c r="C13" s="1038"/>
    </row>
    <row r="14" spans="1:5" x14ac:dyDescent="0.2">
      <c r="A14" s="1037" t="s">
        <v>2004</v>
      </c>
      <c r="B14" s="1038"/>
      <c r="C14" s="1038"/>
      <c r="D14" s="1040">
        <f>'ICR Computation 30'!E11</f>
        <v>9854</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437544</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437544</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437544</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4" t="str">
        <f>'Single Audit Cover'!A7</f>
        <v>Greenview CUSD 200</v>
      </c>
      <c r="C1" s="2566"/>
      <c r="D1" s="2566"/>
      <c r="E1" s="2566"/>
      <c r="F1" s="2566"/>
      <c r="G1" s="2566"/>
      <c r="H1" s="2566"/>
      <c r="I1" s="2566"/>
      <c r="J1" s="2566"/>
      <c r="K1" s="2566"/>
      <c r="L1" s="2566"/>
      <c r="M1" s="2566"/>
    </row>
    <row r="2" spans="2:14" ht="15" x14ac:dyDescent="0.2">
      <c r="B2" s="2567">
        <f>'Single Audit Cover'!E7</f>
        <v>51065200026</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9" t="str">
        <f>'Single Audit Cover'!A7</f>
        <v>Greenview CUSD 200</v>
      </c>
      <c r="B1" s="2579"/>
      <c r="C1" s="2579"/>
      <c r="D1" s="2579"/>
      <c r="E1" s="2579"/>
      <c r="F1" s="2579"/>
    </row>
    <row r="2" spans="1:7" ht="13.5" customHeight="1" x14ac:dyDescent="0.2">
      <c r="A2" s="2567">
        <f>'Single Audit Cover'!E7</f>
        <v>51065200026</v>
      </c>
      <c r="B2" s="2567"/>
      <c r="C2" s="2567"/>
      <c r="D2" s="2567"/>
      <c r="E2" s="2567"/>
      <c r="F2" s="2567"/>
      <c r="G2" s="1051"/>
    </row>
    <row r="3" spans="1:7" ht="15.75" customHeight="1" x14ac:dyDescent="0.2">
      <c r="A3" s="2580" t="s">
        <v>1260</v>
      </c>
      <c r="B3" s="2580"/>
      <c r="C3" s="2580"/>
      <c r="D3" s="2580"/>
      <c r="E3" s="2580"/>
      <c r="F3" s="2580"/>
    </row>
    <row r="4" spans="1:7" ht="13.5" customHeight="1" x14ac:dyDescent="0.2">
      <c r="A4" s="2581" t="str">
        <f>'Single Audit Cover'!A4</f>
        <v>Year Ending June 30, 2020</v>
      </c>
      <c r="B4" s="2581"/>
      <c r="C4" s="2581"/>
      <c r="D4" s="2581"/>
      <c r="E4" s="2581"/>
      <c r="F4" s="2581"/>
    </row>
    <row r="5" spans="1:7" ht="8.25" customHeight="1" x14ac:dyDescent="0.2">
      <c r="C5" s="295"/>
      <c r="D5" s="295"/>
    </row>
    <row r="6" spans="1:7" ht="13.5" customHeight="1" x14ac:dyDescent="0.2">
      <c r="A6" s="1052" t="s">
        <v>1705</v>
      </c>
      <c r="C6" s="295"/>
      <c r="D6" s="295"/>
    </row>
    <row r="7" spans="1:7" ht="60.95" customHeight="1" x14ac:dyDescent="0.2">
      <c r="A7" s="2578" t="s">
        <v>1706</v>
      </c>
      <c r="B7" s="2578"/>
      <c r="C7" s="2578"/>
      <c r="D7" s="2578"/>
      <c r="E7" s="2578"/>
      <c r="F7" s="2578"/>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8" t="s">
        <v>1708</v>
      </c>
      <c r="B13" s="2578"/>
      <c r="C13" s="2578"/>
      <c r="D13" s="2578"/>
      <c r="E13" s="2578"/>
      <c r="F13" s="2578"/>
    </row>
    <row r="14" spans="1:7" ht="9.75" customHeight="1" x14ac:dyDescent="0.2">
      <c r="C14" s="1036"/>
      <c r="D14" s="1036"/>
    </row>
    <row r="15" spans="1:7" ht="13.5" customHeight="1" x14ac:dyDescent="0.2">
      <c r="C15" s="1476" t="s">
        <v>1259</v>
      </c>
      <c r="D15" s="2576" t="s">
        <v>1258</v>
      </c>
      <c r="E15" s="2576"/>
      <c r="F15" s="2576"/>
    </row>
    <row r="16" spans="1:7" ht="13.5" customHeight="1" x14ac:dyDescent="0.2">
      <c r="A16" s="1058"/>
      <c r="B16" s="1052" t="s">
        <v>1257</v>
      </c>
      <c r="C16" s="1476" t="s">
        <v>1256</v>
      </c>
      <c r="D16" s="2577" t="s">
        <v>1571</v>
      </c>
      <c r="E16" s="2577"/>
      <c r="F16" s="2577"/>
    </row>
    <row r="17" spans="1:6" ht="20.45" customHeight="1" x14ac:dyDescent="0.2">
      <c r="A17" s="1059"/>
      <c r="B17" s="1060"/>
      <c r="C17" s="1061"/>
      <c r="D17" s="2571"/>
      <c r="E17" s="2571"/>
      <c r="F17" s="2571"/>
    </row>
    <row r="18" spans="1:6" ht="20.65" customHeight="1" x14ac:dyDescent="0.2">
      <c r="A18" s="1059"/>
      <c r="B18" s="1060"/>
      <c r="C18" s="1061"/>
      <c r="D18" s="2571"/>
      <c r="E18" s="2571"/>
      <c r="F18" s="2571"/>
    </row>
    <row r="19" spans="1:6" ht="20.65" customHeight="1" x14ac:dyDescent="0.2">
      <c r="A19" s="1059"/>
      <c r="B19" s="1060"/>
      <c r="C19" s="1061"/>
      <c r="D19" s="2571"/>
      <c r="E19" s="2571"/>
      <c r="F19" s="2571"/>
    </row>
    <row r="20" spans="1:6" ht="20.65" customHeight="1" x14ac:dyDescent="0.2">
      <c r="A20" s="1059"/>
      <c r="B20" s="1060"/>
      <c r="C20" s="1061"/>
      <c r="D20" s="2571"/>
      <c r="E20" s="2571"/>
      <c r="F20" s="2571"/>
    </row>
    <row r="21" spans="1:6" ht="20.65" customHeight="1" x14ac:dyDescent="0.2">
      <c r="A21" s="1059"/>
      <c r="B21" s="1060"/>
      <c r="C21" s="1061"/>
      <c r="D21" s="2571"/>
      <c r="E21" s="2571"/>
      <c r="F21" s="2571"/>
    </row>
    <row r="22" spans="1:6" ht="20.65" customHeight="1" x14ac:dyDescent="0.2">
      <c r="A22" s="1059"/>
      <c r="B22" s="1060"/>
      <c r="C22" s="1061"/>
      <c r="D22" s="2571"/>
      <c r="E22" s="2571"/>
      <c r="F22" s="2571"/>
    </row>
    <row r="23" spans="1:6" ht="20.65" customHeight="1" x14ac:dyDescent="0.2">
      <c r="A23" s="1059"/>
      <c r="B23" s="1060"/>
      <c r="C23" s="1061"/>
      <c r="D23" s="2571"/>
      <c r="E23" s="2571"/>
      <c r="F23" s="2571"/>
    </row>
    <row r="24" spans="1:6" ht="20.65" customHeight="1" x14ac:dyDescent="0.2">
      <c r="A24" s="1059"/>
      <c r="B24" s="1060"/>
      <c r="C24" s="1061"/>
      <c r="D24" s="2571"/>
      <c r="E24" s="2571"/>
      <c r="F24" s="2571"/>
    </row>
    <row r="25" spans="1:6" ht="20.65" customHeight="1" x14ac:dyDescent="0.2">
      <c r="A25" s="1059"/>
      <c r="B25" s="1060"/>
      <c r="C25" s="1061"/>
      <c r="D25" s="2571"/>
      <c r="E25" s="2571"/>
      <c r="F25" s="2571"/>
    </row>
    <row r="26" spans="1:6" ht="20.65" customHeight="1" x14ac:dyDescent="0.2">
      <c r="A26" s="1059"/>
      <c r="B26" s="1060"/>
      <c r="C26" s="1061"/>
      <c r="D26" s="2571"/>
      <c r="E26" s="2571"/>
      <c r="F26" s="2571"/>
    </row>
    <row r="27" spans="1:6" ht="20.65" customHeight="1" x14ac:dyDescent="0.2">
      <c r="A27" s="1059"/>
      <c r="B27" s="1060"/>
      <c r="C27" s="1061"/>
      <c r="D27" s="2571"/>
      <c r="E27" s="2571"/>
      <c r="F27" s="2571"/>
    </row>
    <row r="28" spans="1:6" ht="20.65" customHeight="1" x14ac:dyDescent="0.2">
      <c r="A28" s="1059"/>
      <c r="B28" s="1060"/>
      <c r="C28" s="1061"/>
      <c r="D28" s="2571"/>
      <c r="E28" s="2571"/>
      <c r="F28" s="2571"/>
    </row>
    <row r="29" spans="1:6" ht="20.65" customHeight="1" x14ac:dyDescent="0.2">
      <c r="A29" s="1059"/>
      <c r="B29" s="1060"/>
      <c r="C29" s="1061"/>
      <c r="D29" s="2571"/>
      <c r="E29" s="2571"/>
      <c r="F29" s="2571"/>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2" t="s">
        <v>1709</v>
      </c>
      <c r="B32" s="2572"/>
      <c r="C32" s="2572"/>
      <c r="D32" s="2572"/>
      <c r="E32" s="2572"/>
      <c r="F32" s="2572"/>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3">
        <f>+C33+C34</f>
        <v>0</v>
      </c>
      <c r="F34" s="2574"/>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5" t="s">
        <v>1573</v>
      </c>
      <c r="C49" s="2575"/>
      <c r="D49" s="2575"/>
      <c r="E49" s="1168"/>
    </row>
    <row r="50" spans="1:5" s="1076" customFormat="1" ht="3.75" customHeight="1" x14ac:dyDescent="0.2">
      <c r="A50" s="1075"/>
      <c r="B50" s="1475"/>
      <c r="C50" s="1475"/>
      <c r="D50" s="1475"/>
      <c r="E50" s="1168"/>
    </row>
    <row r="51" spans="1:5" s="1076" customFormat="1" ht="20.25" customHeight="1" x14ac:dyDescent="0.2">
      <c r="A51" s="1077">
        <v>6</v>
      </c>
      <c r="B51" s="2570" t="s">
        <v>1534</v>
      </c>
      <c r="C51" s="2570"/>
      <c r="D51" s="2570"/>
    </row>
    <row r="52" spans="1:5" ht="14.25" customHeight="1" x14ac:dyDescent="0.2">
      <c r="A52" s="1077"/>
      <c r="B52" s="2570"/>
      <c r="C52" s="2570"/>
      <c r="D52" s="257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C1" sqref="C1"/>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t="s">
        <v>2058</v>
      </c>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2058</v>
      </c>
      <c r="C53" s="174">
        <v>22</v>
      </c>
      <c r="D53" s="242" t="s">
        <v>1445</v>
      </c>
      <c r="E53" s="243"/>
      <c r="F53" s="244"/>
      <c r="G53" s="244" t="s">
        <v>1444</v>
      </c>
      <c r="H53" s="245">
        <v>35431</v>
      </c>
      <c r="I53" s="232" t="s">
        <v>1466</v>
      </c>
    </row>
    <row r="54" spans="1:10" s="176" customFormat="1" x14ac:dyDescent="0.2">
      <c r="A54" s="214"/>
      <c r="B54" s="215" t="s">
        <v>2058</v>
      </c>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t="s">
        <v>2068</v>
      </c>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2051</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t="s">
        <v>2080</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3" t="str">
        <f>'Single Audit Cover'!A7</f>
        <v>Greenview CUSD 200</v>
      </c>
      <c r="C1" s="2594"/>
      <c r="D1" s="2594"/>
      <c r="E1" s="2594"/>
      <c r="F1" s="2594"/>
      <c r="G1" s="2594"/>
      <c r="H1" s="2594"/>
      <c r="I1" s="2594"/>
      <c r="J1" s="1178"/>
    </row>
    <row r="2" spans="2:10" s="295" customFormat="1" ht="12.75" customHeight="1" x14ac:dyDescent="0.2">
      <c r="B2" s="2595">
        <f>'Single Audit Cover'!E7</f>
        <v>51065200026</v>
      </c>
      <c r="C2" s="2596"/>
      <c r="D2" s="2596"/>
      <c r="E2" s="2596"/>
      <c r="F2" s="2596"/>
      <c r="G2" s="2596"/>
      <c r="H2" s="2596"/>
      <c r="I2" s="2596"/>
      <c r="J2" s="1178"/>
    </row>
    <row r="3" spans="2:10" s="295" customFormat="1" ht="12.75" customHeight="1" x14ac:dyDescent="0.2">
      <c r="B3" s="2597" t="s">
        <v>1274</v>
      </c>
      <c r="C3" s="2598"/>
      <c r="D3" s="2598"/>
      <c r="E3" s="2598"/>
      <c r="F3" s="2598"/>
      <c r="G3" s="2598"/>
      <c r="H3" s="2598"/>
      <c r="I3" s="2598"/>
      <c r="J3" s="1179"/>
    </row>
    <row r="4" spans="2:10" s="295" customFormat="1" ht="12.75" customHeight="1" x14ac:dyDescent="0.2">
      <c r="B4" s="2597" t="str">
        <f>'Single Audit Cover'!A4</f>
        <v>Year Ending June 30, 2020</v>
      </c>
      <c r="C4" s="2598"/>
      <c r="D4" s="2598"/>
      <c r="E4" s="2598"/>
      <c r="F4" s="2598"/>
      <c r="G4" s="2598"/>
      <c r="H4" s="2598"/>
      <c r="I4" s="2598"/>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7" t="s">
        <v>1273</v>
      </c>
      <c r="C7" s="2598"/>
      <c r="D7" s="2598"/>
      <c r="E7" s="2598"/>
      <c r="F7" s="2598"/>
      <c r="G7" s="2598"/>
      <c r="H7" s="2598"/>
      <c r="I7" s="2598"/>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9"/>
      <c r="D11" s="2599"/>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0"/>
      <c r="E29" s="2600"/>
      <c r="F29" s="2600"/>
      <c r="G29" s="2600"/>
      <c r="H29" s="2600"/>
      <c r="I29" s="2600"/>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1" t="s">
        <v>1728</v>
      </c>
      <c r="D37" s="2602"/>
      <c r="E37" s="2602"/>
      <c r="F37" s="2603"/>
      <c r="G37" s="2601" t="s">
        <v>1575</v>
      </c>
      <c r="H37" s="2602"/>
      <c r="I37" s="2603"/>
    </row>
    <row r="38" spans="2:9" ht="16.5" customHeight="1" x14ac:dyDescent="0.2">
      <c r="B38" s="1200"/>
      <c r="C38" s="2589"/>
      <c r="D38" s="2590"/>
      <c r="E38" s="2590"/>
      <c r="F38" s="2591"/>
      <c r="G38" s="2604"/>
      <c r="H38" s="2605"/>
      <c r="I38" s="2606"/>
    </row>
    <row r="39" spans="2:9" ht="16.5" customHeight="1" x14ac:dyDescent="0.2">
      <c r="B39" s="1200"/>
      <c r="C39" s="2589"/>
      <c r="D39" s="2590"/>
      <c r="E39" s="2590"/>
      <c r="F39" s="2591"/>
      <c r="G39" s="2592"/>
      <c r="H39" s="2592"/>
      <c r="I39" s="2592"/>
    </row>
    <row r="40" spans="2:9" ht="16.5" customHeight="1" x14ac:dyDescent="0.2">
      <c r="B40" s="1200"/>
      <c r="C40" s="2589"/>
      <c r="D40" s="2590"/>
      <c r="E40" s="2590"/>
      <c r="F40" s="2591"/>
      <c r="G40" s="2592"/>
      <c r="H40" s="2592"/>
      <c r="I40" s="2592"/>
    </row>
    <row r="41" spans="2:9" ht="16.5" customHeight="1" x14ac:dyDescent="0.2">
      <c r="B41" s="1200"/>
      <c r="C41" s="2589"/>
      <c r="D41" s="2590"/>
      <c r="E41" s="2590"/>
      <c r="F41" s="2591"/>
      <c r="G41" s="2592"/>
      <c r="H41" s="2592"/>
      <c r="I41" s="2592"/>
    </row>
    <row r="42" spans="2:9" ht="16.5" customHeight="1" x14ac:dyDescent="0.2">
      <c r="B42" s="1200"/>
      <c r="C42" s="2589"/>
      <c r="D42" s="2590"/>
      <c r="E42" s="2590"/>
      <c r="F42" s="2591"/>
      <c r="G42" s="2592"/>
      <c r="H42" s="2592"/>
      <c r="I42" s="2592"/>
    </row>
    <row r="43" spans="2:9" ht="16.5" customHeight="1" x14ac:dyDescent="0.2">
      <c r="B43" s="1200"/>
      <c r="C43" s="2582" t="s">
        <v>1576</v>
      </c>
      <c r="D43" s="2583"/>
      <c r="E43" s="2583"/>
      <c r="F43" s="2584"/>
      <c r="G43" s="2585">
        <f>SUM(G38:I42)</f>
        <v>0</v>
      </c>
      <c r="H43" s="2585"/>
      <c r="I43" s="2585"/>
    </row>
    <row r="44" spans="2:9" ht="12.75" customHeight="1" x14ac:dyDescent="0.2"/>
    <row r="45" spans="2:9" ht="12.75" customHeight="1" x14ac:dyDescent="0.2">
      <c r="B45" s="1917" t="str">
        <f>"Total Federal Expenditures for 7/1/"&amp;MID('AFR20'!E2,3,2)-1&amp;"-6/30/"&amp;MID('AFR20'!E2,3,2)</f>
        <v>Total Federal Expenditures for 7/1/19-6/30/20</v>
      </c>
      <c r="C45" s="1918"/>
      <c r="D45" s="2586">
        <v>0</v>
      </c>
      <c r="E45" s="2587"/>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88"/>
      <c r="F49" s="2588"/>
      <c r="G49" s="2588"/>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3" t="str">
        <f>'Single Audit Cover'!A7</f>
        <v>Greenview CUSD 200</v>
      </c>
      <c r="C1" s="2593"/>
      <c r="D1" s="2593"/>
      <c r="E1" s="2593"/>
      <c r="F1" s="2593"/>
      <c r="G1" s="2593"/>
      <c r="H1" s="2593"/>
      <c r="I1" s="2593"/>
      <c r="J1" s="2593"/>
      <c r="K1" s="2593"/>
      <c r="L1" s="1144"/>
      <c r="M1" s="1144"/>
    </row>
    <row r="2" spans="1:13" ht="12" customHeight="1" x14ac:dyDescent="0.2">
      <c r="B2" s="2595">
        <f>'Single Audit Cover'!E7</f>
        <v>51065200026</v>
      </c>
      <c r="C2" s="2595"/>
      <c r="D2" s="2595"/>
      <c r="E2" s="2595"/>
      <c r="F2" s="2595"/>
      <c r="G2" s="2595"/>
      <c r="H2" s="2595"/>
      <c r="I2" s="2595"/>
      <c r="J2" s="2595"/>
      <c r="K2" s="2595"/>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6" t="str">
        <f>'Single Audit Cover'!A7</f>
        <v>Greenview CUSD 200</v>
      </c>
      <c r="C1" s="2616"/>
      <c r="D1" s="2616"/>
      <c r="E1" s="2616"/>
      <c r="F1" s="2616"/>
      <c r="G1" s="2616"/>
      <c r="H1" s="2616"/>
      <c r="I1" s="2616"/>
      <c r="J1" s="2616"/>
      <c r="K1" s="2616"/>
      <c r="L1" s="1221"/>
    </row>
    <row r="2" spans="1:12" ht="12.75" customHeight="1" x14ac:dyDescent="0.2">
      <c r="B2" s="2617">
        <f>'Single Audit Cover'!E7</f>
        <v>51065200026</v>
      </c>
      <c r="C2" s="2617"/>
      <c r="D2" s="2617"/>
      <c r="E2" s="2617"/>
      <c r="F2" s="2617"/>
      <c r="G2" s="2617"/>
      <c r="H2" s="2617"/>
      <c r="I2" s="2617"/>
      <c r="J2" s="2617"/>
      <c r="K2" s="2617"/>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8" t="s">
        <v>1297</v>
      </c>
      <c r="C6" s="2618"/>
      <c r="D6" s="2618"/>
      <c r="E6" s="2618"/>
      <c r="F6" s="2618"/>
      <c r="G6" s="2618"/>
      <c r="H6" s="2618"/>
      <c r="I6" s="2618"/>
      <c r="J6" s="2618"/>
      <c r="K6" s="2618"/>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0"/>
      <c r="G12" s="2600"/>
      <c r="H12" s="2600"/>
      <c r="I12" s="2600"/>
      <c r="J12" s="2600"/>
      <c r="K12" s="2600"/>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3"/>
      <c r="E14" s="2613"/>
      <c r="F14" s="2613"/>
      <c r="H14" s="1230" t="s">
        <v>1292</v>
      </c>
      <c r="I14" s="2614"/>
      <c r="J14" s="2614"/>
      <c r="K14" s="2614"/>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4"/>
      <c r="E16" s="2614"/>
      <c r="F16" s="2614"/>
      <c r="G16" s="2614"/>
      <c r="H16" s="2614"/>
      <c r="I16" s="2614"/>
      <c r="J16" s="2614"/>
      <c r="K16" s="2614"/>
      <c r="L16" s="300"/>
    </row>
    <row r="17" spans="2:12" ht="13.5" customHeight="1" x14ac:dyDescent="0.2">
      <c r="B17" s="1156" t="s">
        <v>1290</v>
      </c>
      <c r="C17" s="1156"/>
      <c r="D17" s="2615"/>
      <c r="E17" s="2615"/>
      <c r="F17" s="2615"/>
      <c r="G17" s="2615"/>
      <c r="H17" s="2615"/>
      <c r="I17" s="2615"/>
      <c r="J17" s="2615"/>
      <c r="K17" s="2615"/>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3" t="str">
        <f>'Single Audit Cover'!A7</f>
        <v>Greenview CUSD 200</v>
      </c>
      <c r="C1" s="2593"/>
      <c r="D1" s="2593"/>
      <c r="E1" s="1240"/>
    </row>
    <row r="2" spans="2:5" s="1058" customFormat="1" ht="12.75" customHeight="1" x14ac:dyDescent="0.2">
      <c r="B2" s="2595">
        <f>'Single Audit Cover'!E7</f>
        <v>51065200026</v>
      </c>
      <c r="C2" s="2595"/>
      <c r="D2" s="2595"/>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46018067</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3.3237000000000003E-2</v>
      </c>
      <c r="E10" s="333" t="s">
        <v>998</v>
      </c>
      <c r="F10" s="332">
        <v>5.1539999999999997E-3</v>
      </c>
      <c r="G10" s="333" t="s">
        <v>998</v>
      </c>
      <c r="H10" s="332">
        <v>2.4819999999999998E-3</v>
      </c>
      <c r="I10" s="333" t="s">
        <v>999</v>
      </c>
      <c r="J10" s="1424">
        <f>ROUND(D10+F10+H10,5)</f>
        <v>4.0869999999999997E-2</v>
      </c>
      <c r="K10" s="217"/>
      <c r="L10" s="332">
        <v>2.5700000000000001E-4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3253987</v>
      </c>
      <c r="E16" s="1547"/>
      <c r="F16" s="1546">
        <f>SUM('Acct Summary 7-8'!C17,'Acct Summary 7-8'!D17,'Acct Summary 7-8'!F17)</f>
        <v>3399734</v>
      </c>
      <c r="G16" s="1547"/>
      <c r="H16" s="1546">
        <f>SUM(D16-F16)</f>
        <v>-145747</v>
      </c>
      <c r="I16" s="1548"/>
      <c r="J16" s="1546">
        <f>SUM('Acct Summary 7-8'!C81,'Acct Summary 7-8'!D81,'Acct Summary 7-8'!F81,'Acct Summary 7-8'!I81)</f>
        <v>2268322</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6350493.2460000003</v>
      </c>
      <c r="I31" s="345"/>
      <c r="J31" s="217"/>
      <c r="K31" s="217"/>
      <c r="L31" s="217"/>
      <c r="M31" s="217"/>
    </row>
    <row r="32" spans="1:13" ht="13.35" customHeight="1" x14ac:dyDescent="0.2">
      <c r="B32" s="346" t="s">
        <v>2058</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Greenview CUSD 200</v>
      </c>
      <c r="E7" s="368"/>
      <c r="G7" s="247"/>
      <c r="H7" s="364"/>
      <c r="I7" s="364"/>
      <c r="J7" s="364"/>
      <c r="K7" s="364"/>
      <c r="L7" s="307"/>
      <c r="M7" s="307"/>
      <c r="N7" s="307"/>
      <c r="O7" s="307"/>
      <c r="P7" s="307"/>
    </row>
    <row r="8" spans="1:18" ht="12.75" x14ac:dyDescent="0.2">
      <c r="A8" s="307"/>
      <c r="B8" s="307"/>
      <c r="C8" s="366" t="s">
        <v>1115</v>
      </c>
      <c r="D8" s="369">
        <f>COVER!A13</f>
        <v>51065200026</v>
      </c>
      <c r="E8" s="370"/>
      <c r="G8" s="307"/>
      <c r="H8" s="307"/>
      <c r="I8" s="307"/>
      <c r="J8" s="307"/>
      <c r="K8" s="307"/>
      <c r="L8" s="307"/>
      <c r="M8" s="307"/>
      <c r="N8" s="307"/>
      <c r="O8" s="307"/>
      <c r="P8" s="307"/>
    </row>
    <row r="9" spans="1:18" ht="12.75" x14ac:dyDescent="0.2">
      <c r="A9" s="307"/>
      <c r="B9" s="307"/>
      <c r="C9" s="366" t="s">
        <v>708</v>
      </c>
      <c r="D9" s="371" t="str">
        <f>COVER!A15</f>
        <v>Menard</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2268322</v>
      </c>
      <c r="I12" s="380"/>
      <c r="J12" s="380"/>
      <c r="K12" s="1559">
        <f>TRUNC((H12/H13*100000),5)/100000</f>
        <v>0.69709006210000002</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3253987</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3399734</v>
      </c>
      <c r="I17" s="380"/>
      <c r="J17" s="389"/>
      <c r="K17" s="1559">
        <f>TRUNC((H17/H18*100000),5)/100000</f>
        <v>1.0447902834</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3253987</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13.3307944</v>
      </c>
      <c r="K20" s="1559" t="str">
        <f>IF(K17&lt;=1,"0",IF(AND(O16="2", J20 &gt; 2),TRUNC(((K12-0.1)/(K17-1)*100),5)/100,IF(AND(O16 = "1", J20 &gt; 2),TRUNC(((K12-0.1)/(K17-1)*100),5)/100,IF(AND(O16="1", J20 &gt;1),TRUNC(((K12-0.1)/(K17-1)*100),5)/100,""))))</f>
        <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2239325</v>
      </c>
      <c r="I24" s="394"/>
      <c r="J24" s="394"/>
      <c r="K24" s="1555">
        <f>TRUNC(((H24/H25*100000)/100000),2)</f>
        <v>237.12</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9443.7055600000003</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1598644.63855</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0</v>
      </c>
      <c r="I32" s="392"/>
      <c r="J32" s="392"/>
      <c r="K32" s="1555">
        <f>TRUNC(100-((((H32/H33*100))*100)/100),2)</f>
        <v>100</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6350493.2460000003</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3.6499999999999995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1296684</v>
      </c>
      <c r="D4" s="1573">
        <v>506508</v>
      </c>
      <c r="E4" s="1573"/>
      <c r="F4" s="1573">
        <v>233587</v>
      </c>
      <c r="G4" s="1573">
        <v>24474</v>
      </c>
      <c r="H4" s="1573"/>
      <c r="I4" s="1573">
        <v>108080</v>
      </c>
      <c r="J4" s="1574"/>
      <c r="K4" s="1573">
        <v>28973</v>
      </c>
      <c r="L4" s="1573">
        <v>61001</v>
      </c>
      <c r="M4" s="1575"/>
      <c r="N4" s="1576"/>
    </row>
    <row r="5" spans="1:14" x14ac:dyDescent="0.2">
      <c r="A5" s="427" t="s">
        <v>985</v>
      </c>
      <c r="B5" s="429">
        <v>120</v>
      </c>
      <c r="C5" s="1572">
        <v>23012</v>
      </c>
      <c r="D5" s="1573">
        <v>20666</v>
      </c>
      <c r="E5" s="1573"/>
      <c r="F5" s="1573">
        <v>13961</v>
      </c>
      <c r="G5" s="1573">
        <v>153</v>
      </c>
      <c r="H5" s="1573"/>
      <c r="I5" s="1573">
        <v>36827</v>
      </c>
      <c r="J5" s="1574"/>
      <c r="K5" s="1577">
        <v>559</v>
      </c>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v>28434</v>
      </c>
      <c r="D11" s="1574"/>
      <c r="E11" s="1574"/>
      <c r="F11" s="1574">
        <v>563</v>
      </c>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1348130</v>
      </c>
      <c r="D13" s="1587">
        <f t="shared" ref="D13:L13" si="0">SUM(D4:D12)</f>
        <v>527174</v>
      </c>
      <c r="E13" s="1587">
        <f t="shared" si="0"/>
        <v>0</v>
      </c>
      <c r="F13" s="1587">
        <f t="shared" si="0"/>
        <v>248111</v>
      </c>
      <c r="G13" s="1587">
        <f t="shared" si="0"/>
        <v>24627</v>
      </c>
      <c r="H13" s="1587">
        <f t="shared" si="0"/>
        <v>0</v>
      </c>
      <c r="I13" s="1587">
        <f t="shared" si="0"/>
        <v>144907</v>
      </c>
      <c r="J13" s="1587">
        <f t="shared" si="0"/>
        <v>0</v>
      </c>
      <c r="K13" s="1587">
        <f t="shared" si="0"/>
        <v>29532</v>
      </c>
      <c r="L13" s="1587">
        <f t="shared" si="0"/>
        <v>61001</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7500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3020279</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41861</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865660</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3935300</v>
      </c>
      <c r="N23" s="1594">
        <f>SUM(N21:N22)</f>
        <v>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v>262</v>
      </c>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61001</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262</v>
      </c>
      <c r="H34" s="1600">
        <f t="shared" si="1"/>
        <v>0</v>
      </c>
      <c r="I34" s="1600">
        <f t="shared" si="1"/>
        <v>0</v>
      </c>
      <c r="J34" s="1600">
        <f t="shared" si="1"/>
        <v>0</v>
      </c>
      <c r="K34" s="1600">
        <f t="shared" si="1"/>
        <v>0</v>
      </c>
      <c r="L34" s="1601">
        <f>SUM(L33)</f>
        <v>61001</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v>21387</v>
      </c>
      <c r="D38" s="1573">
        <v>50000</v>
      </c>
      <c r="E38" s="1573"/>
      <c r="F38" s="1573"/>
      <c r="G38" s="1573"/>
      <c r="H38" s="1573"/>
      <c r="I38" s="1573"/>
      <c r="J38" s="1574"/>
      <c r="K38" s="1573"/>
      <c r="L38" s="1586"/>
      <c r="M38" s="1604"/>
      <c r="N38" s="1604"/>
    </row>
    <row r="39" spans="1:14" s="307" customFormat="1" ht="13.5" customHeight="1" x14ac:dyDescent="0.2">
      <c r="A39" s="438" t="s">
        <v>339</v>
      </c>
      <c r="B39" s="432">
        <v>730</v>
      </c>
      <c r="C39" s="1573">
        <v>1326743</v>
      </c>
      <c r="D39" s="1573">
        <v>477174</v>
      </c>
      <c r="E39" s="1573"/>
      <c r="F39" s="1573">
        <v>248111</v>
      </c>
      <c r="G39" s="1573">
        <v>24365</v>
      </c>
      <c r="H39" s="1573"/>
      <c r="I39" s="1573">
        <v>144907</v>
      </c>
      <c r="J39" s="1574"/>
      <c r="K39" s="1573">
        <v>29532</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3935300</v>
      </c>
      <c r="N40" s="1604"/>
    </row>
    <row r="41" spans="1:14" ht="13.5" customHeight="1" thickBot="1" x14ac:dyDescent="0.25">
      <c r="A41" s="1426" t="s">
        <v>650</v>
      </c>
      <c r="B41" s="1405"/>
      <c r="C41" s="1594">
        <f>(SUM(C34,C37,C38,C39))</f>
        <v>1348130</v>
      </c>
      <c r="D41" s="1594">
        <f t="shared" ref="D41:L41" si="2">SUM(D34,D37,D38:D39)</f>
        <v>527174</v>
      </c>
      <c r="E41" s="1594">
        <f t="shared" si="2"/>
        <v>0</v>
      </c>
      <c r="F41" s="1594">
        <f t="shared" si="2"/>
        <v>248111</v>
      </c>
      <c r="G41" s="1594">
        <f t="shared" si="2"/>
        <v>24627</v>
      </c>
      <c r="H41" s="1594">
        <f t="shared" si="2"/>
        <v>0</v>
      </c>
      <c r="I41" s="1594">
        <f t="shared" si="2"/>
        <v>144907</v>
      </c>
      <c r="J41" s="1594">
        <f t="shared" si="2"/>
        <v>0</v>
      </c>
      <c r="K41" s="1594">
        <f t="shared" si="2"/>
        <v>29532</v>
      </c>
      <c r="L41" s="1594">
        <f t="shared" si="2"/>
        <v>61001</v>
      </c>
      <c r="M41" s="1594">
        <f>SUM(M40)</f>
        <v>3935300</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&amp;F&amp;RThe notes to the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sqref="A1:A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1622674</v>
      </c>
      <c r="D4" s="1606">
        <f>'Revenues 9-14'!D109</f>
        <v>354460</v>
      </c>
      <c r="E4" s="1606">
        <f>'Revenues 9-14'!E109</f>
        <v>0</v>
      </c>
      <c r="F4" s="1606">
        <f>'Revenues 9-14'!F109</f>
        <v>121233</v>
      </c>
      <c r="G4" s="1606">
        <f>'Revenues 9-14'!G109</f>
        <v>81013</v>
      </c>
      <c r="H4" s="1606">
        <f>'Revenues 9-14'!H109</f>
        <v>0</v>
      </c>
      <c r="I4" s="1606">
        <f>'Revenues 9-14'!I109</f>
        <v>15258</v>
      </c>
      <c r="J4" s="1606">
        <f>'Revenues 9-14'!J109</f>
        <v>0</v>
      </c>
      <c r="K4" s="1606">
        <f>'Revenues 9-14'!K109</f>
        <v>29695</v>
      </c>
      <c r="L4" s="325"/>
    </row>
    <row r="5" spans="1:13" ht="15.75" customHeight="1" x14ac:dyDescent="0.2">
      <c r="A5" s="1314" t="s">
        <v>1483</v>
      </c>
      <c r="B5" s="1315">
        <v>2000</v>
      </c>
      <c r="C5" s="1607">
        <f>'Revenues 9-14'!C114</f>
        <v>25009</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581563</v>
      </c>
      <c r="D6" s="1607">
        <f>'Revenues 9-14'!D170</f>
        <v>50000</v>
      </c>
      <c r="E6" s="1607">
        <f>'Revenues 9-14'!E170</f>
        <v>0</v>
      </c>
      <c r="F6" s="1607">
        <f>'Revenues 9-14'!F170</f>
        <v>77209</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406581</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2635827</v>
      </c>
      <c r="D8" s="1594">
        <f t="shared" ref="D8:K8" si="0">SUM(D4:D7)</f>
        <v>404460</v>
      </c>
      <c r="E8" s="1594">
        <f t="shared" si="0"/>
        <v>0</v>
      </c>
      <c r="F8" s="1594">
        <f t="shared" si="0"/>
        <v>198442</v>
      </c>
      <c r="G8" s="1594">
        <f t="shared" si="0"/>
        <v>81013</v>
      </c>
      <c r="H8" s="1594">
        <f t="shared" si="0"/>
        <v>0</v>
      </c>
      <c r="I8" s="1594">
        <f t="shared" si="0"/>
        <v>15258</v>
      </c>
      <c r="J8" s="1594">
        <f t="shared" si="0"/>
        <v>0</v>
      </c>
      <c r="K8" s="1594">
        <f t="shared" si="0"/>
        <v>29695</v>
      </c>
      <c r="L8" s="325"/>
    </row>
    <row r="9" spans="1:13" ht="15.75" thickTop="1" x14ac:dyDescent="0.2">
      <c r="A9" s="449" t="s">
        <v>1634</v>
      </c>
      <c r="B9" s="450">
        <v>3998</v>
      </c>
      <c r="C9" s="1586">
        <v>1163995</v>
      </c>
      <c r="D9" s="1613"/>
      <c r="E9" s="1586"/>
      <c r="F9" s="1586"/>
      <c r="G9" s="1614"/>
      <c r="H9" s="1586"/>
      <c r="I9" s="1609" t="s">
        <v>1159</v>
      </c>
      <c r="J9" s="1583"/>
      <c r="K9" s="1586"/>
      <c r="L9" s="325"/>
    </row>
    <row r="10" spans="1:13" s="452" customFormat="1" ht="13.5" thickBot="1" x14ac:dyDescent="0.25">
      <c r="A10" s="1426" t="s">
        <v>1163</v>
      </c>
      <c r="B10" s="1407"/>
      <c r="C10" s="1594">
        <f>SUM(C8:C9)</f>
        <v>3799822</v>
      </c>
      <c r="D10" s="1594">
        <f t="shared" ref="D10:K10" si="1">SUM(D8:D9)</f>
        <v>404460</v>
      </c>
      <c r="E10" s="1594">
        <f t="shared" si="1"/>
        <v>0</v>
      </c>
      <c r="F10" s="1594">
        <f t="shared" si="1"/>
        <v>198442</v>
      </c>
      <c r="G10" s="1594">
        <f t="shared" si="1"/>
        <v>81013</v>
      </c>
      <c r="H10" s="1594">
        <f t="shared" si="1"/>
        <v>0</v>
      </c>
      <c r="I10" s="1594">
        <f t="shared" si="1"/>
        <v>15258</v>
      </c>
      <c r="J10" s="1594">
        <f t="shared" si="1"/>
        <v>0</v>
      </c>
      <c r="K10" s="1594">
        <f t="shared" si="1"/>
        <v>29695</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1757452</v>
      </c>
      <c r="D12" s="1616" t="s">
        <v>1159</v>
      </c>
      <c r="E12" s="1575" t="s">
        <v>1159</v>
      </c>
      <c r="F12" s="1575" t="s">
        <v>1159</v>
      </c>
      <c r="G12" s="1606">
        <f>'Expenditures 15-22'!K229</f>
        <v>35237</v>
      </c>
      <c r="H12" s="1617"/>
      <c r="I12" s="1575" t="s">
        <v>1159</v>
      </c>
      <c r="J12" s="1575" t="s">
        <v>1159</v>
      </c>
      <c r="K12" s="1617" t="s">
        <v>1159</v>
      </c>
      <c r="L12" s="325"/>
    </row>
    <row r="13" spans="1:13" ht="15.75" customHeight="1" x14ac:dyDescent="0.2">
      <c r="A13" s="1314" t="s">
        <v>454</v>
      </c>
      <c r="B13" s="1316">
        <v>2000</v>
      </c>
      <c r="C13" s="1607">
        <f>'Expenditures 15-22'!K74</f>
        <v>675705</v>
      </c>
      <c r="D13" s="1607">
        <f>'Expenditures 15-22'!K129</f>
        <v>425886</v>
      </c>
      <c r="E13" s="1576" t="s">
        <v>1159</v>
      </c>
      <c r="F13" s="1607">
        <f>'Expenditures 15-22'!K184</f>
        <v>243064</v>
      </c>
      <c r="G13" s="1607">
        <f>'Expenditures 15-22'!K279</f>
        <v>82116</v>
      </c>
      <c r="H13" s="1607">
        <f>'Expenditures 15-22'!K303</f>
        <v>0</v>
      </c>
      <c r="I13" s="1575" t="s">
        <v>1159</v>
      </c>
      <c r="J13" s="1607">
        <f>'Expenditures 15-22'!K330</f>
        <v>0</v>
      </c>
      <c r="K13" s="1618">
        <f>'Expenditures 15-22'!K352</f>
        <v>0</v>
      </c>
      <c r="L13" s="325"/>
    </row>
    <row r="14" spans="1:13" ht="15.75" customHeight="1" x14ac:dyDescent="0.2">
      <c r="A14" s="1314" t="s">
        <v>446</v>
      </c>
      <c r="B14" s="1316">
        <v>3000</v>
      </c>
      <c r="C14" s="1607">
        <f>'Expenditures 15-22'!K75</f>
        <v>1066</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296561</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2730784</v>
      </c>
      <c r="D17" s="1594">
        <f t="shared" si="2"/>
        <v>425886</v>
      </c>
      <c r="E17" s="1594">
        <f t="shared" si="2"/>
        <v>0</v>
      </c>
      <c r="F17" s="1594">
        <f t="shared" si="2"/>
        <v>243064</v>
      </c>
      <c r="G17" s="1594">
        <f t="shared" si="2"/>
        <v>117353</v>
      </c>
      <c r="H17" s="1594">
        <f t="shared" si="2"/>
        <v>0</v>
      </c>
      <c r="I17" s="1575"/>
      <c r="J17" s="1594">
        <f>SUM(J12:J16)</f>
        <v>0</v>
      </c>
      <c r="K17" s="1594">
        <f>SUM(K12:K16)</f>
        <v>0</v>
      </c>
      <c r="L17" s="325"/>
    </row>
    <row r="18" spans="1:12" ht="15" customHeight="1" thickTop="1" x14ac:dyDescent="0.2">
      <c r="A18" s="1430" t="s">
        <v>1635</v>
      </c>
      <c r="B18" s="1431">
        <v>4180</v>
      </c>
      <c r="C18" s="1606">
        <f t="shared" ref="C18:H18" si="3">C9</f>
        <v>1163995</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3894779</v>
      </c>
      <c r="D19" s="1594">
        <f t="shared" si="4"/>
        <v>425886</v>
      </c>
      <c r="E19" s="1594">
        <f t="shared" si="4"/>
        <v>0</v>
      </c>
      <c r="F19" s="1594">
        <f t="shared" si="4"/>
        <v>243064</v>
      </c>
      <c r="G19" s="1594">
        <f t="shared" si="4"/>
        <v>117353</v>
      </c>
      <c r="H19" s="1594">
        <f t="shared" si="4"/>
        <v>0</v>
      </c>
      <c r="I19" s="1575"/>
      <c r="J19" s="1594">
        <f>SUM(J17:J18)</f>
        <v>0</v>
      </c>
      <c r="K19" s="1594">
        <f>SUM(K17:K18)</f>
        <v>0</v>
      </c>
      <c r="L19" s="325"/>
    </row>
    <row r="20" spans="1:12" ht="16.5" thickTop="1" thickBot="1" x14ac:dyDescent="0.25">
      <c r="A20" s="2231" t="s">
        <v>1636</v>
      </c>
      <c r="B20" s="2232"/>
      <c r="C20" s="1622">
        <f>C8-C17</f>
        <v>-94957</v>
      </c>
      <c r="D20" s="1622">
        <f t="shared" ref="D20:K20" si="5">D8-D17</f>
        <v>-21426</v>
      </c>
      <c r="E20" s="1622">
        <f t="shared" si="5"/>
        <v>0</v>
      </c>
      <c r="F20" s="1622">
        <f t="shared" si="5"/>
        <v>-44622</v>
      </c>
      <c r="G20" s="1622">
        <f t="shared" si="5"/>
        <v>-36340</v>
      </c>
      <c r="H20" s="1622">
        <f t="shared" si="5"/>
        <v>0</v>
      </c>
      <c r="I20" s="1622">
        <f t="shared" si="5"/>
        <v>15258</v>
      </c>
      <c r="J20" s="1622">
        <f t="shared" si="5"/>
        <v>0</v>
      </c>
      <c r="K20" s="1622">
        <f t="shared" si="5"/>
        <v>29695</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v>50000</v>
      </c>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v>300000</v>
      </c>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5" t="s">
        <v>371</v>
      </c>
      <c r="B44" s="2246"/>
      <c r="C44" s="1624">
        <f>SUM(C24:C43)</f>
        <v>0</v>
      </c>
      <c r="D44" s="1624">
        <f t="shared" ref="D44:K44" si="6">SUM(D24:D43)</f>
        <v>300000</v>
      </c>
      <c r="E44" s="1624">
        <f t="shared" si="6"/>
        <v>0</v>
      </c>
      <c r="F44" s="1624">
        <f t="shared" si="6"/>
        <v>0</v>
      </c>
      <c r="G44" s="1624">
        <f t="shared" si="6"/>
        <v>50000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50000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v>300000</v>
      </c>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300000</v>
      </c>
      <c r="G76" s="1624">
        <f t="shared" si="7"/>
        <v>0</v>
      </c>
      <c r="H76" s="1624">
        <f t="shared" si="7"/>
        <v>0</v>
      </c>
      <c r="I76" s="1624">
        <f t="shared" si="7"/>
        <v>50000</v>
      </c>
      <c r="J76" s="1624">
        <f t="shared" si="7"/>
        <v>0</v>
      </c>
      <c r="K76" s="1624">
        <f t="shared" si="7"/>
        <v>0</v>
      </c>
      <c r="L76" s="453"/>
    </row>
    <row r="77" spans="1:12" ht="14.25" thickTop="1" thickBot="1" x14ac:dyDescent="0.25">
      <c r="A77" s="2223" t="s">
        <v>1167</v>
      </c>
      <c r="B77" s="2224"/>
      <c r="C77" s="1624">
        <f t="shared" ref="C77:K77" si="8">C44-C76</f>
        <v>0</v>
      </c>
      <c r="D77" s="1624">
        <f t="shared" si="8"/>
        <v>300000</v>
      </c>
      <c r="E77" s="1624">
        <f t="shared" si="8"/>
        <v>0</v>
      </c>
      <c r="F77" s="1624">
        <f t="shared" si="8"/>
        <v>-300000</v>
      </c>
      <c r="G77" s="1624">
        <f t="shared" si="8"/>
        <v>50000</v>
      </c>
      <c r="H77" s="1624">
        <f t="shared" si="8"/>
        <v>0</v>
      </c>
      <c r="I77" s="1624">
        <f t="shared" si="8"/>
        <v>-50000</v>
      </c>
      <c r="J77" s="1624">
        <f t="shared" si="8"/>
        <v>0</v>
      </c>
      <c r="K77" s="1624">
        <f t="shared" si="8"/>
        <v>0</v>
      </c>
      <c r="L77" s="325"/>
    </row>
    <row r="78" spans="1:12" ht="21.75" customHeight="1" thickTop="1" thickBot="1" x14ac:dyDescent="0.25">
      <c r="A78" s="2227" t="s">
        <v>593</v>
      </c>
      <c r="B78" s="2228"/>
      <c r="C78" s="1629">
        <f t="shared" ref="C78:K78" si="9">C20+C77</f>
        <v>-94957</v>
      </c>
      <c r="D78" s="1629">
        <f t="shared" si="9"/>
        <v>278574</v>
      </c>
      <c r="E78" s="1629">
        <f t="shared" si="9"/>
        <v>0</v>
      </c>
      <c r="F78" s="1629">
        <f t="shared" si="9"/>
        <v>-344622</v>
      </c>
      <c r="G78" s="1629">
        <f t="shared" si="9"/>
        <v>13660</v>
      </c>
      <c r="H78" s="1629">
        <f t="shared" si="9"/>
        <v>0</v>
      </c>
      <c r="I78" s="1629">
        <f t="shared" si="9"/>
        <v>-34742</v>
      </c>
      <c r="J78" s="1629">
        <f t="shared" si="9"/>
        <v>0</v>
      </c>
      <c r="K78" s="1629">
        <f t="shared" si="9"/>
        <v>29695</v>
      </c>
      <c r="L78" s="457"/>
    </row>
    <row r="79" spans="1:12" ht="13.5" thickTop="1" x14ac:dyDescent="0.2">
      <c r="A79" s="1844" t="str">
        <f>"Fund Balances - July 1, "&amp;'AFR20'!E2-1</f>
        <v>Fund Balances - July 1, 2019</v>
      </c>
      <c r="B79" s="458"/>
      <c r="C79" s="1583">
        <v>1443087</v>
      </c>
      <c r="D79" s="1630">
        <v>248600</v>
      </c>
      <c r="E79" s="1630">
        <v>0</v>
      </c>
      <c r="F79" s="1630">
        <v>592733</v>
      </c>
      <c r="G79" s="1630">
        <v>10705</v>
      </c>
      <c r="H79" s="1630">
        <v>0</v>
      </c>
      <c r="I79" s="1630">
        <v>179649</v>
      </c>
      <c r="J79" s="1630">
        <v>0</v>
      </c>
      <c r="K79" s="1630">
        <v>-163</v>
      </c>
      <c r="L79" s="325"/>
    </row>
    <row r="80" spans="1:12" x14ac:dyDescent="0.2">
      <c r="A80" s="2233" t="s">
        <v>1772</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1348130</v>
      </c>
      <c r="D81" s="1594">
        <f>SUM(D78:D80)</f>
        <v>527174</v>
      </c>
      <c r="E81" s="1594">
        <f t="shared" ref="E81:K81" si="10">SUM(E78:E80)</f>
        <v>0</v>
      </c>
      <c r="F81" s="1594">
        <f t="shared" si="10"/>
        <v>248111</v>
      </c>
      <c r="G81" s="1594">
        <f t="shared" si="10"/>
        <v>24365</v>
      </c>
      <c r="H81" s="1594">
        <f t="shared" si="10"/>
        <v>0</v>
      </c>
      <c r="I81" s="1594">
        <f t="shared" si="10"/>
        <v>144907</v>
      </c>
      <c r="J81" s="1594">
        <f t="shared" si="10"/>
        <v>0</v>
      </c>
      <c r="K81" s="1594">
        <f t="shared" si="10"/>
        <v>29532</v>
      </c>
      <c r="L81" s="325"/>
    </row>
    <row r="82" spans="1:12" ht="0.75" customHeight="1" thickTop="1" thickBot="1" x14ac:dyDescent="0.25">
      <c r="A82" s="459" t="s">
        <v>340</v>
      </c>
      <c r="B82" s="460"/>
      <c r="C82" s="461">
        <f>(C81-C79)</f>
        <v>-94957</v>
      </c>
      <c r="D82" s="461">
        <f t="shared" ref="D82:K82" si="11">(D81-D79)</f>
        <v>278574</v>
      </c>
      <c r="E82" s="461">
        <f t="shared" si="11"/>
        <v>0</v>
      </c>
      <c r="F82" s="461">
        <f t="shared" si="11"/>
        <v>-344622</v>
      </c>
      <c r="G82" s="461">
        <f t="shared" si="11"/>
        <v>13660</v>
      </c>
      <c r="H82" s="461">
        <f t="shared" si="11"/>
        <v>0</v>
      </c>
      <c r="I82" s="461">
        <f t="shared" si="11"/>
        <v>-34742</v>
      </c>
      <c r="J82" s="461">
        <f t="shared" si="11"/>
        <v>0</v>
      </c>
      <c r="K82" s="461">
        <f t="shared" si="11"/>
        <v>29695</v>
      </c>
    </row>
    <row r="83" spans="1:12" ht="14.25" hidden="1" thickTop="1" thickBot="1" x14ac:dyDescent="0.25">
      <c r="A83" s="462" t="s">
        <v>341</v>
      </c>
      <c r="B83" s="428"/>
      <c r="C83" s="463">
        <f>C82/C81</f>
        <v>-7.0436085540711943E-2</v>
      </c>
      <c r="D83" s="463">
        <f t="shared" ref="D83:K83" si="12">D82/D81</f>
        <v>0.52842894376429794</v>
      </c>
      <c r="E83" s="463" t="e">
        <f t="shared" si="12"/>
        <v>#DIV/0!</v>
      </c>
      <c r="F83" s="463">
        <f t="shared" si="12"/>
        <v>-1.388983156732269</v>
      </c>
      <c r="G83" s="463">
        <f t="shared" si="12"/>
        <v>0.5606402626718654</v>
      </c>
      <c r="H83" s="463" t="e">
        <f t="shared" si="12"/>
        <v>#DIV/0!</v>
      </c>
      <c r="I83" s="463">
        <f t="shared" si="12"/>
        <v>-0.23975377310964963</v>
      </c>
      <c r="J83" s="463" t="e">
        <f t="shared" si="12"/>
        <v>#DIV/0!</v>
      </c>
      <c r="K83" s="463">
        <f t="shared" si="12"/>
        <v>1.0055194365434106</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&amp;F&amp;RThe notes to the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5" sqref="C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1487884</v>
      </c>
      <c r="D5" s="1586">
        <v>245136</v>
      </c>
      <c r="E5" s="1573"/>
      <c r="F5" s="1631">
        <v>118033</v>
      </c>
      <c r="G5" s="1573">
        <v>47203</v>
      </c>
      <c r="H5" s="1573"/>
      <c r="I5" s="1573">
        <v>13204</v>
      </c>
      <c r="J5" s="1574"/>
      <c r="K5" s="1573">
        <v>29688</v>
      </c>
    </row>
    <row r="6" spans="1:12" ht="15" x14ac:dyDescent="0.2">
      <c r="A6" s="427" t="s">
        <v>1643</v>
      </c>
      <c r="B6" s="429">
        <v>1130</v>
      </c>
      <c r="C6" s="1573">
        <v>8175</v>
      </c>
      <c r="D6" s="1573"/>
      <c r="E6" s="1580"/>
      <c r="F6" s="1580"/>
      <c r="G6" s="1575"/>
      <c r="H6" s="1575"/>
      <c r="I6" s="1575"/>
      <c r="J6" s="1575"/>
      <c r="K6" s="1575"/>
    </row>
    <row r="7" spans="1:12" x14ac:dyDescent="0.2">
      <c r="A7" s="427" t="s">
        <v>110</v>
      </c>
      <c r="B7" s="471">
        <v>1140</v>
      </c>
      <c r="C7" s="1573">
        <v>49539</v>
      </c>
      <c r="D7" s="1573"/>
      <c r="E7" s="1575"/>
      <c r="F7" s="1574"/>
      <c r="G7" s="1574"/>
      <c r="H7" s="1574"/>
      <c r="I7" s="1575"/>
      <c r="J7" s="1575"/>
      <c r="K7" s="1575"/>
    </row>
    <row r="8" spans="1:12" x14ac:dyDescent="0.2">
      <c r="A8" s="427" t="s">
        <v>410</v>
      </c>
      <c r="B8" s="429">
        <v>1150</v>
      </c>
      <c r="C8" s="1580"/>
      <c r="D8" s="1580"/>
      <c r="E8" s="1582"/>
      <c r="F8" s="1582"/>
      <c r="G8" s="1586">
        <v>32157</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1545598</v>
      </c>
      <c r="D12" s="1633">
        <f t="shared" si="0"/>
        <v>245136</v>
      </c>
      <c r="E12" s="1633">
        <f t="shared" si="0"/>
        <v>0</v>
      </c>
      <c r="F12" s="1633">
        <f t="shared" si="0"/>
        <v>118033</v>
      </c>
      <c r="G12" s="1633">
        <f t="shared" si="0"/>
        <v>79360</v>
      </c>
      <c r="H12" s="1633">
        <f t="shared" si="0"/>
        <v>0</v>
      </c>
      <c r="I12" s="1633">
        <f t="shared" si="0"/>
        <v>13204</v>
      </c>
      <c r="J12" s="1633">
        <f t="shared" si="0"/>
        <v>0</v>
      </c>
      <c r="K12" s="1594">
        <f t="shared" si="0"/>
        <v>29688</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v>74651</v>
      </c>
      <c r="E16" s="1573"/>
      <c r="F16" s="1573"/>
      <c r="G16" s="1573">
        <v>1651</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74651</v>
      </c>
      <c r="E18" s="1635">
        <f t="shared" si="1"/>
        <v>0</v>
      </c>
      <c r="F18" s="1635">
        <f t="shared" si="1"/>
        <v>0</v>
      </c>
      <c r="G18" s="1635">
        <f t="shared" si="1"/>
        <v>1651</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13100</v>
      </c>
      <c r="D65" s="1573">
        <v>1962</v>
      </c>
      <c r="E65" s="1573"/>
      <c r="F65" s="1574">
        <v>3200</v>
      </c>
      <c r="G65" s="1573">
        <v>2</v>
      </c>
      <c r="H65" s="1573"/>
      <c r="I65" s="1573">
        <v>2054</v>
      </c>
      <c r="J65" s="1574"/>
      <c r="K65" s="1573">
        <v>7</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13100</v>
      </c>
      <c r="D67" s="1594">
        <f t="shared" ref="D67:K67" si="2">SUM(D65:D66)</f>
        <v>1962</v>
      </c>
      <c r="E67" s="1594">
        <f t="shared" si="2"/>
        <v>0</v>
      </c>
      <c r="F67" s="1594">
        <f t="shared" si="2"/>
        <v>3200</v>
      </c>
      <c r="G67" s="1594">
        <f t="shared" si="2"/>
        <v>2</v>
      </c>
      <c r="H67" s="1594">
        <f t="shared" si="2"/>
        <v>0</v>
      </c>
      <c r="I67" s="1594">
        <f t="shared" si="2"/>
        <v>2054</v>
      </c>
      <c r="J67" s="1594">
        <f t="shared" si="2"/>
        <v>0</v>
      </c>
      <c r="K67" s="1594">
        <f t="shared" si="2"/>
        <v>7</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22267</v>
      </c>
      <c r="D69" s="1575"/>
      <c r="E69" s="1575"/>
      <c r="F69" s="1575"/>
      <c r="G69" s="1575"/>
      <c r="H69" s="1575"/>
      <c r="I69" s="1575"/>
      <c r="J69" s="1575"/>
      <c r="K69" s="1575"/>
    </row>
    <row r="70" spans="1:11" ht="12.75" customHeight="1" x14ac:dyDescent="0.2">
      <c r="A70" s="427" t="s">
        <v>990</v>
      </c>
      <c r="B70" s="429">
        <v>1612</v>
      </c>
      <c r="C70" s="1632">
        <v>938</v>
      </c>
      <c r="D70" s="1575"/>
      <c r="E70" s="1575"/>
      <c r="F70" s="1575"/>
      <c r="G70" s="1575"/>
      <c r="H70" s="1575"/>
      <c r="I70" s="1575"/>
      <c r="J70" s="1575"/>
      <c r="K70" s="1575"/>
    </row>
    <row r="71" spans="1:11" ht="12.75" customHeight="1" x14ac:dyDescent="0.2">
      <c r="A71" s="427" t="s">
        <v>271</v>
      </c>
      <c r="B71" s="429">
        <v>1613</v>
      </c>
      <c r="C71" s="1632">
        <v>1415</v>
      </c>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3199</v>
      </c>
      <c r="D73" s="1575"/>
      <c r="E73" s="1575"/>
      <c r="F73" s="1575"/>
      <c r="G73" s="1575"/>
      <c r="H73" s="1575"/>
      <c r="I73" s="1575"/>
      <c r="J73" s="1575"/>
      <c r="K73" s="1575"/>
    </row>
    <row r="74" spans="1:11" ht="12.75" customHeight="1" x14ac:dyDescent="0.2">
      <c r="A74" s="427" t="s">
        <v>25</v>
      </c>
      <c r="B74" s="429">
        <v>1690</v>
      </c>
      <c r="C74" s="1632">
        <v>363</v>
      </c>
      <c r="D74" s="1575"/>
      <c r="E74" s="1575"/>
      <c r="F74" s="1575"/>
      <c r="G74" s="1575"/>
      <c r="H74" s="1575"/>
      <c r="I74" s="1575"/>
      <c r="J74" s="1575"/>
      <c r="K74" s="1575"/>
    </row>
    <row r="75" spans="1:11" ht="12.75" customHeight="1" thickBot="1" x14ac:dyDescent="0.25">
      <c r="A75" s="1406" t="s">
        <v>544</v>
      </c>
      <c r="B75" s="1407"/>
      <c r="C75" s="1594">
        <f>SUM(C69:C74)</f>
        <v>28182</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8990</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8990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15161</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15161</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v>32711</v>
      </c>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8562</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1001</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v>1527</v>
      </c>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553</v>
      </c>
      <c r="D107" s="1573"/>
      <c r="E107" s="1573"/>
      <c r="F107" s="1573"/>
      <c r="G107" s="1573"/>
      <c r="H107" s="1573"/>
      <c r="I107" s="1573"/>
      <c r="J107" s="1574"/>
      <c r="K107" s="1573"/>
    </row>
    <row r="108" spans="1:12" ht="12.75" customHeight="1" thickBot="1" x14ac:dyDescent="0.25">
      <c r="A108" s="1406" t="s">
        <v>484</v>
      </c>
      <c r="B108" s="1408"/>
      <c r="C108" s="1633">
        <f>SUM(C95:C107)</f>
        <v>11643</v>
      </c>
      <c r="D108" s="1633">
        <f t="shared" ref="D108:K108" si="3">SUM(D95:D107)</f>
        <v>32711</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1622674</v>
      </c>
      <c r="D109" s="1641">
        <f t="shared" si="4"/>
        <v>354460</v>
      </c>
      <c r="E109" s="1641">
        <f t="shared" si="4"/>
        <v>0</v>
      </c>
      <c r="F109" s="1641">
        <f t="shared" si="4"/>
        <v>121233</v>
      </c>
      <c r="G109" s="1641">
        <f t="shared" si="4"/>
        <v>81013</v>
      </c>
      <c r="H109" s="1641">
        <f t="shared" si="4"/>
        <v>0</v>
      </c>
      <c r="I109" s="1641">
        <f t="shared" si="4"/>
        <v>15258</v>
      </c>
      <c r="J109" s="1641">
        <f t="shared" si="4"/>
        <v>0</v>
      </c>
      <c r="K109" s="1629">
        <f t="shared" si="4"/>
        <v>29695</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3900</v>
      </c>
      <c r="D111" s="1586"/>
      <c r="E111" s="1640"/>
      <c r="F111" s="1586"/>
      <c r="G111" s="1586"/>
      <c r="H111" s="1640"/>
      <c r="I111" s="1575"/>
      <c r="J111" s="1575"/>
      <c r="K111" s="1575"/>
    </row>
    <row r="112" spans="1:12" ht="12.75" customHeight="1" x14ac:dyDescent="0.2">
      <c r="A112" s="427" t="s">
        <v>819</v>
      </c>
      <c r="B112" s="429">
        <v>2200</v>
      </c>
      <c r="C112" s="1632">
        <v>21109</v>
      </c>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25009</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567378</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567378</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3235</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3235</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397</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2169</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53179</v>
      </c>
      <c r="G152" s="1574"/>
      <c r="H152" s="1575"/>
      <c r="I152" s="1575"/>
      <c r="J152" s="1575"/>
      <c r="K152" s="1575"/>
    </row>
    <row r="153" spans="1:11" ht="12.75" customHeight="1" x14ac:dyDescent="0.2">
      <c r="A153" s="427" t="s">
        <v>1048</v>
      </c>
      <c r="B153" s="478">
        <v>3510</v>
      </c>
      <c r="C153" s="1632"/>
      <c r="D153" s="1573"/>
      <c r="E153" s="1640"/>
      <c r="F153" s="1573">
        <v>24030</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77209</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v>8384</v>
      </c>
      <c r="D168" s="1655"/>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14185</v>
      </c>
      <c r="D169" s="1658">
        <f t="shared" si="6"/>
        <v>50000</v>
      </c>
      <c r="E169" s="1658">
        <f t="shared" si="6"/>
        <v>0</v>
      </c>
      <c r="F169" s="1658">
        <f t="shared" si="6"/>
        <v>77209</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581563</v>
      </c>
      <c r="D170" s="1641">
        <f t="shared" si="7"/>
        <v>50000</v>
      </c>
      <c r="E170" s="1641">
        <f t="shared" si="7"/>
        <v>0</v>
      </c>
      <c r="F170" s="1641">
        <f t="shared" si="7"/>
        <v>77209</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v>35390</v>
      </c>
      <c r="D180" s="1573"/>
      <c r="E180" s="1575"/>
      <c r="F180" s="1573"/>
      <c r="G180" s="1573"/>
      <c r="H180" s="1573"/>
      <c r="I180" s="1575"/>
      <c r="J180" s="1575"/>
      <c r="K180" s="1573"/>
    </row>
    <row r="181" spans="1:11" ht="13.5" thickBot="1" x14ac:dyDescent="0.25">
      <c r="A181" s="2257" t="s">
        <v>780</v>
      </c>
      <c r="B181" s="2258"/>
      <c r="C181" s="1633">
        <f>SUM(C177:C180)</f>
        <v>35390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28337</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2830</v>
      </c>
      <c r="D193" s="1575"/>
      <c r="E193" s="1640"/>
      <c r="F193" s="1575"/>
      <c r="G193" s="1664"/>
      <c r="H193" s="1575"/>
      <c r="I193" s="1575"/>
      <c r="J193" s="1575"/>
      <c r="K193" s="1575"/>
    </row>
    <row r="194" spans="1:11" ht="12.75" customHeight="1" x14ac:dyDescent="0.2">
      <c r="A194" s="427" t="s">
        <v>1434</v>
      </c>
      <c r="B194" s="429">
        <v>4225</v>
      </c>
      <c r="C194" s="1632">
        <v>44061</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75228</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61663</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v>178539</v>
      </c>
      <c r="D203" s="1573"/>
      <c r="E203" s="1575"/>
      <c r="F203" s="1573"/>
      <c r="G203" s="1573"/>
      <c r="H203" s="1575"/>
      <c r="I203" s="1575"/>
      <c r="J203" s="1575"/>
      <c r="K203" s="1575"/>
    </row>
    <row r="204" spans="1:11" ht="12.75" customHeight="1" thickBot="1" x14ac:dyDescent="0.25">
      <c r="A204" s="1406" t="s">
        <v>397</v>
      </c>
      <c r="B204" s="1407"/>
      <c r="C204" s="1633">
        <f>SUM(C200:C203)</f>
        <v>240202</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14910</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3175</v>
      </c>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v>37676</v>
      </c>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371191</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406581</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2635827</v>
      </c>
      <c r="D268" s="1641">
        <f t="shared" si="12"/>
        <v>404460</v>
      </c>
      <c r="E268" s="1641">
        <f t="shared" si="12"/>
        <v>0</v>
      </c>
      <c r="F268" s="1641">
        <f t="shared" si="12"/>
        <v>198442</v>
      </c>
      <c r="G268" s="1641">
        <f t="shared" si="12"/>
        <v>81013</v>
      </c>
      <c r="H268" s="1641">
        <f t="shared" si="12"/>
        <v>0</v>
      </c>
      <c r="I268" s="1641">
        <f t="shared" si="12"/>
        <v>15258</v>
      </c>
      <c r="J268" s="1641">
        <f t="shared" si="12"/>
        <v>0</v>
      </c>
      <c r="K268" s="1629">
        <f t="shared" si="12"/>
        <v>29695</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&amp;F&amp;RThe notes to the financial statements are an integral part of this statement.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1"/>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7" t="s">
        <v>294</v>
      </c>
      <c r="B3" s="2268"/>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1263993</v>
      </c>
      <c r="D5" s="1573">
        <v>81065</v>
      </c>
      <c r="E5" s="1573">
        <v>33643</v>
      </c>
      <c r="F5" s="1573">
        <v>118780</v>
      </c>
      <c r="G5" s="1573">
        <v>93941</v>
      </c>
      <c r="H5" s="1573"/>
      <c r="I5" s="1574"/>
      <c r="J5" s="1574">
        <v>45</v>
      </c>
      <c r="K5" s="1672">
        <f>SUM(C5:J5)</f>
        <v>1591467</v>
      </c>
      <c r="L5" s="1573">
        <v>1339315</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52243</v>
      </c>
      <c r="D8" s="1573">
        <v>2424</v>
      </c>
      <c r="E8" s="1573"/>
      <c r="F8" s="1573"/>
      <c r="G8" s="1573"/>
      <c r="H8" s="1573"/>
      <c r="I8" s="1574"/>
      <c r="J8" s="1574">
        <v>4</v>
      </c>
      <c r="K8" s="1672">
        <f t="shared" si="0"/>
        <v>54671</v>
      </c>
      <c r="L8" s="1573">
        <v>52314</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c r="D10" s="1573"/>
      <c r="E10" s="1573"/>
      <c r="F10" s="1573"/>
      <c r="G10" s="1573"/>
      <c r="H10" s="1573"/>
      <c r="I10" s="1574"/>
      <c r="J10" s="1574"/>
      <c r="K10" s="1672">
        <f t="shared" si="0"/>
        <v>0</v>
      </c>
      <c r="L10" s="1573"/>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v>32</v>
      </c>
      <c r="E13" s="1573">
        <v>1390</v>
      </c>
      <c r="F13" s="1573">
        <v>8593</v>
      </c>
      <c r="G13" s="1573"/>
      <c r="H13" s="1573"/>
      <c r="I13" s="1574"/>
      <c r="J13" s="1574"/>
      <c r="K13" s="1672">
        <f t="shared" si="0"/>
        <v>10015</v>
      </c>
      <c r="L13" s="1573">
        <v>9345</v>
      </c>
    </row>
    <row r="14" spans="1:14" x14ac:dyDescent="0.2">
      <c r="A14" s="1274" t="s">
        <v>957</v>
      </c>
      <c r="B14" s="503">
        <v>1500</v>
      </c>
      <c r="C14" s="1573">
        <v>41387</v>
      </c>
      <c r="D14" s="1573">
        <v>749</v>
      </c>
      <c r="E14" s="1573">
        <v>16395</v>
      </c>
      <c r="F14" s="1573">
        <v>18042</v>
      </c>
      <c r="G14" s="1573">
        <v>2700</v>
      </c>
      <c r="H14" s="1573">
        <v>22026</v>
      </c>
      <c r="I14" s="1574"/>
      <c r="J14" s="1574"/>
      <c r="K14" s="1672">
        <f t="shared" si="0"/>
        <v>101299</v>
      </c>
      <c r="L14" s="1573">
        <v>87905</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1357623</v>
      </c>
      <c r="D33" s="1674">
        <f t="shared" ref="D33:L33" si="1">SUM(D5:D32)</f>
        <v>84270</v>
      </c>
      <c r="E33" s="1674">
        <f t="shared" si="1"/>
        <v>51428</v>
      </c>
      <c r="F33" s="1674">
        <f t="shared" si="1"/>
        <v>145415</v>
      </c>
      <c r="G33" s="1674">
        <f t="shared" si="1"/>
        <v>96641</v>
      </c>
      <c r="H33" s="1674">
        <f t="shared" si="1"/>
        <v>22026</v>
      </c>
      <c r="I33" s="1674">
        <f t="shared" si="1"/>
        <v>0</v>
      </c>
      <c r="J33" s="1674">
        <f t="shared" si="1"/>
        <v>49</v>
      </c>
      <c r="K33" s="1674">
        <f t="shared" si="1"/>
        <v>1757452</v>
      </c>
      <c r="L33" s="1674">
        <f t="shared" si="1"/>
        <v>1488879</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v>6934</v>
      </c>
      <c r="D37" s="1573">
        <v>398</v>
      </c>
      <c r="E37" s="1573"/>
      <c r="F37" s="1573"/>
      <c r="G37" s="1573"/>
      <c r="H37" s="1573"/>
      <c r="I37" s="1574"/>
      <c r="J37" s="1574"/>
      <c r="K37" s="1672">
        <f t="shared" si="2"/>
        <v>7332</v>
      </c>
      <c r="L37" s="1573">
        <v>7332</v>
      </c>
    </row>
    <row r="38" spans="1:14" x14ac:dyDescent="0.2">
      <c r="A38" s="1274" t="s">
        <v>196</v>
      </c>
      <c r="B38" s="503">
        <v>2130</v>
      </c>
      <c r="C38" s="1573">
        <v>14957</v>
      </c>
      <c r="D38" s="1573">
        <v>1</v>
      </c>
      <c r="E38" s="1573">
        <v>25</v>
      </c>
      <c r="F38" s="1573">
        <v>1292</v>
      </c>
      <c r="G38" s="1573">
        <v>1636</v>
      </c>
      <c r="H38" s="1573"/>
      <c r="I38" s="1574"/>
      <c r="J38" s="1574"/>
      <c r="K38" s="1672">
        <f t="shared" si="2"/>
        <v>17911</v>
      </c>
      <c r="L38" s="1573">
        <v>17674</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21891</v>
      </c>
      <c r="D42" s="1674">
        <f t="shared" ref="D42:L42" si="3">SUM(D36:D41)</f>
        <v>399</v>
      </c>
      <c r="E42" s="1674">
        <f t="shared" si="3"/>
        <v>25</v>
      </c>
      <c r="F42" s="1674">
        <f t="shared" si="3"/>
        <v>1292</v>
      </c>
      <c r="G42" s="1674">
        <f t="shared" si="3"/>
        <v>1636</v>
      </c>
      <c r="H42" s="1674">
        <f t="shared" si="3"/>
        <v>0</v>
      </c>
      <c r="I42" s="1674">
        <f t="shared" si="3"/>
        <v>0</v>
      </c>
      <c r="J42" s="1674">
        <f t="shared" si="3"/>
        <v>0</v>
      </c>
      <c r="K42" s="1674">
        <f t="shared" si="3"/>
        <v>25243</v>
      </c>
      <c r="L42" s="1674">
        <f t="shared" si="3"/>
        <v>25006</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1000</v>
      </c>
      <c r="D44" s="1586">
        <v>35</v>
      </c>
      <c r="E44" s="1586">
        <v>18761</v>
      </c>
      <c r="F44" s="1586">
        <v>34495</v>
      </c>
      <c r="G44" s="1586">
        <v>1345</v>
      </c>
      <c r="H44" s="1586"/>
      <c r="I44" s="1574"/>
      <c r="J44" s="1574"/>
      <c r="K44" s="1678">
        <f>SUM(C44:J44)</f>
        <v>55636</v>
      </c>
      <c r="L44" s="1586">
        <v>54877</v>
      </c>
    </row>
    <row r="45" spans="1:14" x14ac:dyDescent="0.2">
      <c r="A45" s="1274" t="s">
        <v>810</v>
      </c>
      <c r="B45" s="503">
        <v>2220</v>
      </c>
      <c r="C45" s="1573">
        <v>393</v>
      </c>
      <c r="D45" s="1573">
        <v>440</v>
      </c>
      <c r="E45" s="1573"/>
      <c r="F45" s="1573"/>
      <c r="G45" s="1573"/>
      <c r="H45" s="1573"/>
      <c r="I45" s="1574"/>
      <c r="J45" s="1574"/>
      <c r="K45" s="1678">
        <f>SUM(C45:J45)</f>
        <v>833</v>
      </c>
      <c r="L45" s="1573">
        <v>833</v>
      </c>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1393</v>
      </c>
      <c r="D47" s="1674">
        <f t="shared" ref="D47:K47" si="4">SUM(D44:D46)</f>
        <v>475</v>
      </c>
      <c r="E47" s="1674">
        <f t="shared" si="4"/>
        <v>18761</v>
      </c>
      <c r="F47" s="1674">
        <f t="shared" si="4"/>
        <v>34495</v>
      </c>
      <c r="G47" s="1674">
        <f t="shared" si="4"/>
        <v>1345</v>
      </c>
      <c r="H47" s="1674">
        <f t="shared" si="4"/>
        <v>0</v>
      </c>
      <c r="I47" s="1674">
        <f t="shared" si="4"/>
        <v>0</v>
      </c>
      <c r="J47" s="1674">
        <f t="shared" si="4"/>
        <v>0</v>
      </c>
      <c r="K47" s="1674">
        <f t="shared" si="4"/>
        <v>56469</v>
      </c>
      <c r="L47" s="1674">
        <f>SUM(L44:L46)</f>
        <v>55710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4000</v>
      </c>
      <c r="D49" s="1586"/>
      <c r="E49" s="1586">
        <v>76237</v>
      </c>
      <c r="F49" s="1586"/>
      <c r="G49" s="1586"/>
      <c r="H49" s="1586">
        <v>11198</v>
      </c>
      <c r="I49" s="1574"/>
      <c r="J49" s="1574"/>
      <c r="K49" s="1678">
        <f>SUM(C49:J49)</f>
        <v>91435</v>
      </c>
      <c r="L49" s="1586">
        <v>85734</v>
      </c>
    </row>
    <row r="50" spans="1:14" x14ac:dyDescent="0.2">
      <c r="A50" s="1274" t="s">
        <v>813</v>
      </c>
      <c r="B50" s="503">
        <v>2320</v>
      </c>
      <c r="C50" s="1573">
        <v>93923</v>
      </c>
      <c r="D50" s="1573">
        <v>12046</v>
      </c>
      <c r="E50" s="1573"/>
      <c r="F50" s="1573"/>
      <c r="G50" s="1573"/>
      <c r="H50" s="1573"/>
      <c r="I50" s="1574"/>
      <c r="J50" s="1574">
        <v>2</v>
      </c>
      <c r="K50" s="1678">
        <f>SUM(C50:J50)</f>
        <v>105971</v>
      </c>
      <c r="L50" s="1573">
        <v>97437</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97923</v>
      </c>
      <c r="D53" s="1674">
        <f t="shared" ref="D53:L53" si="5">SUM(D49:D52)</f>
        <v>12046</v>
      </c>
      <c r="E53" s="1674">
        <f t="shared" si="5"/>
        <v>76237</v>
      </c>
      <c r="F53" s="1674">
        <f t="shared" si="5"/>
        <v>0</v>
      </c>
      <c r="G53" s="1674">
        <f t="shared" si="5"/>
        <v>0</v>
      </c>
      <c r="H53" s="1674">
        <f t="shared" si="5"/>
        <v>11198</v>
      </c>
      <c r="I53" s="1674">
        <f t="shared" si="5"/>
        <v>0</v>
      </c>
      <c r="J53" s="1674">
        <f t="shared" si="5"/>
        <v>2</v>
      </c>
      <c r="K53" s="1674">
        <f t="shared" si="5"/>
        <v>197406</v>
      </c>
      <c r="L53" s="1674">
        <f t="shared" si="5"/>
        <v>183171</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137028</v>
      </c>
      <c r="D55" s="1586">
        <v>15060</v>
      </c>
      <c r="E55" s="1586">
        <v>1300</v>
      </c>
      <c r="F55" s="1586">
        <v>1647</v>
      </c>
      <c r="G55" s="1586"/>
      <c r="H55" s="1586">
        <v>356</v>
      </c>
      <c r="I55" s="1574"/>
      <c r="J55" s="1574">
        <v>4</v>
      </c>
      <c r="K55" s="1678">
        <f>SUM(C55:J55)</f>
        <v>155395</v>
      </c>
      <c r="L55" s="1586">
        <v>142996</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137028</v>
      </c>
      <c r="D57" s="1679">
        <f t="shared" ref="D57:K57" si="6">SUM(D55:D56)</f>
        <v>15060</v>
      </c>
      <c r="E57" s="1679">
        <f t="shared" si="6"/>
        <v>1300</v>
      </c>
      <c r="F57" s="1679">
        <f t="shared" si="6"/>
        <v>1647</v>
      </c>
      <c r="G57" s="1679">
        <f t="shared" si="6"/>
        <v>0</v>
      </c>
      <c r="H57" s="1679">
        <f t="shared" si="6"/>
        <v>356</v>
      </c>
      <c r="I57" s="1679">
        <f t="shared" si="6"/>
        <v>0</v>
      </c>
      <c r="J57" s="1679">
        <f t="shared" si="6"/>
        <v>4</v>
      </c>
      <c r="K57" s="1679">
        <f t="shared" si="6"/>
        <v>155395</v>
      </c>
      <c r="L57" s="1674">
        <f>SUM(L55:L56)</f>
        <v>142996</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111995</v>
      </c>
      <c r="D60" s="1573">
        <v>4324</v>
      </c>
      <c r="E60" s="1573">
        <v>168</v>
      </c>
      <c r="F60" s="1573">
        <v>6551</v>
      </c>
      <c r="G60" s="1573">
        <v>1347</v>
      </c>
      <c r="H60" s="1573">
        <v>366</v>
      </c>
      <c r="I60" s="1574"/>
      <c r="J60" s="1574">
        <v>7</v>
      </c>
      <c r="K60" s="1678">
        <f t="shared" si="7"/>
        <v>124758</v>
      </c>
      <c r="L60" s="1573">
        <v>112655</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v>2739</v>
      </c>
      <c r="F62" s="1573"/>
      <c r="G62" s="1573"/>
      <c r="H62" s="1573"/>
      <c r="I62" s="1574"/>
      <c r="J62" s="1574"/>
      <c r="K62" s="1678">
        <f t="shared" si="7"/>
        <v>2739</v>
      </c>
      <c r="L62" s="1573">
        <v>2739</v>
      </c>
      <c r="M62" s="501"/>
      <c r="N62" s="501"/>
    </row>
    <row r="63" spans="1:14" s="501" customFormat="1" x14ac:dyDescent="0.2">
      <c r="A63" s="1274" t="s">
        <v>100</v>
      </c>
      <c r="B63" s="503">
        <v>2560</v>
      </c>
      <c r="C63" s="1573">
        <v>61022</v>
      </c>
      <c r="D63" s="1573">
        <v>3897</v>
      </c>
      <c r="E63" s="1573">
        <v>2954</v>
      </c>
      <c r="F63" s="1573">
        <v>42066</v>
      </c>
      <c r="G63" s="1573">
        <v>3534</v>
      </c>
      <c r="H63" s="1573"/>
      <c r="I63" s="1574"/>
      <c r="J63" s="1574">
        <v>2</v>
      </c>
      <c r="K63" s="1678">
        <f t="shared" si="7"/>
        <v>113475</v>
      </c>
      <c r="L63" s="1573">
        <v>103241</v>
      </c>
    </row>
    <row r="64" spans="1:14" s="501" customFormat="1" x14ac:dyDescent="0.2">
      <c r="A64" s="1279" t="s">
        <v>101</v>
      </c>
      <c r="B64" s="513">
        <v>2570</v>
      </c>
      <c r="C64" s="1586"/>
      <c r="D64" s="1586"/>
      <c r="E64" s="1586">
        <v>220</v>
      </c>
      <c r="F64" s="1586"/>
      <c r="G64" s="1586"/>
      <c r="H64" s="1586"/>
      <c r="I64" s="1574"/>
      <c r="J64" s="1574"/>
      <c r="K64" s="1678">
        <f t="shared" si="7"/>
        <v>220</v>
      </c>
      <c r="L64" s="1586">
        <v>220</v>
      </c>
    </row>
    <row r="65" spans="1:14" s="321" customFormat="1" ht="12.75" customHeight="1" thickBot="1" x14ac:dyDescent="0.25">
      <c r="A65" s="1380" t="s">
        <v>714</v>
      </c>
      <c r="B65" s="1381" t="s">
        <v>35</v>
      </c>
      <c r="C65" s="1674">
        <f>SUM(C59:C64)</f>
        <v>173017</v>
      </c>
      <c r="D65" s="1674">
        <f t="shared" ref="D65:L65" si="8">SUM(D59:D64)</f>
        <v>8221</v>
      </c>
      <c r="E65" s="1674">
        <f t="shared" si="8"/>
        <v>6081</v>
      </c>
      <c r="F65" s="1674">
        <f t="shared" si="8"/>
        <v>48617</v>
      </c>
      <c r="G65" s="1674">
        <f t="shared" si="8"/>
        <v>4881</v>
      </c>
      <c r="H65" s="1674">
        <f t="shared" si="8"/>
        <v>366</v>
      </c>
      <c r="I65" s="1674">
        <f t="shared" si="8"/>
        <v>0</v>
      </c>
      <c r="J65" s="1674">
        <f t="shared" si="8"/>
        <v>9</v>
      </c>
      <c r="K65" s="1674">
        <f t="shared" si="8"/>
        <v>241192</v>
      </c>
      <c r="L65" s="1674">
        <f t="shared" si="8"/>
        <v>218855</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431252</v>
      </c>
      <c r="D74" s="1681">
        <f t="shared" ref="D74:K74" si="10">SUM(D42,D47,D53,D57,D65,D72,D73)</f>
        <v>36201</v>
      </c>
      <c r="E74" s="1681">
        <f t="shared" si="10"/>
        <v>102404</v>
      </c>
      <c r="F74" s="1681">
        <f t="shared" si="10"/>
        <v>86051</v>
      </c>
      <c r="G74" s="1681">
        <f t="shared" si="10"/>
        <v>7862</v>
      </c>
      <c r="H74" s="1681">
        <f t="shared" si="10"/>
        <v>11920</v>
      </c>
      <c r="I74" s="1681">
        <f t="shared" si="10"/>
        <v>0</v>
      </c>
      <c r="J74" s="1681">
        <f t="shared" si="10"/>
        <v>15</v>
      </c>
      <c r="K74" s="1681">
        <f t="shared" si="10"/>
        <v>675705</v>
      </c>
      <c r="L74" s="1681">
        <f>SUM(L42,L47,L53,L57,L65,L72,L73)</f>
        <v>625738</v>
      </c>
    </row>
    <row r="75" spans="1:14" s="254" customFormat="1" ht="15.75" customHeight="1" thickTop="1" thickBot="1" x14ac:dyDescent="0.25">
      <c r="A75" s="1348" t="s">
        <v>47</v>
      </c>
      <c r="B75" s="1349" t="s">
        <v>571</v>
      </c>
      <c r="C75" s="1649"/>
      <c r="D75" s="1649"/>
      <c r="E75" s="1649"/>
      <c r="F75" s="1649">
        <v>1066</v>
      </c>
      <c r="G75" s="1649"/>
      <c r="H75" s="1649"/>
      <c r="I75" s="1627"/>
      <c r="J75" s="1627"/>
      <c r="K75" s="1674">
        <f>SUM(C75:J75)</f>
        <v>1066</v>
      </c>
      <c r="L75" s="1651">
        <v>36016</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201067</v>
      </c>
      <c r="F79" s="1673"/>
      <c r="G79" s="1673"/>
      <c r="H79" s="1573"/>
      <c r="I79" s="1582"/>
      <c r="J79" s="1582"/>
      <c r="K79" s="1672">
        <f t="shared" si="11"/>
        <v>201067</v>
      </c>
      <c r="L79" s="1573">
        <v>201068</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v>5614</v>
      </c>
      <c r="F81" s="1673"/>
      <c r="G81" s="1673"/>
      <c r="H81" s="1573"/>
      <c r="I81" s="1582"/>
      <c r="J81" s="1582"/>
      <c r="K81" s="1672">
        <f t="shared" si="11"/>
        <v>5614</v>
      </c>
      <c r="L81" s="1573">
        <v>5614</v>
      </c>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v>28680</v>
      </c>
      <c r="F83" s="1673"/>
      <c r="G83" s="1673"/>
      <c r="H83" s="1573"/>
      <c r="I83" s="1582"/>
      <c r="J83" s="1582"/>
      <c r="K83" s="1672">
        <f t="shared" si="11"/>
        <v>28680</v>
      </c>
      <c r="L83" s="1573">
        <v>29380</v>
      </c>
    </row>
    <row r="84" spans="1:12" ht="13.5" thickBot="1" x14ac:dyDescent="0.25">
      <c r="A84" s="1380" t="s">
        <v>1468</v>
      </c>
      <c r="B84" s="1385">
        <v>4100</v>
      </c>
      <c r="C84" s="1673"/>
      <c r="D84" s="1673"/>
      <c r="E84" s="1674">
        <f>SUM(E78:E83)</f>
        <v>235361</v>
      </c>
      <c r="F84" s="1673"/>
      <c r="G84" s="1673"/>
      <c r="H84" s="1674">
        <f>SUM(H78:H83)</f>
        <v>0</v>
      </c>
      <c r="I84" s="1582"/>
      <c r="J84" s="1582"/>
      <c r="K84" s="1674">
        <f>SUM(K78:K83)</f>
        <v>235361</v>
      </c>
      <c r="L84" s="1674">
        <f>SUM(L78:L83)</f>
        <v>236062</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v>61200</v>
      </c>
      <c r="F99" s="1673"/>
      <c r="G99" s="1673"/>
      <c r="H99" s="1574"/>
      <c r="I99" s="1582"/>
      <c r="J99" s="1582"/>
      <c r="K99" s="1681">
        <f>SUM(E99,H99)</f>
        <v>61200</v>
      </c>
      <c r="L99" s="1626">
        <v>26250</v>
      </c>
    </row>
    <row r="100" spans="1:14" ht="14.25" thickTop="1" thickBot="1" x14ac:dyDescent="0.25">
      <c r="A100" s="1386" t="s">
        <v>1469</v>
      </c>
      <c r="B100" s="1387">
        <v>4300</v>
      </c>
      <c r="C100" s="1673"/>
      <c r="D100" s="1673"/>
      <c r="E100" s="1681">
        <f>SUM(E93:E99)</f>
        <v>61200</v>
      </c>
      <c r="F100" s="1673"/>
      <c r="G100" s="1673"/>
      <c r="H100" s="1681">
        <f>SUM(H93:H99)</f>
        <v>0</v>
      </c>
      <c r="I100" s="1582"/>
      <c r="J100" s="1582"/>
      <c r="K100" s="1681">
        <f>SUM(K93:K99)</f>
        <v>61200</v>
      </c>
      <c r="L100" s="1681">
        <f>SUM(L93:L99)</f>
        <v>26250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296561</v>
      </c>
      <c r="F102" s="1673"/>
      <c r="G102" s="1673"/>
      <c r="H102" s="1681">
        <f>SUM(H84,H92,H100,H101)</f>
        <v>0</v>
      </c>
      <c r="I102" s="1582"/>
      <c r="J102" s="1582"/>
      <c r="K102" s="1681">
        <f>SUM(K84,K92,K100,K101)</f>
        <v>296561</v>
      </c>
      <c r="L102" s="1681">
        <f>SUM(L84,L92,L100,L101)</f>
        <v>262312</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1788875</v>
      </c>
      <c r="D114" s="1674">
        <f t="shared" ref="D114:K114" si="13">SUM(D33,D74,D75,D102,D112,D113)</f>
        <v>120471</v>
      </c>
      <c r="E114" s="1674">
        <f t="shared" si="13"/>
        <v>450393</v>
      </c>
      <c r="F114" s="1674">
        <f t="shared" si="13"/>
        <v>232532</v>
      </c>
      <c r="G114" s="1674">
        <f t="shared" si="13"/>
        <v>104503</v>
      </c>
      <c r="H114" s="1674">
        <f>SUM(H33,H74,H75,H102,H112,H113)</f>
        <v>33946</v>
      </c>
      <c r="I114" s="1674">
        <f t="shared" si="13"/>
        <v>0</v>
      </c>
      <c r="J114" s="1674">
        <f t="shared" si="13"/>
        <v>64</v>
      </c>
      <c r="K114" s="1674">
        <f t="shared" si="13"/>
        <v>2730784</v>
      </c>
      <c r="L114" s="1674">
        <f>SUM(L33,L74,L75,L102,L112,L113)</f>
        <v>2412945</v>
      </c>
    </row>
    <row r="115" spans="1:14" ht="13.5" thickTop="1" x14ac:dyDescent="0.2">
      <c r="A115" s="2286" t="s">
        <v>989</v>
      </c>
      <c r="B115" s="2287"/>
      <c r="C115" s="1675"/>
      <c r="D115" s="1675"/>
      <c r="E115" s="1675"/>
      <c r="F115" s="1675"/>
      <c r="G115" s="1675"/>
      <c r="H115" s="1675"/>
      <c r="I115" s="1675"/>
      <c r="J115" s="1675"/>
      <c r="K115" s="1689">
        <f>'Revenues 9-14'!C268-'Expenditures 15-22'!K114</f>
        <v>-94957</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4" t="s">
        <v>293</v>
      </c>
      <c r="B117" s="2265"/>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v>6912</v>
      </c>
      <c r="F123" s="1573"/>
      <c r="G123" s="1573"/>
      <c r="H123" s="1573"/>
      <c r="I123" s="1574"/>
      <c r="J123" s="1574"/>
      <c r="K123" s="1674">
        <f>SUM(C123:J123)</f>
        <v>6912</v>
      </c>
      <c r="L123" s="1573">
        <v>6912</v>
      </c>
    </row>
    <row r="124" spans="1:14" ht="14.25" thickTop="1" thickBot="1" x14ac:dyDescent="0.25">
      <c r="A124" s="1274" t="s">
        <v>195</v>
      </c>
      <c r="B124" s="503">
        <v>2540</v>
      </c>
      <c r="C124" s="1573">
        <v>142677</v>
      </c>
      <c r="D124" s="1573">
        <v>8674</v>
      </c>
      <c r="E124" s="1573">
        <v>64955</v>
      </c>
      <c r="F124" s="1573">
        <v>88261</v>
      </c>
      <c r="G124" s="1573">
        <v>114402</v>
      </c>
      <c r="H124" s="1573"/>
      <c r="I124" s="1574"/>
      <c r="J124" s="1574">
        <v>5</v>
      </c>
      <c r="K124" s="1674">
        <f>SUM(C124:J124)</f>
        <v>418974</v>
      </c>
      <c r="L124" s="1573">
        <v>398770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142677</v>
      </c>
      <c r="D127" s="1674">
        <f t="shared" ref="D127:L127" si="14">SUM(D122:D126)</f>
        <v>8674</v>
      </c>
      <c r="E127" s="1674">
        <f t="shared" si="14"/>
        <v>71867</v>
      </c>
      <c r="F127" s="1674">
        <f t="shared" si="14"/>
        <v>88261</v>
      </c>
      <c r="G127" s="1674">
        <f t="shared" si="14"/>
        <v>114402</v>
      </c>
      <c r="H127" s="1674">
        <f t="shared" si="14"/>
        <v>0</v>
      </c>
      <c r="I127" s="1674">
        <f t="shared" si="14"/>
        <v>0</v>
      </c>
      <c r="J127" s="1674">
        <f t="shared" si="14"/>
        <v>5</v>
      </c>
      <c r="K127" s="1674">
        <f t="shared" si="14"/>
        <v>425886</v>
      </c>
      <c r="L127" s="1674">
        <f t="shared" si="14"/>
        <v>405682</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142677</v>
      </c>
      <c r="D129" s="1681">
        <f t="shared" ref="D129:L129" si="15">SUM(D120,D127,D128)</f>
        <v>8674</v>
      </c>
      <c r="E129" s="1681">
        <f t="shared" si="15"/>
        <v>71867</v>
      </c>
      <c r="F129" s="1681">
        <f t="shared" si="15"/>
        <v>88261</v>
      </c>
      <c r="G129" s="1681">
        <f t="shared" si="15"/>
        <v>114402</v>
      </c>
      <c r="H129" s="1681">
        <f t="shared" si="15"/>
        <v>0</v>
      </c>
      <c r="I129" s="1681">
        <f t="shared" si="15"/>
        <v>0</v>
      </c>
      <c r="J129" s="1681">
        <f t="shared" si="15"/>
        <v>5</v>
      </c>
      <c r="K129" s="1681">
        <f t="shared" si="15"/>
        <v>425886</v>
      </c>
      <c r="L129" s="1681">
        <f t="shared" si="15"/>
        <v>405682</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6" t="s">
        <v>616</v>
      </c>
      <c r="B151" s="2258"/>
      <c r="C151" s="1674">
        <f>SUM(C129,C130,C139,C149,C150)</f>
        <v>142677</v>
      </c>
      <c r="D151" s="1674">
        <f t="shared" ref="D151:K151" si="16">SUM(D129,D130,D139,D149,D150)</f>
        <v>8674</v>
      </c>
      <c r="E151" s="1674">
        <f t="shared" si="16"/>
        <v>71867</v>
      </c>
      <c r="F151" s="1674">
        <f t="shared" si="16"/>
        <v>88261</v>
      </c>
      <c r="G151" s="1674">
        <f t="shared" si="16"/>
        <v>114402</v>
      </c>
      <c r="H151" s="1674">
        <f t="shared" si="16"/>
        <v>0</v>
      </c>
      <c r="I151" s="1674">
        <f t="shared" si="16"/>
        <v>0</v>
      </c>
      <c r="J151" s="1674">
        <f t="shared" si="16"/>
        <v>5</v>
      </c>
      <c r="K151" s="1674">
        <f t="shared" si="16"/>
        <v>425886</v>
      </c>
      <c r="L151" s="1674">
        <f>SUM(L129,L130,L139,L149,L150)</f>
        <v>405682</v>
      </c>
    </row>
    <row r="152" spans="1:14" ht="12.75" customHeight="1" thickTop="1" x14ac:dyDescent="0.2">
      <c r="A152" s="2279" t="s">
        <v>1168</v>
      </c>
      <c r="B152" s="2280"/>
      <c r="C152" s="1675"/>
      <c r="D152" s="1675"/>
      <c r="E152" s="1675"/>
      <c r="F152" s="1675"/>
      <c r="G152" s="1675"/>
      <c r="H152" s="1675"/>
      <c r="I152" s="1675"/>
      <c r="J152" s="1673"/>
      <c r="K152" s="1689">
        <f>'Revenues 9-14'!D268-'Expenditures 15-22'!K151</f>
        <v>-21426</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4" t="s">
        <v>617</v>
      </c>
      <c r="B154" s="2266"/>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row>
    <row r="170" spans="1:14" ht="33.75" customHeight="1" x14ac:dyDescent="0.2">
      <c r="A170" s="543" t="s">
        <v>1651</v>
      </c>
      <c r="B170" s="545" t="s">
        <v>31</v>
      </c>
      <c r="C170" s="1673"/>
      <c r="D170" s="1673"/>
      <c r="E170" s="1673"/>
      <c r="F170" s="1673"/>
      <c r="G170" s="1673"/>
      <c r="H170" s="1646"/>
      <c r="I170" s="1673"/>
      <c r="J170" s="1673"/>
      <c r="K170" s="1672">
        <f>SUM(C170:J170)</f>
        <v>0</v>
      </c>
      <c r="L170" s="1646"/>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86" t="s">
        <v>989</v>
      </c>
      <c r="B175" s="2287"/>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145655</v>
      </c>
      <c r="D182" s="1573">
        <v>6657</v>
      </c>
      <c r="E182" s="1573">
        <v>5843</v>
      </c>
      <c r="F182" s="1573">
        <v>23126</v>
      </c>
      <c r="G182" s="1573">
        <v>59999</v>
      </c>
      <c r="H182" s="1573">
        <v>1779</v>
      </c>
      <c r="I182" s="1574"/>
      <c r="J182" s="1574">
        <v>5</v>
      </c>
      <c r="K182" s="1672">
        <f>SUM(C182:J182)</f>
        <v>243064</v>
      </c>
      <c r="L182" s="1573">
        <v>220352</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145655</v>
      </c>
      <c r="D184" s="1681">
        <f t="shared" ref="D184:J184" si="17">SUM(D180,D182,D183)</f>
        <v>6657</v>
      </c>
      <c r="E184" s="1681">
        <f t="shared" si="17"/>
        <v>5843</v>
      </c>
      <c r="F184" s="1681">
        <f t="shared" si="17"/>
        <v>23126</v>
      </c>
      <c r="G184" s="1681">
        <f t="shared" si="17"/>
        <v>59999</v>
      </c>
      <c r="H184" s="1681">
        <f t="shared" si="17"/>
        <v>1779</v>
      </c>
      <c r="I184" s="1681">
        <f t="shared" si="17"/>
        <v>0</v>
      </c>
      <c r="J184" s="1681">
        <f t="shared" si="17"/>
        <v>5</v>
      </c>
      <c r="K184" s="1681">
        <f>SUM(K180,K182,K183)</f>
        <v>243064</v>
      </c>
      <c r="L184" s="1681">
        <f>SUM(L180, L182:L183)</f>
        <v>220352</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145655</v>
      </c>
      <c r="D210" s="1674">
        <f>SUM(D184,D185)</f>
        <v>6657</v>
      </c>
      <c r="E210" s="1674">
        <f>SUM(E184,E185,E196)</f>
        <v>5843</v>
      </c>
      <c r="F210" s="1674">
        <f>SUM(F184,F185)</f>
        <v>23126</v>
      </c>
      <c r="G210" s="1674">
        <f>SUM(G184,G185)</f>
        <v>59999</v>
      </c>
      <c r="H210" s="1674">
        <f>SUM(H184,H185,H196,H208,H209)</f>
        <v>1779</v>
      </c>
      <c r="I210" s="1674">
        <f>SUM(I184,I185)</f>
        <v>0</v>
      </c>
      <c r="J210" s="1674">
        <f>SUM(J184,J185)</f>
        <v>5</v>
      </c>
      <c r="K210" s="1672">
        <f>SUM(K184,K185,K196,K208,K209)</f>
        <v>243064</v>
      </c>
      <c r="L210" s="1674">
        <f>SUM(L184,L185,L196,L208,L209)</f>
        <v>220352</v>
      </c>
    </row>
    <row r="211" spans="1:14" ht="13.5" thickTop="1" x14ac:dyDescent="0.2">
      <c r="A211" s="2286" t="s">
        <v>989</v>
      </c>
      <c r="B211" s="2287"/>
      <c r="C211" s="1675"/>
      <c r="D211" s="1675"/>
      <c r="E211" s="1675"/>
      <c r="F211" s="1675"/>
      <c r="G211" s="1675"/>
      <c r="H211" s="1675"/>
      <c r="I211" s="1673"/>
      <c r="J211" s="1673"/>
      <c r="K211" s="1689">
        <f>'Revenues 9-14'!F268-'Expenditures 15-22'!K210</f>
        <v>-44622</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1" t="s">
        <v>959</v>
      </c>
      <c r="B213" s="2282"/>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26421</v>
      </c>
      <c r="E215" s="1673"/>
      <c r="F215" s="1673"/>
      <c r="G215" s="1673"/>
      <c r="H215" s="1673"/>
      <c r="I215" s="1673"/>
      <c r="J215" s="1673"/>
      <c r="K215" s="1672">
        <f>D215</f>
        <v>26421</v>
      </c>
      <c r="L215" s="1573">
        <v>24399</v>
      </c>
    </row>
    <row r="216" spans="1:14" x14ac:dyDescent="0.2">
      <c r="A216" s="1274" t="s">
        <v>162</v>
      </c>
      <c r="B216" s="503" t="s">
        <v>961</v>
      </c>
      <c r="C216" s="1673"/>
      <c r="D216" s="1574"/>
      <c r="E216" s="1673"/>
      <c r="F216" s="1673"/>
      <c r="G216" s="1673"/>
      <c r="H216" s="1673"/>
      <c r="I216" s="1673"/>
      <c r="J216" s="1673"/>
      <c r="K216" s="1672">
        <f t="shared" ref="K216:K228" si="19">D216</f>
        <v>0</v>
      </c>
      <c r="L216" s="1573">
        <v>-24</v>
      </c>
    </row>
    <row r="217" spans="1:14" x14ac:dyDescent="0.2">
      <c r="A217" s="1274" t="s">
        <v>163</v>
      </c>
      <c r="B217" s="503">
        <v>1200</v>
      </c>
      <c r="C217" s="1673"/>
      <c r="D217" s="1573">
        <v>6870</v>
      </c>
      <c r="E217" s="1673"/>
      <c r="F217" s="1673"/>
      <c r="G217" s="1673"/>
      <c r="H217" s="1673"/>
      <c r="I217" s="1673"/>
      <c r="J217" s="1673"/>
      <c r="K217" s="1672">
        <f t="shared" si="19"/>
        <v>6870</v>
      </c>
      <c r="L217" s="1573">
        <v>6500</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v>20</v>
      </c>
      <c r="E222" s="1673"/>
      <c r="F222" s="1673"/>
      <c r="G222" s="1673"/>
      <c r="H222" s="1673"/>
      <c r="I222" s="1673"/>
      <c r="J222" s="1673"/>
      <c r="K222" s="1672">
        <f t="shared" si="19"/>
        <v>20</v>
      </c>
      <c r="L222" s="1573">
        <v>20</v>
      </c>
    </row>
    <row r="223" spans="1:14" x14ac:dyDescent="0.2">
      <c r="A223" s="1274" t="s">
        <v>957</v>
      </c>
      <c r="B223" s="503">
        <v>1500</v>
      </c>
      <c r="C223" s="1673"/>
      <c r="D223" s="1573">
        <v>1926</v>
      </c>
      <c r="E223" s="1673"/>
      <c r="F223" s="1673"/>
      <c r="G223" s="1673"/>
      <c r="H223" s="1673"/>
      <c r="I223" s="1673"/>
      <c r="J223" s="1673"/>
      <c r="K223" s="1672">
        <f t="shared" si="19"/>
        <v>1926</v>
      </c>
      <c r="L223" s="1573">
        <v>1926</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35237</v>
      </c>
      <c r="E229" s="1673"/>
      <c r="F229" s="1673"/>
      <c r="G229" s="1673"/>
      <c r="H229" s="1673"/>
      <c r="I229" s="1673"/>
      <c r="J229" s="1673"/>
      <c r="K229" s="1674">
        <f>SUM(K215:K228)</f>
        <v>35237</v>
      </c>
      <c r="L229" s="1674">
        <f>SUM(L215:L228)</f>
        <v>32821</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v>101</v>
      </c>
      <c r="E233" s="1673"/>
      <c r="F233" s="1673"/>
      <c r="G233" s="1673"/>
      <c r="H233" s="1673"/>
      <c r="I233" s="1673"/>
      <c r="J233" s="1673"/>
      <c r="K233" s="1672">
        <f t="shared" si="20"/>
        <v>101</v>
      </c>
      <c r="L233" s="1573">
        <v>101</v>
      </c>
    </row>
    <row r="234" spans="1:12" x14ac:dyDescent="0.2">
      <c r="A234" s="1274" t="s">
        <v>196</v>
      </c>
      <c r="B234" s="503">
        <v>2130</v>
      </c>
      <c r="C234" s="1673"/>
      <c r="D234" s="1573">
        <v>2039</v>
      </c>
      <c r="E234" s="1673"/>
      <c r="F234" s="1673"/>
      <c r="G234" s="1673"/>
      <c r="H234" s="1673"/>
      <c r="I234" s="1673"/>
      <c r="J234" s="1673"/>
      <c r="K234" s="1672">
        <f t="shared" si="20"/>
        <v>2039</v>
      </c>
      <c r="L234" s="1573">
        <v>2039</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2140</v>
      </c>
      <c r="E238" s="1673"/>
      <c r="F238" s="1673"/>
      <c r="G238" s="1673"/>
      <c r="H238" s="1673"/>
      <c r="I238" s="1673"/>
      <c r="J238" s="1673"/>
      <c r="K238" s="1674">
        <f>SUM(K232:K237)</f>
        <v>2140</v>
      </c>
      <c r="L238" s="1674">
        <f>SUM(L232:L237)</f>
        <v>2140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51</v>
      </c>
      <c r="E240" s="1673"/>
      <c r="F240" s="1673"/>
      <c r="G240" s="1673"/>
      <c r="H240" s="1673"/>
      <c r="I240" s="1673"/>
      <c r="J240" s="1673"/>
      <c r="K240" s="1678">
        <f>D240</f>
        <v>51</v>
      </c>
      <c r="L240" s="1586">
        <v>51</v>
      </c>
    </row>
    <row r="241" spans="1:12" x14ac:dyDescent="0.2">
      <c r="A241" s="1274" t="s">
        <v>810</v>
      </c>
      <c r="B241" s="503">
        <v>2220</v>
      </c>
      <c r="C241" s="1673"/>
      <c r="D241" s="1573">
        <v>61</v>
      </c>
      <c r="E241" s="1673"/>
      <c r="F241" s="1673"/>
      <c r="G241" s="1673"/>
      <c r="H241" s="1673"/>
      <c r="I241" s="1673"/>
      <c r="J241" s="1673"/>
      <c r="K241" s="1678">
        <f>D241</f>
        <v>61</v>
      </c>
      <c r="L241" s="1573">
        <v>61</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112</v>
      </c>
      <c r="E243" s="1673"/>
      <c r="F243" s="1673"/>
      <c r="G243" s="1673"/>
      <c r="H243" s="1673"/>
      <c r="I243" s="1673"/>
      <c r="J243" s="1673"/>
      <c r="K243" s="1674">
        <f>SUM(K240:K242)</f>
        <v>112</v>
      </c>
      <c r="L243" s="1674">
        <f>SUM(L240:L242)</f>
        <v>112</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306</v>
      </c>
      <c r="E245" s="1673"/>
      <c r="F245" s="1673"/>
      <c r="G245" s="1673"/>
      <c r="H245" s="1673"/>
      <c r="I245" s="1673"/>
      <c r="J245" s="1673"/>
      <c r="K245" s="1678">
        <f>D245</f>
        <v>306</v>
      </c>
      <c r="L245" s="1586">
        <v>281</v>
      </c>
    </row>
    <row r="246" spans="1:12" x14ac:dyDescent="0.2">
      <c r="A246" s="1274" t="s">
        <v>813</v>
      </c>
      <c r="B246" s="503">
        <v>2320</v>
      </c>
      <c r="C246" s="1673"/>
      <c r="D246" s="1573">
        <v>1362</v>
      </c>
      <c r="E246" s="1673"/>
      <c r="F246" s="1673"/>
      <c r="G246" s="1673"/>
      <c r="H246" s="1673"/>
      <c r="I246" s="1673"/>
      <c r="J246" s="1673"/>
      <c r="K246" s="1678">
        <f t="shared" ref="K246:K256" si="21">D246</f>
        <v>1362</v>
      </c>
      <c r="L246" s="1573">
        <v>1251</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1668</v>
      </c>
      <c r="E257" s="1673"/>
      <c r="F257" s="1673"/>
      <c r="G257" s="1673"/>
      <c r="H257" s="1673"/>
      <c r="I257" s="1673"/>
      <c r="J257" s="1673"/>
      <c r="K257" s="1674">
        <f>SUM(K245:K256)</f>
        <v>1668</v>
      </c>
      <c r="L257" s="1674">
        <f>SUM(L245:L256)</f>
        <v>1532</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9360</v>
      </c>
      <c r="E259" s="1673"/>
      <c r="F259" s="1673"/>
      <c r="G259" s="1673"/>
      <c r="H259" s="1673"/>
      <c r="I259" s="1673"/>
      <c r="J259" s="1673"/>
      <c r="K259" s="1678">
        <f>D259</f>
        <v>9360</v>
      </c>
      <c r="L259" s="1586">
        <v>8482</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9360</v>
      </c>
      <c r="E261" s="1673"/>
      <c r="F261" s="1673"/>
      <c r="G261" s="1673"/>
      <c r="H261" s="1673"/>
      <c r="I261" s="1673"/>
      <c r="J261" s="1673"/>
      <c r="K261" s="1674">
        <f>SUM(K259:K260)</f>
        <v>9360</v>
      </c>
      <c r="L261" s="1674">
        <f>SUM(L259:L260)</f>
        <v>8482</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17654</v>
      </c>
      <c r="E264" s="1673"/>
      <c r="F264" s="1673"/>
      <c r="G264" s="1673"/>
      <c r="H264" s="1673"/>
      <c r="I264" s="1673"/>
      <c r="J264" s="1673"/>
      <c r="K264" s="1678">
        <f t="shared" ref="K264:K269" si="22">D264</f>
        <v>17654</v>
      </c>
      <c r="L264" s="1573">
        <v>15721</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20926</v>
      </c>
      <c r="E266" s="1673"/>
      <c r="F266" s="1673"/>
      <c r="G266" s="1673"/>
      <c r="H266" s="1673"/>
      <c r="I266" s="1673"/>
      <c r="J266" s="1673"/>
      <c r="K266" s="1678">
        <f t="shared" si="22"/>
        <v>20926</v>
      </c>
      <c r="L266" s="1573">
        <v>19014</v>
      </c>
    </row>
    <row r="267" spans="1:14" x14ac:dyDescent="0.2">
      <c r="A267" s="1274" t="s">
        <v>947</v>
      </c>
      <c r="B267" s="503">
        <v>2550</v>
      </c>
      <c r="C267" s="1673"/>
      <c r="D267" s="1573">
        <v>20804</v>
      </c>
      <c r="E267" s="1673"/>
      <c r="F267" s="1673"/>
      <c r="G267" s="1673"/>
      <c r="H267" s="1673"/>
      <c r="I267" s="1673"/>
      <c r="J267" s="1673"/>
      <c r="K267" s="1678">
        <f t="shared" si="22"/>
        <v>20804</v>
      </c>
      <c r="L267" s="1573">
        <v>17890</v>
      </c>
    </row>
    <row r="268" spans="1:14" x14ac:dyDescent="0.2">
      <c r="A268" s="1274" t="s">
        <v>100</v>
      </c>
      <c r="B268" s="503">
        <v>2560</v>
      </c>
      <c r="C268" s="1673"/>
      <c r="D268" s="1573">
        <v>9452</v>
      </c>
      <c r="E268" s="1673"/>
      <c r="F268" s="1673"/>
      <c r="G268" s="1673"/>
      <c r="H268" s="1673"/>
      <c r="I268" s="1673"/>
      <c r="J268" s="1673"/>
      <c r="K268" s="1678">
        <f t="shared" si="22"/>
        <v>9452</v>
      </c>
      <c r="L268" s="1573">
        <v>8592</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68836</v>
      </c>
      <c r="E270" s="1673"/>
      <c r="F270" s="1673"/>
      <c r="G270" s="1673"/>
      <c r="H270" s="1673"/>
      <c r="I270" s="1673"/>
      <c r="J270" s="1673"/>
      <c r="K270" s="1674">
        <f>SUM(K263:K269)</f>
        <v>68836</v>
      </c>
      <c r="L270" s="1674">
        <f>SUM(L263:L269)</f>
        <v>61217</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82116</v>
      </c>
      <c r="E279" s="1673"/>
      <c r="F279" s="1673"/>
      <c r="G279" s="1673"/>
      <c r="H279" s="1673"/>
      <c r="I279" s="1673"/>
      <c r="J279" s="1673"/>
      <c r="K279" s="1681">
        <f>SUM(K238,K243,K257,K261,K270,K277,K278)</f>
        <v>82116</v>
      </c>
      <c r="L279" s="1681">
        <f>SUM(L238,L243,L257,L261,L270,L277,L278)</f>
        <v>73483</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7" t="s">
        <v>502</v>
      </c>
      <c r="B295" s="2278"/>
      <c r="C295" s="1673"/>
      <c r="D295" s="1674">
        <f>SUM(D229,D279,D280,D285)</f>
        <v>117353</v>
      </c>
      <c r="E295" s="1673"/>
      <c r="F295" s="1673"/>
      <c r="G295" s="1673"/>
      <c r="H295" s="1674">
        <f>H293</f>
        <v>0</v>
      </c>
      <c r="I295" s="1673"/>
      <c r="J295" s="1673"/>
      <c r="K295" s="1674">
        <f>SUM(K229,K279,K280,K285,K293,K294)</f>
        <v>117353</v>
      </c>
      <c r="L295" s="1674">
        <f>SUM(L229,L279,L280,L285,L293,L294)</f>
        <v>106304</v>
      </c>
    </row>
    <row r="296" spans="1:14" ht="13.5" thickTop="1" x14ac:dyDescent="0.2">
      <c r="A296" s="2286" t="s">
        <v>989</v>
      </c>
      <c r="B296" s="2287"/>
      <c r="C296" s="1673"/>
      <c r="D296" s="1675"/>
      <c r="E296" s="1673"/>
      <c r="F296" s="1673"/>
      <c r="G296" s="1673"/>
      <c r="H296" s="1707"/>
      <c r="I296" s="1673"/>
      <c r="J296" s="1673"/>
      <c r="K296" s="1689">
        <f>'Revenues 9-14'!G268-'Expenditures 15-22'!K295</f>
        <v>-36340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69" t="s">
        <v>142</v>
      </c>
      <c r="B298" s="2263"/>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4" t="s">
        <v>275</v>
      </c>
      <c r="B312" s="2275"/>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0" t="s">
        <v>989</v>
      </c>
      <c r="B313" s="2271"/>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3" t="s">
        <v>148</v>
      </c>
      <c r="B315" s="2284"/>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5" t="s">
        <v>892</v>
      </c>
      <c r="B317" s="2284"/>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72" t="s">
        <v>989</v>
      </c>
      <c r="B343" s="2273"/>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2" t="s">
        <v>960</v>
      </c>
      <c r="B345" s="2263"/>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86" t="s">
        <v>989</v>
      </c>
      <c r="B368" s="2287"/>
      <c r="C368" s="1694"/>
      <c r="D368" s="1694"/>
      <c r="E368" s="1677"/>
      <c r="F368" s="1677"/>
      <c r="G368" s="1677"/>
      <c r="H368" s="1677"/>
      <c r="I368" s="1677"/>
      <c r="J368" s="1676"/>
      <c r="K368" s="1672">
        <f>'Revenues 9-14'!K268-'Expenditures 15-22'!K367</f>
        <v>29695</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&amp;F&amp;RThe notes to the financial statements are an integral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sharepoint/v3"/>
    <ds:schemaRef ds:uri="d21dc803-237d-4c68-8692-8d731fd29118"/>
    <ds:schemaRef ds:uri="http://schemas.microsoft.com/office/infopath/2007/PartnerControls"/>
    <ds:schemaRef ds:uri="http://schemas.microsoft.com/office/2006/documentManagement/types"/>
    <ds:schemaRef ds:uri="http://purl.org/dc/dcmitype/"/>
    <ds:schemaRef ds:uri="http://www.w3.org/XML/1998/namespace"/>
    <ds:schemaRef ds:uri="4d435f69-8686-490b-bd6d-b153bf22ab50"/>
    <ds:schemaRef ds:uri="http://schemas.microsoft.com/office/2006/metadata/properties"/>
    <ds:schemaRef ds:uri="http://schemas.openxmlformats.org/package/2006/metadata/core-properties"/>
    <ds:schemaRef ds:uri="6ce3111e-7420-4802-b50a-75d4e9a0b980"/>
    <ds:schemaRef ds:uri="http://purl.org/dc/terms/"/>
    <ds:schemaRef ds:uri="http://purl.org/dc/elements/1.1/"/>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2020-12-21T20:30:27Z</cp:lastPrinted>
  <dcterms:created xsi:type="dcterms:W3CDTF">2003-10-29T19:06:34Z</dcterms:created>
  <dcterms:modified xsi:type="dcterms:W3CDTF">2020-12-28T19:55:31Z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