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FFB8BAB-010A-4162-B4F0-A26054F0063A}" xr6:coauthVersionLast="36" xr6:coauthVersionMax="36" xr10:uidLastSave="{00000000-0000-0000-0000-000000000000}"/>
  <bookViews>
    <workbookView xWindow="-105" yWindow="-105" windowWidth="23250" windowHeight="1260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2)" sheetId="185" r:id="rId28"/>
    <sheet name=" SEFA (3)" sheetId="186" r:id="rId29"/>
    <sheet name=" SEFA (4)" sheetId="187" r:id="rId30"/>
    <sheet name=" SEFA (5)" sheetId="188" r:id="rId31"/>
    <sheet name=" SEFA" sheetId="179" r:id="rId32"/>
    <sheet name="SEFA NOTES" sheetId="173" r:id="rId33"/>
    <sheet name="SF&amp;QC Sec-1" sheetId="174" r:id="rId34"/>
    <sheet name="SF&amp;QC Sec-2 (2)" sheetId="189" r:id="rId35"/>
    <sheet name="SF&amp;QC Sec-2" sheetId="175" r:id="rId36"/>
    <sheet name="SF&amp;QC Sec-3 (2)" sheetId="190" r:id="rId37"/>
    <sheet name="SF&amp;QC Sec-3" sheetId="176" r:id="rId38"/>
    <sheet name="SSPAF" sheetId="177" r:id="rId39"/>
  </sheets>
  <definedNames>
    <definedName name="_xlnm._FilterDatabase" localSheetId="23" hidden="1">'AFR20'!$A$1:$F$7884</definedName>
    <definedName name="_xlnm.Print_Area" localSheetId="31">' SEFA'!$B$1:$M$46</definedName>
    <definedName name="_xlnm.Print_Area" localSheetId="27">' SEFA (2)'!$B$1:$M$46</definedName>
    <definedName name="_xlnm.Print_Area" localSheetId="28">' SEFA (3)'!$B$1:$M$46</definedName>
    <definedName name="_xlnm.Print_Area" localSheetId="29">' SEFA (4)'!$B$1:$M$46</definedName>
    <definedName name="_xlnm.Print_Area" localSheetId="30">' SEFA (5)'!$B$1:$M$46</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7">'SF&amp;QC Sec-3'!$A$1:$K$48</definedName>
    <definedName name="_xlnm.Print_Area" localSheetId="36">'SF&amp;QC Sec-3 (2)'!$A$1:$K$48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31">#REF!</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5">#REF!</definedName>
    <definedName name="SCHADDRS" localSheetId="34">#REF!</definedName>
    <definedName name="SCHADDRS" localSheetId="37">#REF!</definedName>
    <definedName name="SCHADDRS" localSheetId="36">#REF!</definedName>
    <definedName name="SCHADDRS" localSheetId="25">#REF!</definedName>
    <definedName name="SCHADDRS" localSheetId="24">#REF!</definedName>
    <definedName name="SCHADDRS" localSheetId="38">#REF!</definedName>
    <definedName name="SCHADDRS">#REF!</definedName>
    <definedName name="SCHCTY" localSheetId="31">#REF!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5">#REF!</definedName>
    <definedName name="SCHCTY" localSheetId="34">#REF!</definedName>
    <definedName name="SCHCTY" localSheetId="37">#REF!</definedName>
    <definedName name="SCHCTY" localSheetId="36">#REF!</definedName>
    <definedName name="SCHCTY" localSheetId="25">#REF!</definedName>
    <definedName name="SCHCTY" localSheetId="24">#REF!</definedName>
    <definedName name="SCHCTY" localSheetId="38">#REF!</definedName>
    <definedName name="SCHCTY">#REF!</definedName>
    <definedName name="SCHNMBR" localSheetId="31">#REF!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5">#REF!</definedName>
    <definedName name="SCHNMBR" localSheetId="34">#REF!</definedName>
    <definedName name="SCHNMBR" localSheetId="37">#REF!</definedName>
    <definedName name="SCHNMBR" localSheetId="36">#REF!</definedName>
    <definedName name="SCHNMBR" localSheetId="25">#REF!</definedName>
    <definedName name="SCHNMBR" localSheetId="24">#REF!</definedName>
    <definedName name="SCHNMBR" localSheetId="38">#REF!</definedName>
    <definedName name="SCHNMBR">#REF!</definedName>
    <definedName name="SCHNME" localSheetId="31">#REF!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5">#REF!</definedName>
    <definedName name="SCHNME" localSheetId="34">#REF!</definedName>
    <definedName name="SCHNME" localSheetId="37">#REF!</definedName>
    <definedName name="SCHNME" localSheetId="36">#REF!</definedName>
    <definedName name="SCHNME" localSheetId="25">#REF!</definedName>
    <definedName name="SCHNME" localSheetId="24">#REF!</definedName>
    <definedName name="SCHNME" localSheetId="38">#REF!</definedName>
    <definedName name="SCHNME">#REF!</definedName>
    <definedName name="SUPT" localSheetId="31">#REF!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5">#REF!</definedName>
    <definedName name="SUPT" localSheetId="34">#REF!</definedName>
    <definedName name="SUPT" localSheetId="37">#REF!</definedName>
    <definedName name="SUPT" localSheetId="36">#REF!</definedName>
    <definedName name="SUPT" localSheetId="25">#REF!</definedName>
    <definedName name="SUPT" localSheetId="24">#REF!</definedName>
    <definedName name="SUPT" localSheetId="38">#REF!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 i="183" l="1"/>
  <c r="I75" i="4" l="1"/>
  <c r="E75" i="4"/>
  <c r="I26" i="188" l="1"/>
  <c r="I14" i="179" s="1"/>
  <c r="F26" i="188"/>
  <c r="C8" i="190"/>
  <c r="B4" i="190"/>
  <c r="I25" i="179"/>
  <c r="I24" i="179"/>
  <c r="F14" i="179"/>
  <c r="E26" i="188"/>
  <c r="G26" i="188"/>
  <c r="I21" i="188"/>
  <c r="F21" i="188"/>
  <c r="I16" i="188"/>
  <c r="G16" i="188"/>
  <c r="F16" i="188"/>
  <c r="E16" i="188"/>
  <c r="C10" i="189"/>
  <c r="B4" i="189"/>
  <c r="M19" i="3"/>
  <c r="M18" i="3"/>
  <c r="M17" i="3"/>
  <c r="K75" i="4" l="1"/>
  <c r="C8" i="3" l="1"/>
  <c r="F19" i="187"/>
  <c r="C207" i="5"/>
  <c r="C4" i="3"/>
  <c r="H83" i="29" l="1"/>
  <c r="E75" i="29"/>
  <c r="D75" i="29"/>
  <c r="C75" i="29"/>
  <c r="F73" i="29"/>
  <c r="E73" i="29"/>
  <c r="D73" i="29"/>
  <c r="C73" i="29"/>
  <c r="F49" i="29"/>
  <c r="E49" i="29"/>
  <c r="D49" i="29"/>
  <c r="C49" i="29"/>
  <c r="H14" i="29"/>
  <c r="F14" i="29"/>
  <c r="E14" i="29"/>
  <c r="D14" i="29"/>
  <c r="C14" i="29"/>
  <c r="C31" i="3" l="1"/>
  <c r="C32" i="3"/>
  <c r="G4" i="3"/>
  <c r="F13" i="29" l="1"/>
  <c r="E13" i="29"/>
  <c r="C8" i="29"/>
  <c r="D8" i="29"/>
  <c r="E8" i="29"/>
  <c r="F8" i="29"/>
  <c r="D9" i="29"/>
  <c r="C9" i="29"/>
  <c r="F5" i="29"/>
  <c r="D5" i="29"/>
  <c r="C5" i="29"/>
  <c r="C265" i="5"/>
  <c r="C107" i="5"/>
  <c r="E65" i="5"/>
  <c r="E4" i="3"/>
  <c r="G30" i="3"/>
  <c r="D280" i="29"/>
  <c r="D278" i="29"/>
  <c r="D245" i="29"/>
  <c r="D223" i="29"/>
  <c r="D218" i="29"/>
  <c r="D217" i="29"/>
  <c r="D215" i="29"/>
  <c r="I4" i="3"/>
  <c r="I16" i="187" l="1"/>
  <c r="G16" i="187"/>
  <c r="F16" i="187"/>
  <c r="E16" i="187"/>
  <c r="L15" i="187"/>
  <c r="E14" i="187"/>
  <c r="L26" i="188"/>
  <c r="L24" i="188"/>
  <c r="L20" i="188"/>
  <c r="L19" i="188"/>
  <c r="L16" i="188"/>
  <c r="L14" i="188"/>
  <c r="L12" i="188"/>
  <c r="I9" i="188"/>
  <c r="G9" i="188"/>
  <c r="F9" i="188"/>
  <c r="E9" i="188"/>
  <c r="J8" i="188"/>
  <c r="H8" i="188"/>
  <c r="B4" i="188"/>
  <c r="I26" i="186"/>
  <c r="G26" i="186"/>
  <c r="F26" i="186"/>
  <c r="E26" i="186"/>
  <c r="I23" i="187"/>
  <c r="G23" i="187"/>
  <c r="F23" i="187"/>
  <c r="E23" i="187"/>
  <c r="F21" i="187"/>
  <c r="I27" i="187"/>
  <c r="G27" i="187"/>
  <c r="F27" i="187"/>
  <c r="E27" i="187"/>
  <c r="I20" i="186"/>
  <c r="G20" i="186"/>
  <c r="F20" i="186"/>
  <c r="E20" i="186"/>
  <c r="L18" i="186"/>
  <c r="G27" i="185"/>
  <c r="E27" i="185"/>
  <c r="I26" i="185"/>
  <c r="G26" i="185"/>
  <c r="F26" i="185"/>
  <c r="E26" i="185"/>
  <c r="I22" i="185"/>
  <c r="G22" i="185"/>
  <c r="F22" i="185"/>
  <c r="E22" i="185"/>
  <c r="I18" i="185"/>
  <c r="G18" i="185"/>
  <c r="F18" i="185"/>
  <c r="E18" i="185"/>
  <c r="I27" i="185" l="1"/>
  <c r="L27" i="185" s="1"/>
  <c r="F27" i="185"/>
  <c r="L26" i="187"/>
  <c r="L25" i="187"/>
  <c r="L23" i="187"/>
  <c r="L22" i="187"/>
  <c r="L21" i="187"/>
  <c r="L20" i="187"/>
  <c r="L19" i="187"/>
  <c r="L14" i="187"/>
  <c r="L13" i="187"/>
  <c r="L12" i="187"/>
  <c r="I9" i="187"/>
  <c r="G9" i="187"/>
  <c r="F9" i="187"/>
  <c r="E9" i="187"/>
  <c r="J8" i="187"/>
  <c r="H8" i="187"/>
  <c r="B4" i="187"/>
  <c r="L25" i="186"/>
  <c r="L24" i="186"/>
  <c r="L23" i="186"/>
  <c r="L22" i="186"/>
  <c r="L20" i="186"/>
  <c r="L19" i="186"/>
  <c r="L15" i="186"/>
  <c r="L12" i="186"/>
  <c r="I9" i="186"/>
  <c r="G9" i="186"/>
  <c r="F9" i="186"/>
  <c r="E9" i="186"/>
  <c r="J8" i="186"/>
  <c r="H8" i="186"/>
  <c r="B4" i="186"/>
  <c r="L26" i="185"/>
  <c r="L25" i="185"/>
  <c r="L24" i="185"/>
  <c r="L23" i="185"/>
  <c r="L21" i="185"/>
  <c r="L20" i="185"/>
  <c r="L17" i="185"/>
  <c r="L16" i="185"/>
  <c r="L15" i="185"/>
  <c r="L14" i="185"/>
  <c r="L13" i="185"/>
  <c r="L12" i="185"/>
  <c r="I9" i="185"/>
  <c r="G9" i="185"/>
  <c r="F9" i="185"/>
  <c r="E9" i="185"/>
  <c r="J8" i="185"/>
  <c r="H8" i="185"/>
  <c r="B4" i="185"/>
  <c r="C124" i="29" l="1"/>
  <c r="D39" i="3"/>
  <c r="F124" i="29"/>
  <c r="E124" i="29"/>
  <c r="D124" i="29"/>
  <c r="D32" i="3"/>
  <c r="D4" i="3"/>
  <c r="E182" i="29"/>
  <c r="D182" i="29"/>
  <c r="C182" i="29"/>
  <c r="F4" i="3"/>
  <c r="H4" i="3"/>
  <c r="H39" i="3"/>
  <c r="J38" i="3"/>
  <c r="J30" i="3"/>
  <c r="J4" i="3"/>
  <c r="K38" i="3"/>
  <c r="K4" i="3"/>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F22" i="183" s="1"/>
  <c r="E21" i="183"/>
  <c r="F21" i="183" s="1"/>
  <c r="E20" i="183"/>
  <c r="F20" i="183" s="1"/>
  <c r="E19" i="183"/>
  <c r="E18" i="183"/>
  <c r="F18" i="183" s="1"/>
  <c r="F17" i="183"/>
  <c r="E17" i="183"/>
  <c r="F80" i="34" l="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5" i="179" l="1"/>
  <c r="L24" i="179"/>
  <c r="L23" i="179"/>
  <c r="L12"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90" l="1"/>
  <c r="B1" i="189"/>
  <c r="B1" i="188"/>
  <c r="B1" i="187"/>
  <c r="B1" i="186"/>
  <c r="B1" i="185"/>
  <c r="B2" i="179"/>
  <c r="B2" i="190"/>
  <c r="B2" i="189"/>
  <c r="B2" i="188"/>
  <c r="B2" i="187"/>
  <c r="B2" i="185"/>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C67" i="34"/>
  <c r="D67" i="34"/>
  <c r="F67" i="34"/>
  <c r="C68" i="34"/>
  <c r="D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4" i="37"/>
  <c r="B4270" i="106" s="1"/>
  <c r="D4270" i="106" s="1"/>
  <c r="B5752" i="106"/>
  <c r="D5752" i="106" s="1"/>
  <c r="G14" i="4" l="1"/>
  <c r="B2609" i="106" s="1"/>
  <c r="D2609" i="106" s="1"/>
  <c r="F68" i="34"/>
  <c r="B7198" i="106"/>
  <c r="D7198" i="106" s="1"/>
  <c r="E65" i="184"/>
  <c r="N65" i="184" s="1"/>
  <c r="F37" i="34"/>
  <c r="B7829" i="106" s="1"/>
  <c r="D7829" i="106" s="1"/>
  <c r="F34" i="34"/>
  <c r="B7826" i="106" s="1"/>
  <c r="D7826" i="106" s="1"/>
  <c r="D68" i="36"/>
  <c r="B7189" i="106"/>
  <c r="D7189" i="106" s="1"/>
  <c r="E64" i="184"/>
  <c r="N64" i="184" s="1"/>
  <c r="D31" i="108"/>
  <c r="E16" i="184"/>
  <c r="H16" i="184" s="1"/>
  <c r="H12" i="184"/>
  <c r="G33" i="108"/>
  <c r="E17" i="184"/>
  <c r="H17" i="184" s="1"/>
  <c r="B7171" i="106"/>
  <c r="D7171" i="106" s="1"/>
  <c r="E62" i="184"/>
  <c r="N62" i="184" s="1"/>
  <c r="B7696" i="106"/>
  <c r="D7696" i="106" s="1"/>
  <c r="E66" i="184"/>
  <c r="N66" i="184" s="1"/>
  <c r="B7135" i="106"/>
  <c r="D7135" i="106" s="1"/>
  <c r="E58" i="184"/>
  <c r="N58" i="184" s="1"/>
  <c r="B7126" i="106"/>
  <c r="D7126" i="106" s="1"/>
  <c r="E57" i="184"/>
  <c r="L22" i="37"/>
  <c r="F72" i="34"/>
  <c r="B7162" i="106"/>
  <c r="D7162" i="106" s="1"/>
  <c r="E61" i="184"/>
  <c r="N61" i="184" s="1"/>
  <c r="B7180" i="106"/>
  <c r="D7180" i="106" s="1"/>
  <c r="E63" i="184"/>
  <c r="N63" i="184" s="1"/>
  <c r="D22" i="37"/>
  <c r="F64" i="34"/>
  <c r="G30" i="108"/>
  <c r="B7153" i="106"/>
  <c r="D7153" i="106" s="1"/>
  <c r="E60" i="184"/>
  <c r="N60" i="184" s="1"/>
  <c r="H76" i="4"/>
  <c r="B3298" i="106" s="1"/>
  <c r="D3298" i="106" s="1"/>
  <c r="H33" i="118"/>
  <c r="F71" i="34"/>
  <c r="C342" i="29"/>
  <c r="B7216" i="106" s="1"/>
  <c r="D7216" i="106" s="1"/>
  <c r="B7705" i="106"/>
  <c r="D7705" i="106" s="1"/>
  <c r="E67" i="184"/>
  <c r="N67" i="184" s="1"/>
  <c r="J210" i="29"/>
  <c r="B7072" i="106" s="1"/>
  <c r="D7072" i="106"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3" i="3" l="1"/>
  <c r="B284" i="106" s="1"/>
  <c r="D284" i="106" s="1"/>
  <c r="B5770" i="106"/>
  <c r="D5770" i="106" s="1"/>
  <c r="B5527" i="106"/>
  <c r="D5527" i="106" s="1"/>
  <c r="F41" i="108"/>
  <c r="G43" i="108" s="1"/>
  <c r="B1381" i="106"/>
  <c r="D1381" i="106" s="1"/>
  <c r="K342" i="29"/>
  <c r="F13" i="34" s="1"/>
  <c r="B6216" i="106"/>
  <c r="D6216" i="106" s="1"/>
  <c r="B7220" i="106"/>
  <c r="D7220" i="106" s="1"/>
  <c r="F75" i="34"/>
  <c r="B7886" i="106" s="1"/>
  <c r="D7886" i="106" s="1"/>
  <c r="L114" i="29"/>
  <c r="E367" i="29"/>
  <c r="B3635" i="106"/>
  <c r="D3635" i="106" s="1"/>
  <c r="D44" i="36"/>
  <c r="E19" i="184"/>
  <c r="B7222" i="106"/>
  <c r="D7222" i="106" s="1"/>
  <c r="F76" i="34"/>
  <c r="B7887" i="106" s="1"/>
  <c r="D7887" i="106" s="1"/>
  <c r="H19" i="184"/>
  <c r="L20" i="184" s="1"/>
  <c r="N57" i="184"/>
  <c r="N68" i="184" s="1"/>
  <c r="E68" i="184"/>
  <c r="L16" i="11"/>
  <c r="B2061" i="106" s="1"/>
  <c r="D2061" i="106" s="1"/>
  <c r="K77" i="4"/>
  <c r="B3587" i="106" s="1"/>
  <c r="D3587" i="106" s="1"/>
  <c r="B7235" i="106"/>
  <c r="D72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F8" i="4" l="1"/>
  <c r="F10" i="4" s="1"/>
  <c r="B4125" i="106" s="1"/>
  <c r="D4125" i="106" s="1"/>
  <c r="J20" i="4"/>
  <c r="B6230" i="106" s="1"/>
  <c r="D6230" i="106" s="1"/>
  <c r="F77" i="34"/>
  <c r="B7834" i="106" s="1"/>
  <c r="D7834"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J78" i="4"/>
  <c r="B6263" i="106" s="1"/>
  <c r="D6263"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78" i="4" l="1"/>
  <c r="D81" i="4" s="1"/>
  <c r="D10" i="146"/>
  <c r="F8" i="146"/>
  <c r="J81" i="4"/>
  <c r="B6266" i="106" s="1"/>
  <c r="D6266" i="106" s="1"/>
  <c r="B3576" i="106"/>
  <c r="D3576"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J82" i="4"/>
  <c r="F10" i="146" l="1"/>
  <c r="B3239" i="106"/>
  <c r="D3239" i="106" s="1"/>
  <c r="D64" i="36"/>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<sst xmlns="http://schemas.openxmlformats.org/spreadsheetml/2006/main" count="5660" uniqueCount="2271">
  <si>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</si>
  <si>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</si>
  <si>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</si>
  <si>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</si>
  <si>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</si>
  <si>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</si>
  <si>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</si>
  <si>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</si>
  <si>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</si>
  <si>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</si>
  <si>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</si>
  <si>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</si>
  <si>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</si>
  <si>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</si>
  <si>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</si>
  <si>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</si>
  <si>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</si>
  <si>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</si>
  <si>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</si>
  <si>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</si>
  <si>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</si>
  <si>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</si>
  <si>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</si>
  <si>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</si>
  <si>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</si>
  <si>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</si>
  <si>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</si>
  <si>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</si>
  <si>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</si>
  <si>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</si>
  <si>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</si>
  <si>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</si>
  <si>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</si>
  <si>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</si>
  <si>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</si>
  <si>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</si>
  <si>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</si>
  <si>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</si>
  <si>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</si>
  <si>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</si>
  <si>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</si>
  <si>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</si>
  <si>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</si>
  <si>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</si>
  <si>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</si>
  <si>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</si>
  <si>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</si>
  <si>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</si>
  <si>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</si>
  <si>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</si>
  <si>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</si>
  <si>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</si>
  <si>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</si>
  <si>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</si>
  <si>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</si>
  <si>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</si>
  <si>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</si>
  <si>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</si>
  <si>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</si>
  <si>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</si>
  <si>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</si>
  <si>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</si>
  <si>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</si>
  <si>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</si>
  <si>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</si>
  <si>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</si>
  <si>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</si>
  <si>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</si>
  <si>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</si>
  <si>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</si>
  <si>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</si>
  <si>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</si>
  <si>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</si>
  <si>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</si>
  <si>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</si>
  <si>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</si>
  <si>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</si>
  <si>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</si>
  <si>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</si>
  <si>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</si>
  <si>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</si>
  <si>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</si>
  <si>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</si>
  <si>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</si>
  <si>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</si>
  <si>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</si>
  <si>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</si>
  <si>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</si>
  <si>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</si>
  <si>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</si>
  <si>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</si>
  <si>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</si>
  <si>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</si>
  <si>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</si>
  <si>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</si>
  <si>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</si>
  <si>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</si>
  <si>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</si>
  <si>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</si>
  <si>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</si>
  <si>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</si>
  <si>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</si>
  <si>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</si>
  <si>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</si>
  <si>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</si>
  <si>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</si>
  <si>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</si>
  <si>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</si>
  <si>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</si>
  <si>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</si>
  <si>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</si>
  <si>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</si>
  <si>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</si>
  <si>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</si>
  <si>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</si>
  <si>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</si>
  <si>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</si>
  <si>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</si>
  <si>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</si>
  <si>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</si>
  <si>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</si>
  <si>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</si>
  <si>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</si>
  <si>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</si>
  <si>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</si>
  <si>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</si>
  <si>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</si>
  <si>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</si>
  <si>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</si>
  <si>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</si>
  <si>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</si>
  <si>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</si>
  <si>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</si>
  <si>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</si>
  <si>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</si>
  <si>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</si>
  <si>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</si>
  <si>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</si>
  <si>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</si>
  <si>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</si>
  <si>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</si>
  <si>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</si>
  <si>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</si>
  <si>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</si>
  <si>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</si>
  <si>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</si>
  <si>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</si>
  <si>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</si>
  <si>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</si>
  <si>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</si>
  <si>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</si>
  <si>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</si>
  <si>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</si>
  <si>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</si>
  <si>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</si>
  <si>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</si>
  <si>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</si>
  <si>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</si>
  <si>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</si>
  <si>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</si>
  <si>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</si>
  <si>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</si>
  <si>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</si>
  <si>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</si>
  <si>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</si>
  <si>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</si>
  <si>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</si>
  <si>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</si>
  <si>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</si>
  <si>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</si>
  <si>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</si>
  <si>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</si>
  <si>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</si>
  <si>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</si>
  <si>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</si>
  <si>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</si>
  <si>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</si>
  <si>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</si>
  <si>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</si>
  <si>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</si>
  <si>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</si>
  <si>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</si>
  <si>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</si>
  <si>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</si>
  <si>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</si>
  <si>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</si>
  <si>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</si>
  <si>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</si>
  <si>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</si>
  <si>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</si>
  <si>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</si>
  <si>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</si>
  <si>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</si>
  <si>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</si>
  <si>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</si>
  <si>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</si>
  <si>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</si>
  <si>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</si>
  <si>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</si>
  <si>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</si>
  <si>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</si>
  <si>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</si>
  <si>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</si>
  <si>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</si>
  <si>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</si>
  <si>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</si>
  <si>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</si>
  <si>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</si>
  <si>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</si>
  <si>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</si>
  <si>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</si>
  <si>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</si>
  <si>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</si>
  <si>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</si>
  <si>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</si>
  <si>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</si>
  <si>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</si>
  <si>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</si>
  <si>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</si>
  <si>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</si>
  <si>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</si>
  <si>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</si>
  <si>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</si>
  <si>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</si>
  <si>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</si>
  <si>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</si>
  <si>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</si>
  <si>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</si>
  <si>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</si>
  <si>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</si>
  <si>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</si>
  <si>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</si>
  <si>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</si>
  <si>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</si>
  <si>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</si>
  <si>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</si>
  <si>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</si>
  <si>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</si>
  <si>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</si>
  <si>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</si>
  <si>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</si>
  <si>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</si>
  <si>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</si>
  <si>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</si>
  <si>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</si>
  <si>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</si>
  <si>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</si>
  <si>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</si>
  <si>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</si>
  <si>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</si>
  <si>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</si>
  <si>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</si>
  <si>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</si>
  <si>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</si>
  <si>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</si>
  <si>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</si>
  <si>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</si>
  <si>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</si>
  <si>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</si>
  <si>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</si>
  <si>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</si>
  <si>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</si>
  <si>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</si>
  <si>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</si>
  <si>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</si>
  <si>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</si>
  <si>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</si>
  <si>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</si>
  <si>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</si>
  <si>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</si>
  <si>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</si>
  <si>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</si>
  <si>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</si>
  <si>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</si>
  <si>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</si>
  <si>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</si>
  <si>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</si>
  <si>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</si>
  <si>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</si>
  <si>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</si>
  <si>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</si>
  <si>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</si>
  <si>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</si>
  <si>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</si>
  <si>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</si>
  <si>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</si>
  <si>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</si>
  <si>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</si>
  <si>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</si>
  <si>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</si>
  <si>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</si>
  <si>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</si>
  <si>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</si>
  <si>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</si>
  <si>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</si>
  <si>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</si>
  <si>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</si>
  <si>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</si>
  <si>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</si>
  <si>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</si>
  <si>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</si>
  <si>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</si>
  <si>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</si>
  <si>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</si>
  <si>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</si>
  <si>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</si>
  <si>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</si>
  <si>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</si>
  <si>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</si>
  <si>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</si>
  <si>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</si>
  <si>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</si>
  <si>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</si>
  <si>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</si>
  <si>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</si>
  <si>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</si>
  <si>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</si>
  <si>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</si>
  <si>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</si>
  <si>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</si>
  <si>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</si>
  <si>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</si>
  <si>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</si>
  <si>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</si>
  <si>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</si>
  <si>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</si>
  <si>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</si>
  <si>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</si>
  <si>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</si>
  <si>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</si>
  <si>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</si>
  <si>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</si>
  <si>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</si>
  <si>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</si>
  <si>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</si>
  <si>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</si>
  <si>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</si>
  <si>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</si>
  <si>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</si>
  <si>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</si>
  <si>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</si>
  <si>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</si>
  <si>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</si>
  <si>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</si>
  <si>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</si>
  <si>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</si>
  <si>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</si>
  <si>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</si>
  <si>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</si>
  <si>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</si>
  <si>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</si>
  <si>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</si>
  <si>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</si>
  <si>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</si>
  <si>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</si>
  <si>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</si>
  <si>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</si>
  <si>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</si>
  <si>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</si>
  <si>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</si>
  <si>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</si>
  <si>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</si>
  <si>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</si>
  <si>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</si>
  <si>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</si>
  <si>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</si>
  <si>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</si>
  <si>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</si>
  <si>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</si>
  <si>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</si>
  <si>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</si>
  <si>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</si>
  <si>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</si>
  <si>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</si>
  <si>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</si>
  <si>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</si>
  <si>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</si>
  <si>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</si>
  <si>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</si>
  <si>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</si>
  <si>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</si>
  <si>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</si>
  <si>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</si>
  <si>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</si>
  <si>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</si>
  <si>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</si>
  <si>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</si>
  <si>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</si>
  <si>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</si>
  <si>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</si>
  <si>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</si>
  <si>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</si>
  <si>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</si>
  <si>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</si>
  <si>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</si>
  <si>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</si>
  <si>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</si>
  <si>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</si>
  <si>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</si>
  <si>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</si>
  <si>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</si>
  <si>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</si>
  <si>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</si>
  <si>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</si>
  <si>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</si>
  <si>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</si>
  <si>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</si>
  <si>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</si>
  <si>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</si>
  <si>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</si>
  <si>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</si>
  <si>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</si>
  <si>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</si>
  <si>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</si>
  <si>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</si>
  <si>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</si>
  <si>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</si>
  <si>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</si>
  <si>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</si>
  <si>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</si>
  <si>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</si>
  <si>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</si>
  <si>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</si>
  <si>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</si>
  <si>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</si>
  <si>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</si>
  <si>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</si>
  <si>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</si>
  <si>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</si>
  <si>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</si>
  <si>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</si>
  <si>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</si>
  <si>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</si>
  <si>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</si>
  <si>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</si>
  <si>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</si>
  <si>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</si>
  <si>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</si>
  <si>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</si>
  <si>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</si>
  <si>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</si>
  <si>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</si>
  <si>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</si>
  <si>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</si>
  <si>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</si>
  <si>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</si>
  <si>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</si>
  <si>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</si>
  <si>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</si>
  <si>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</si>
  <si>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</si>
  <si>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</si>
  <si>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</si>
  <si>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</si>
  <si>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</si>
  <si>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</si>
  <si>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</si>
  <si>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</si>
  <si>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</si>
  <si>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</si>
  <si>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</si>
  <si>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</si>
  <si>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</si>
  <si>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</si>
  <si>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</si>
  <si>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</si>
  <si>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</si>
  <si>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</si>
  <si>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</si>
  <si>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</si>
  <si>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</si>
  <si>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</si>
  <si>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</si>
  <si>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</si>
  <si>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</si>
  <si>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</si>
  <si>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</si>
  <si>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</si>
  <si>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</si>
  <si>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</si>
  <si>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</si>
  <si>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</si>
  <si>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</si>
  <si>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</si>
  <si>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</si>
  <si>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</si>
  <si>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</si>
  <si>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</si>
  <si>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</si>
  <si>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</si>
  <si>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</si>
  <si>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</si>
  <si>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</si>
  <si>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</si>
  <si>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</si>
  <si>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</si>
  <si>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</si>
  <si>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</si>
  <si>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</si>
  <si>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</si>
  <si>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</si>
  <si>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</si>
  <si>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</si>
  <si>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</si>
  <si>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</si>
  <si>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</si>
  <si>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</si>
  <si>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</si>
  <si>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</si>
  <si>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</si>
  <si>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</si>
  <si>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</si>
  <si>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</si>
  <si>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</si>
  <si>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</si>
  <si>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</si>
  <si>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</si>
  <si>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</si>
  <si>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</si>
  <si>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</si>
  <si>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</si>
  <si>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</si>
  <si>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</si>
  <si>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</si>
  <si>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</si>
  <si>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</si>
  <si>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</si>
  <si>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</si>
  <si>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</si>
  <si>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</si>
  <si>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</si>
  <si>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</si>
  <si>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</si>
  <si>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</si>
  <si>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</si>
  <si>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</si>
  <si>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</si>
  <si>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</si>
  <si>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</si>
  <si>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</si>
  <si>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</si>
  <si>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</si>
  <si>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</si>
  <si>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</si>
  <si>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</si>
  <si>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</si>
  <si>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</si>
  <si>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</si>
  <si>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</si>
  <si>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</si>
  <si>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</si>
  <si>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</si>
  <si>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</si>
  <si>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</si>
  <si>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</si>
  <si>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</si>
  <si>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</si>
  <si>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</si>
  <si>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</si>
  <si>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</si>
  <si>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</si>
  <si>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</si>
  <si>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</si>
  <si>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</si>
  <si>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</si>
  <si>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</si>
  <si>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</si>
  <si>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</si>
  <si>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</si>
  <si>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</si>
  <si>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</si>
  <si>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</si>
  <si>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</si>
  <si>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</si>
  <si>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</si>
  <si>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</si>
  <si>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</si>
  <si>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</si>
  <si>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</si>
  <si>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</si>
  <si>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</si>
  <si>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</si>
  <si>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</si>
  <si>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</si>
  <si>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</si>
  <si>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</si>
  <si>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</si>
  <si>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</si>
  <si>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</si>
  <si>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</si>
  <si>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</si>
  <si>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</si>
  <si>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</si>
  <si>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</si>
  <si>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</si>
  <si>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</si>
  <si>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</si>
  <si>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</si>
  <si>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</si>
  <si>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</si>
  <si>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</si>
  <si>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</si>
  <si>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</si>
  <si>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</si>
  <si>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</si>
  <si>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</si>
  <si>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</si>
  <si>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</si>
  <si>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</si>
  <si>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</si>
  <si>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</si>
  <si>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</si>
  <si>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</si>
  <si>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</si>
  <si>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</si>
  <si>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</si>
  <si>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</si>
  <si>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</si>
  <si>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</si>
  <si>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</si>
  <si>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</si>
  <si>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</si>
  <si>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</si>
  <si>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</si>
  <si>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</si>
  <si>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</si>
  <si>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</si>
  <si>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</si>
  <si>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</si>
  <si>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</si>
  <si>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</si>
  <si>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</si>
  <si>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</si>
  <si>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</si>
  <si>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</si>
  <si>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</si>
  <si>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</si>
  <si>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</si>
  <si>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</si>
  <si>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</si>
  <si>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</si>
  <si>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</si>
  <si>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</si>
  <si>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</si>
  <si>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</si>
  <si>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</si>
  <si>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</si>
  <si>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</si>
  <si>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</si>
  <si>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</si>
  <si>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</si>
  <si>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</si>
  <si>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</si>
  <si>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</si>
  <si>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</si>
  <si>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</si>
  <si>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</si>
  <si>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</si>
  <si>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</si>
  <si>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</si>
  <si>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</si>
  <si>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</si>
  <si>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</si>
  <si>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</si>
  <si>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</si>
  <si>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</si>
  <si>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</si>
  <si>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</si>
  <si>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</si>
  <si>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</si>
  <si>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</si>
  <si>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</si>
  <si>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</si>
  <si>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</si>
  <si>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</si>
  <si>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</si>
  <si>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</si>
  <si>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</si>
  <si>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</si>
  <si>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</si>
  <si>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</si>
  <si>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</si>
  <si>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</si>
  <si>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</si>
  <si>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</si>
  <si>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</si>
  <si>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</si>
  <si>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</si>
  <si>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</si>
  <si>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</si>
  <si>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</si>
  <si>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</si>
  <si>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</si>
  <si>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</si>
  <si>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</si>
  <si>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</si>
  <si>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</si>
  <si>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</si>
  <si>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</si>
  <si>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</si>
  <si>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</si>
  <si>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</si>
  <si>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</si>
  <si>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</si>
  <si>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</si>
  <si>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</si>
  <si>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</si>
  <si>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</si>
  <si>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</si>
  <si>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</si>
  <si>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</si>
  <si>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</si>
  <si>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</si>
  <si>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</si>
  <si>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</si>
  <si>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</si>
  <si>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</si>
  <si>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</si>
  <si>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</si>
  <si>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</si>
  <si>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</si>
  <si>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</si>
  <si>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</si>
  <si>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</si>
  <si>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</si>
  <si>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</si>
  <si>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</si>
  <si>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</si>
  <si>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</si>
  <si>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</si>
  <si>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</si>
  <si>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</si>
  <si>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</si>
  <si>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</si>
  <si>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</si>
  <si>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</si>
  <si>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</si>
  <si>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</si>
  <si>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</si>
  <si>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</si>
  <si>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</si>
  <si>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</si>
  <si>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</si>
  <si>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</si>
  <si>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</si>
  <si>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</si>
  <si>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</si>
  <si>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</si>
  <si>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</si>
  <si>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</si>
  <si>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</si>
  <si>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</si>
  <si>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</si>
  <si>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</si>
  <si>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</si>
  <si>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</si>
  <si>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</si>
  <si>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</si>
  <si>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</si>
  <si>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</si>
  <si>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</si>
  <si>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</si>
  <si>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</si>
  <si>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</si>
  <si>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</si>
  <si>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</si>
  <si>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</si>
  <si>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</si>
  <si>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</si>
  <si>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</si>
  <si>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</si>
  <si>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</si>
  <si>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</si>
  <si>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</si>
  <si>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</si>
  <si>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</si>
  <si>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</si>
  <si>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</si>
  <si>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</si>
  <si>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</si>
  <si>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</si>
  <si>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</si>
  <si>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</si>
  <si>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</si>
  <si>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</si>
  <si>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</si>
  <si>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</si>
  <si>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</si>
  <si>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</si>
  <si>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</si>
  <si>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</si>
  <si>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</si>
  <si>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</si>
  <si>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</si>
  <si>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</si>
  <si>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</si>
  <si>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</si>
  <si>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</si>
  <si>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</si>
  <si>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</si>
  <si>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</si>
  <si>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</si>
  <si>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</si>
  <si>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</si>
  <si>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</si>
  <si>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</si>
  <si>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</si>
  <si>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</si>
  <si>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</si>
  <si>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</si>
  <si>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</si>
  <si>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</si>
  <si>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</si>
  <si>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</si>
  <si>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</si>
  <si>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</si>
  <si>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</si>
  <si>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</si>
  <si>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</si>
  <si>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</si>
  <si>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</si>
  <si>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</si>
  <si>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</si>
  <si>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</si>
  <si>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</si>
  <si>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</si>
  <si>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</si>
  <si>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</si>
  <si>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</si>
  <si>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</si>
  <si>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</si>
  <si>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</si>
  <si>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</si>
  <si>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</si>
  <si>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</si>
  <si>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</si>
  <si>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</si>
  <si>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</si>
  <si>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</si>
  <si>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</si>
  <si>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</si>
  <si>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</si>
  <si>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</si>
  <si>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</si>
  <si>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</si>
  <si>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</si>
  <si>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</si>
  <si>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</si>
  <si>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</si>
  <si>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</si>
  <si>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</si>
  <si>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</si>
  <si>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</si>
  <si>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</si>
  <si>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</si>
  <si>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</si>
  <si>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</si>
  <si>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</si>
  <si>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</si>
  <si>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</si>
  <si>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</si>
  <si>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</si>
  <si>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</si>
  <si>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</si>
  <si>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</si>
  <si>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</si>
  <si>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</si>
  <si>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</si>
  <si>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</si>
  <si>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</si>
  <si>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</si>
  <si>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</si>
  <si>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</si>
  <si>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</si>
  <si>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</si>
  <si>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</si>
  <si>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</si>
  <si>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</si>
  <si>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</si>
  <si>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</si>
  <si>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</si>
  <si>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</si>
  <si>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</si>
  <si>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</si>
  <si>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</si>
  <si>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</si>
  <si>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</si>
  <si>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</si>
  <si>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</si>
  <si>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</si>
  <si>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</si>
  <si>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</si>
  <si>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</si>
  <si>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</si>
  <si>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</si>
  <si>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</si>
  <si>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</si>
  <si>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</si>
  <si>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</si>
  <si>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</si>
  <si>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</si>
  <si>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</si>
  <si>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</si>
  <si>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</si>
  <si>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</si>
  <si>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</si>
  <si>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</si>
  <si>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</si>
  <si>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</si>
  <si>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</si>
  <si>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</si>
  <si>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</si>
  <si>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</si>
  <si>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</si>
  <si>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</si>
  <si>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</si>
  <si>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</si>
  <si>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</si>
  <si>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</si>
  <si>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</si>
  <si>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</si>
  <si>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</si>
  <si>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</si>
  <si>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</si>
  <si>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</si>
  <si>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</si>
  <si>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</si>
  <si>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</si>
  <si>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</si>
  <si>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</si>
  <si>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</si>
  <si>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</si>
  <si>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</si>
  <si>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</si>
  <si>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</si>
  <si>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</si>
  <si>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</si>
  <si>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</si>
  <si>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</si>
  <si>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</si>
  <si>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</si>
  <si>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</si>
  <si>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</si>
  <si>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</si>
  <si>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</si>
  <si>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</si>
  <si>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</si>
  <si>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</si>
  <si>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</si>
  <si>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</si>
  <si>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</si>
  <si>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</si>
  <si>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</si>
  <si>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</si>
  <si>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</si>
  <si>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</si>
  <si>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</si>
  <si>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</si>
  <si>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</si>
  <si>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</si>
  <si>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</si>
  <si>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</si>
  <si>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</si>
  <si>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</si>
  <si>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</si>
  <si>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</si>
  <si>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</si>
  <si>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</si>
  <si>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</si>
  <si>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</si>
  <si>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</si>
  <si>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</si>
  <si>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</si>
  <si>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</si>
  <si>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</si>
  <si>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</si>
  <si>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</si>
  <si>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</si>
  <si>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</si>
  <si>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</si>
  <si>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</si>
  <si>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</si>
  <si>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</si>
  <si>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</si>
  <si>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</si>
  <si>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</si>
  <si>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</si>
  <si>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</si>
  <si>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</si>
  <si>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</si>
  <si>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</si>
  <si>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</si>
  <si>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</si>
  <si>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</si>
  <si>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</si>
  <si>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</si>
  <si>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</si>
  <si>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</si>
  <si>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</si>
  <si>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</si>
  <si>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</si>
  <si>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</si>
  <si>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</si>
  <si>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</si>
  <si>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</si>
  <si>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</si>
  <si>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</si>
  <si>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</si>
  <si>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</si>
  <si>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</si>
  <si>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</si>
  <si>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</si>
  <si>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</si>
  <si>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</si>
  <si>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</si>
  <si>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</si>
  <si>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</si>
  <si>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</si>
  <si>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</si>
  <si>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</si>
  <si>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</si>
  <si>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</si>
  <si>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</si>
  <si>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</si>
  <si>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</si>
  <si>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</si>
  <si>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</si>
  <si>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</si>
  <si>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</si>
  <si>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</si>
  <si>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</si>
  <si>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</si>
  <si>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</si>
  <si>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</si>
  <si>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</si>
  <si>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</si>
  <si>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</si>
  <si>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</si>
  <si>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</si>
  <si>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</si>
  <si>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</si>
  <si>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</si>
  <si>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</si>
  <si>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</si>
  <si>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</si>
  <si>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</si>
  <si>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</si>
  <si>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</si>
  <si>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</si>
  <si>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</si>
  <si>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</si>
  <si>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</si>
  <si>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</si>
  <si>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</si>
  <si>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</si>
  <si>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</si>
  <si>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</si>
  <si>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</si>
  <si>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</si>
  <si>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</si>
  <si>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</si>
  <si>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</si>
  <si>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</si>
  <si>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</si>
  <si>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</si>
  <si>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</si>
  <si>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</si>
  <si>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</si>
  <si>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</si>
  <si>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</si>
  <si>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</si>
  <si>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</si>
  <si>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</si>
  <si>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</si>
  <si>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</si>
  <si>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</si>
  <si>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</si>
  <si>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</si>
  <si>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</si>
  <si>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</si>
  <si>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</si>
  <si>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</si>
  <si>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</si>
  <si>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</si>
  <si>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</si>
  <si>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</si>
  <si>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</si>
  <si>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</si>
  <si>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</si>
  <si>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</si>
  <si>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</si>
  <si>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</si>
  <si>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</si>
  <si>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</si>
  <si>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</si>
  <si>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</si>
  <si>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</si>
  <si>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</si>
  <si>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</si>
  <si>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</si>
  <si>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</si>
  <si>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</si>
  <si>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</si>
  <si>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</si>
  <si>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</si>
  <si>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</si>
  <si>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</si>
  <si>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</si>
  <si>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</si>
  <si>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</si>
  <si>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</si>
  <si>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</si>
  <si>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</si>
  <si>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</si>
  <si>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</si>
  <si>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</si>
  <si>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</si>
  <si>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</si>
  <si>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</si>
  <si>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</si>
  <si>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</si>
  <si>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</si>
  <si>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</si>
  <si>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</si>
  <si>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</si>
  <si>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</si>
  <si>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</si>
  <si>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</si>
  <si>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</si>
  <si>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</si>
  <si>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</si>
  <si>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</si>
  <si>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</si>
  <si>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</si>
  <si>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</si>
  <si>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</si>
  <si>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</si>
  <si>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</si>
  <si>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</si>
  <si>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</si>
  <si>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</si>
  <si>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</si>
  <si>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</si>
  <si>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</si>
  <si>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</si>
  <si>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</si>
  <si>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</si>
  <si>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</si>
  <si>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</si>
  <si>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</si>
  <si>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</si>
  <si>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</si>
  <si>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</si>
  <si>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</si>
  <si>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</si>
  <si>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</si>
  <si>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</si>
  <si>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</si>
  <si>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</si>
  <si>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</si>
  <si>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</si>
  <si>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</si>
  <si>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</si>
  <si>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</si>
  <si>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</si>
  <si>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</si>
  <si>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</si>
  <si>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</si>
  <si>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</si>
  <si>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</si>
  <si>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</si>
  <si>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</si>
  <si>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</si>
  <si>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</si>
  <si>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</si>
  <si>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</si>
  <si>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</si>
  <si>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</si>
  <si>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</si>
  <si>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</si>
  <si>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</si>
  <si>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</si>
  <si>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</si>
  <si>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</si>
  <si>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</si>
  <si>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</si>
  <si>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</si>
  <si>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</si>
  <si>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</si>
  <si>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</si>
  <si>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</si>
  <si>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</si>
  <si>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</si>
  <si>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</si>
  <si>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</si>
  <si>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</si>
  <si>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</si>
  <si>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</si>
  <si>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</si>
  <si>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</si>
  <si>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</si>
  <si>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</si>
  <si>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</si>
  <si>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</si>
  <si>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</si>
  <si>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</si>
  <si>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</si>
  <si>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</si>
  <si>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</si>
  <si>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</si>
  <si>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</si>
  <si>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</si>
  <si>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</si>
  <si>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</si>
  <si>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</si>
  <si>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</si>
  <si>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</si>
  <si>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</si>
  <si>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</si>
  <si>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</si>
  <si>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</si>
  <si>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</si>
  <si>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</si>
  <si>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</si>
  <si>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</si>
  <si>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</si>
  <si>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</si>
  <si>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</si>
  <si>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</si>
  <si>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</si>
  <si>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</si>
  <si>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</si>
  <si>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</si>
  <si>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</si>
  <si>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</si>
  <si>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</si>
  <si>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</si>
  <si>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</si>
  <si>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</si>
  <si>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</si>
  <si>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</si>
  <si>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</si>
  <si>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</si>
  <si>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</si>
  <si>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</si>
  <si>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</si>
  <si>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</si>
  <si>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</si>
  <si>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</si>
  <si>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</si>
  <si>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</si>
  <si>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</si>
  <si>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</si>
  <si>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</si>
  <si>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</si>
  <si>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</si>
  <si>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</si>
  <si>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</si>
  <si>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</si>
  <si>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</si>
  <si>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</si>
  <si>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</si>
  <si>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</si>
  <si>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</si>
  <si>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</si>
  <si>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</si>
  <si>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</si>
  <si>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</si>
  <si>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</si>
  <si>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</si>
  <si>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</si>
  <si>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</si>
  <si>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</si>
  <si>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</si>
  <si>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</si>
  <si>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</si>
  <si>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</si>
  <si>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</si>
  <si>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</si>
  <si>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</si>
  <si>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</si>
  <si>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</si>
  <si>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</si>
  <si>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</si>
  <si>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</si>
  <si>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</si>
  <si>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</si>
  <si>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</si>
  <si>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</si>
  <si>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</si>
  <si>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</si>
  <si>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</si>
  <si>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</si>
  <si>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</si>
  <si>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</si>
  <si>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</si>
  <si>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</si>
  <si>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</si>
  <si>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</si>
  <si>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</si>
  <si>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</si>
  <si>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</si>
  <si>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</si>
  <si>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</si>
  <si>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</si>
  <si>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</si>
  <si>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</si>
  <si>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</si>
  <si>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</si>
  <si>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</si>
  <si>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</si>
  <si>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</si>
  <si>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</si>
  <si>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</si>
  <si>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</si>
  <si>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</si>
  <si>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</si>
  <si>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</si>
  <si>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</si>
  <si>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</si>
  <si>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</si>
  <si>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</si>
  <si>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</si>
  <si>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</si>
  <si>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</si>
  <si>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</si>
  <si>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</si>
  <si>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</si>
  <si>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</si>
  <si>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</si>
  <si>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</si>
  <si>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</si>
  <si>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</si>
  <si>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</si>
  <si>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</si>
  <si>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</si>
  <si>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</si>
  <si>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</si>
  <si>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</si>
  <si>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</si>
  <si>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</si>
  <si>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</si>
  <si>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</si>
  <si>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</si>
  <si>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</si>
  <si>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</si>
  <si>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</si>
  <si>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</si>
  <si>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</si>
  <si>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</si>
  <si>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</si>
  <si>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</si>
  <si>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</si>
  <si>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</si>
  <si>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</si>
  <si>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</si>
  <si>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</si>
  <si>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</si>
  <si>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</si>
  <si>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</si>
  <si>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</si>
  <si>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</si>
  <si>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</si>
  <si>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</si>
  <si>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</si>
  <si>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</si>
  <si>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</si>
  <si>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</si>
  <si>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</si>
  <si>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</si>
  <si>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</si>
  <si>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</si>
  <si>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</si>
  <si>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</si>
  <si>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</si>
  <si>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</si>
  <si>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</si>
  <si>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</si>
  <si>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</si>
  <si>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</si>
  <si>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</si>
  <si>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</si>
  <si>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</si>
  <si>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</si>
  <si>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</si>
  <si>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</si>
  <si>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</si>
  <si>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</si>
  <si>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</si>
  <si>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</si>
  <si>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</si>
  <si>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</si>
  <si>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</si>
  <si>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</si>
  <si>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</si>
  <si>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</si>
  <si>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</si>
  <si>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</si>
  <si>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</si>
  <si>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</si>
  <si>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</si>
  <si>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</si>
  <si>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</si>
  <si>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</si>
  <si>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</si>
  <si>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</si>
  <si>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</si>
  <si>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</si>
  <si>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</si>
  <si>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</si>
  <si>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</si>
  <si>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</si>
  <si>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</si>
  <si>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</si>
  <si>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</si>
  <si>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</si>
  <si>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</si>
  <si>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</si>
  <si>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</si>
  <si>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</si>
  <si>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</si>
  <si>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</si>
  <si>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</si>
  <si>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</si>
  <si>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</si>
  <si>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</si>
  <si>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</si>
  <si>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</si>
  <si>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</si>
  <si>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</si>
  <si>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</si>
  <si>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</si>
  <si>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</si>
  <si>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</si>
  <si>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</si>
  <si>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</si>
  <si>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</si>
  <si>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</si>
  <si>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</si>
  <si>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</si>
  <si>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</si>
  <si>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</si>
  <si>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</si>
  <si>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</si>
  <si>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</si>
  <si>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</si>
  <si>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</si>
  <si>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</si>
  <si>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</si>
  <si>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</si>
  <si>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</si>
  <si>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</si>
  <si>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</si>
  <si>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</si>
  <si>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</si>
  <si>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</si>
  <si>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</si>
  <si>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</si>
  <si>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</si>
  <si>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</si>
  <si>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</si>
  <si>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</si>
  <si>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</si>
  <si>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</si>
  <si>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</si>
  <si>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</si>
  <si>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</si>
  <si>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</si>
  <si>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</si>
  <si>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</si>
  <si>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</si>
  <si>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</si>
  <si>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</si>
  <si>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</si>
  <si>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</si>
  <si>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</si>
  <si>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</si>
  <si>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</si>
  <si>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</si>
  <si>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</si>
  <si>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</si>
  <si>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</si>
  <si>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</si>
  <si>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</si>
  <si>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</si>
  <si>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</si>
  <si>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</si>
  <si>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</si>
  <si>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</si>
  <si>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</si>
  <si>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</si>
  <si>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</si>
  <si>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</si>
  <si>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</si>
  <si>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</si>
  <si>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</si>
  <si>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</si>
  <si>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</si>
  <si>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</si>
  <si>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</si>
  <si>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</si>
  <si>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</si>
  <si>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</si>
  <si>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</si>
  <si>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</si>
  <si>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</si>
  <si>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</si>
  <si>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</si>
  <si>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</si>
  <si>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</si>
  <si>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</si>
  <si>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</si>
  <si>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</si>
  <si>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</si>
  <si>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</si>
  <si>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</si>
  <si>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</si>
  <si>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</si>
  <si>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</si>
  <si>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</si>
  <si>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</si>
  <si>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</si>
  <si>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</si>
  <si>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</si>
  <si>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</si>
  <si>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</si>
  <si>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</si>
  <si>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</si>
  <si>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</si>
  <si>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</si>
  <si>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</si>
  <si>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</si>
  <si>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</si>
  <si>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</si>
  <si>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</si>
  <si>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</si>
  <si>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</si>
  <si>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</si>
  <si>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</si>
  <si>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</si>
  <si>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</si>
  <si>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</si>
  <si>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</si>
  <si>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</si>
  <si>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</si>
  <si>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</si>
  <si>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</si>
  <si>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</si>
  <si>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</si>
  <si>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</si>
  <si>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</si>
  <si>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</si>
  <si>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</si>
  <si>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</si>
  <si>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</si>
  <si>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</si>
  <si>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</si>
  <si>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</si>
  <si>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</si>
  <si>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</si>
  <si>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</si>
  <si>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</si>
  <si>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</si>
  <si>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</si>
  <si>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</si>
  <si>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</si>
  <si>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</si>
  <si>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</si>
  <si>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</si>
  <si>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</si>
  <si>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</si>
  <si>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</si>
  <si>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</si>
  <si>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</si>
  <si>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</si>
  <si>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</si>
  <si>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</si>
  <si>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</si>
  <si>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</si>
  <si>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</si>
  <si>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</si>
  <si>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</si>
  <si>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</si>
  <si>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</si>
  <si>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</si>
  <si>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</si>
  <si>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</si>
  <si>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</si>
  <si>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</si>
  <si>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</si>
  <si>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</si>
  <si>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</si>
  <si>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</si>
  <si>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</si>
  <si>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</si>
  <si>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</si>
  <si>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</si>
  <si>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</si>
  <si>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</si>
  <si>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</si>
  <si>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</si>
  <si>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</si>
  <si>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</si>
  <si>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</si>
  <si>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</si>
  <si>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</si>
  <si>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</si>
  <si>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</si>
  <si>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</si>
  <si>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</si>
  <si>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</si>
  <si>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</si>
  <si>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</si>
  <si>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</si>
  <si>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</si>
  <si>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</si>
  <si>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</si>
  <si>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</si>
  <si>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</si>
  <si>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</si>
  <si>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</si>
  <si>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</si>
  <si>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</si>
  <si>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</si>
  <si>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</si>
  <si>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</si>
  <si>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</si>
  <si>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</si>
  <si>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</si>
  <si>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</si>
  <si>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</si>
  <si>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</si>
  <si>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</si>
  <si>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</si>
  <si>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</si>
  <si>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</si>
  <si>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</si>
  <si>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</si>
  <si>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</si>
  <si>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</si>
  <si>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</si>
  <si>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</si>
  <si>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</si>
  <si>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</si>
  <si>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</si>
  <si>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</si>
  <si>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</si>
  <si>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</si>
  <si>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</si>
  <si>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</si>
  <si>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</si>
  <si>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</si>
  <si>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</si>
  <si>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</si>
  <si>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</si>
  <si>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</si>
  <si>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</si>
  <si>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</si>
  <si>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</si>
  <si>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</si>
  <si>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</si>
  <si>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</si>
  <si>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</si>
  <si>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</si>
  <si>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</si>
  <si>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</si>
  <si>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</si>
  <si>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</si>
  <si>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</si>
  <si>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</si>
  <si>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</si>
  <si>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</si>
  <si>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</si>
  <si>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</si>
  <si>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</si>
  <si>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</si>
  <si>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</si>
  <si>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</si>
  <si>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</si>
  <si>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</si>
  <si>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</si>
  <si>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</si>
  <si>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</si>
  <si>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</si>
  <si>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</si>
  <si>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</si>
  <si>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</si>
  <si>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</si>
  <si>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</si>
  <si>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</si>
  <si>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</si>
  <si>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</si>
  <si>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</si>
  <si>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</si>
  <si>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</si>
  <si>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</si>
  <si>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</si>
  <si>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</si>
  <si>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</si>
  <si>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</si>
  <si>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</si>
  <si>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</si>
  <si>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</si>
  <si>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</si>
  <si>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</si>
  <si>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</si>
  <si>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</si>
  <si>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</si>
  <si>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</si>
  <si>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</si>
  <si>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</si>
  <si>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</si>
  <si>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</si>
  <si>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</si>
  <si>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</si>
  <si>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</si>
  <si>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</si>
  <si>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</si>
  <si>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</si>
  <si>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</si>
  <si>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</si>
  <si>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</si>
  <si>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</si>
  <si>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</si>
  <si>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</si>
  <si>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</si>
  <si>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</si>
  <si>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</si>
  <si>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</si>
  <si>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</si>
  <si>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</si>
  <si>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</si>
  <si>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</si>
  <si>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</si>
  <si>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</si>
  <si>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</si>
  <si>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</si>
  <si>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</si>
  <si>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</si>
  <si>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</si>
  <si>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</si>
  <si>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</si>
  <si>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</si>
  <si>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</si>
  <si>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</si>
  <si>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</si>
  <si>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</si>
  <si>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</si>
  <si>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</si>
  <si>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</si>
  <si>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</si>
  <si>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</si>
  <si>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</si>
  <si>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</si>
  <si>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</si>
  <si>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</si>
  <si>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</si>
  <si>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</si>
  <si>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</si>
  <si>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</si>
  <si>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</si>
  <si>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</si>
  <si>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</si>
  <si>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</si>
  <si>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</si>
  <si>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</si>
  <si>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</si>
  <si>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</si>
  <si>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</si>
  <si>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</si>
  <si>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</si>
  <si>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</si>
  <si>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</si>
  <si>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</si>
  <si>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</si>
  <si>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</si>
  <si>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</si>
  <si>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</si>
  <si>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</si>
  <si>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</si>
  <si>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</si>
  <si>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</si>
  <si>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</si>
  <si>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</si>
  <si>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</si>
  <si>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</si>
  <si>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</si>
  <si>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</si>
  <si>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</si>
  <si>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</si>
  <si>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</si>
  <si>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</si>
  <si>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</si>
  <si>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</si>
  <si>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</si>
  <si>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</si>
  <si>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</si>
  <si>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</si>
  <si>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</si>
  <si>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</si>
  <si>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</si>
  <si>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</si>
  <si>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</si>
  <si>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</si>
  <si>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</si>
  <si>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</si>
  <si>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</si>
  <si>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</si>
  <si>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</si>
  <si>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</si>
  <si>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</si>
  <si>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</si>
  <si>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</si>
  <si>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</si>
  <si>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</si>
  <si>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</si>
  <si>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</si>
  <si>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</si>
  <si>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</si>
  <si>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</si>
  <si>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</si>
  <si>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</si>
  <si>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</si>
  <si>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</si>
  <si>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</si>
  <si>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</si>
  <si>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</si>
  <si>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</si>
  <si>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</si>
  <si>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</si>
  <si>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</si>
  <si>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</si>
  <si>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</si>
  <si>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</si>
  <si>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</si>
  <si>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</si>
  <si>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</si>
  <si>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</si>
  <si>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</si>
  <si>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</si>
  <si>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</si>
  <si>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</si>
  <si>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</si>
  <si>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</si>
  <si>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</si>
  <si>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</si>
  <si>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</si>
  <si>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</si>
  <si>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</si>
  <si>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</si>
  <si>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</si>
  <si>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</si>
  <si>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</si>
  <si>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</si>
  <si>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</si>
  <si>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</si>
  <si>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</si>
  <si>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</si>
  <si>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</si>
  <si>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</si>
  <si>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</si>
  <si>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</si>
  <si>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</si>
  <si>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</si>
  <si>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</si>
  <si>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</si>
  <si>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</si>
  <si>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</si>
  <si>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</si>
  <si>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</si>
  <si>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</si>
  <si>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</si>
  <si>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</si>
  <si>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</si>
  <si>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</si>
  <si>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</si>
  <si>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</si>
  <si>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</si>
  <si>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</si>
  <si>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</si>
  <si>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</si>
  <si>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</si>
  <si>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</si>
  <si>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</si>
  <si>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</si>
  <si>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</si>
  <si>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</si>
  <si>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</si>
  <si>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</si>
  <si>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</si>
  <si>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</si>
  <si>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</si>
  <si>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</si>
  <si>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</si>
  <si>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</si>
  <si>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</si>
  <si>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</si>
  <si>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</si>
  <si>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</si>
  <si>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</si>
  <si>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</si>
  <si>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</si>
  <si>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</si>
  <si>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</si>
  <si>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</si>
  <si>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</si>
  <si>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</si>
  <si>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</si>
  <si>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</si>
  <si>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</si>
  <si>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</si>
  <si>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</si>
  <si>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</si>
  <si>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</si>
  <si>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</si>
  <si>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</si>
  <si>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</si>
  <si>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</si>
  <si>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</si>
  <si>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</si>
  <si>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</si>
  <si>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</si>
  <si>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</si>
  <si>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</si>
  <si>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</si>
  <si>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</si>
  <si>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</si>
  <si>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</si>
  <si>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</si>
  <si>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</si>
  <si>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</si>
  <si>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</si>
  <si>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</si>
  <si>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</si>
  <si>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</si>
  <si>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</si>
  <si>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</si>
  <si>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</si>
  <si>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</si>
  <si>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</si>
  <si>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</si>
  <si>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</si>
  <si>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</si>
  <si>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</si>
  <si>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</si>
  <si>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</si>
  <si>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</si>
  <si>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</si>
  <si>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</si>
  <si>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</si>
  <si>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</si>
  <si>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</si>
  <si>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</si>
  <si>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</si>
  <si>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</si>
  <si>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</si>
  <si>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</si>
  <si>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</si>
  <si>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</si>
  <si>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</si>
  <si>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</si>
  <si>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</si>
  <si>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</si>
  <si>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</si>
  <si>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</si>
  <si>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</si>
  <si>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</si>
  <si>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</si>
  <si>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</si>
  <si>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</si>
  <si>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</si>
  <si>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</si>
  <si>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</si>
  <si>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</si>
  <si>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</si>
  <si>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</si>
  <si>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</si>
  <si>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</si>
  <si>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</si>
  <si>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</si>
  <si>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</si>
  <si>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</si>
  <si>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</si>
  <si>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</si>
  <si>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</si>
  <si>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</si>
  <si>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</si>
  <si>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</si>
  <si>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</si>
  <si>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</si>
  <si>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</si>
  <si>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</si>
  <si>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</si>
  <si>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</si>
  <si>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</si>
  <si>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</si>
  <si>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</si>
  <si>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</si>
  <si>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</si>
  <si>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</si>
  <si>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</si>
  <si>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</si>
  <si>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</si>
  <si>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</si>
  <si>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</si>
  <si>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</si>
  <si>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</si>
  <si>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</si>
  <si>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</si>
  <si>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</si>
  <si>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</si>
  <si>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</si>
  <si>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</si>
  <si>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</si>
  <si>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</si>
  <si>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</si>
  <si>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</si>
  <si>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</si>
  <si>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</si>
  <si>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</si>
  <si>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</si>
  <si>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</si>
  <si>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</si>
  <si>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</si>
  <si>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</si>
  <si>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</si>
  <si>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</si>
  <si>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</si>
  <si>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</si>
  <si>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</si>
  <si>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</si>
  <si>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</si>
  <si>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</si>
  <si>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</si>
  <si>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</si>
  <si>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</si>
  <si>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</si>
  <si>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</si>
  <si>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</si>
  <si>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</si>
  <si>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</si>
  <si>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</si>
  <si>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</si>
  <si>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</si>
  <si>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</si>
  <si>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</si>
  <si>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</si>
  <si>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</si>
  <si>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</si>
  <si>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ST. CLAIR</t>
  </si>
  <si>
    <t>1700 JEROME LANE</t>
  </si>
  <si>
    <t>CAHOKIA</t>
  </si>
  <si>
    <t>harveya@cusd187.org</t>
  </si>
  <si>
    <t>SCHEFFEL BOYLE</t>
  </si>
  <si>
    <t>DALE HOLTMANN</t>
  </si>
  <si>
    <t>222 EAST MAIN STREET</t>
  </si>
  <si>
    <t>BELLEVILLE</t>
  </si>
  <si>
    <t>IL</t>
  </si>
  <si>
    <t>618-277-8100</t>
  </si>
  <si>
    <t>618-277-9307</t>
  </si>
  <si>
    <t>065-26956</t>
  </si>
  <si>
    <t>dale.holtmann@scheffelboyle.com</t>
  </si>
  <si>
    <t>ARNETT HARVEY</t>
  </si>
  <si>
    <t>618-332-4705</t>
  </si>
  <si>
    <t>618-332-3706</t>
  </si>
  <si>
    <t>Sodexo</t>
  </si>
  <si>
    <t>First Student</t>
  </si>
  <si>
    <t>Scheffel Boyle</t>
  </si>
  <si>
    <t>Becker, Hoener, Ysursa</t>
  </si>
  <si>
    <t>Clayborne &amp; Wager LLP</t>
  </si>
  <si>
    <t>Various ROE's</t>
  </si>
  <si>
    <t>2012 B General Obligation School Bonds</t>
  </si>
  <si>
    <t>2012 D General Obligation School Bonds</t>
  </si>
  <si>
    <t>2013 Capital Appreciation Bonds</t>
  </si>
  <si>
    <t>2015 Capital Appreciation Bonds</t>
  </si>
  <si>
    <t>1, 4</t>
  </si>
  <si>
    <t>US DEPARTMENT OF AGRICULTURE - PASS THROUGH ILLINOIS STATE BOARD OF EDUCATION</t>
  </si>
  <si>
    <t xml:space="preserve">                Child Nutrition Cluster</t>
  </si>
  <si>
    <t>20-4210-00</t>
  </si>
  <si>
    <t>19-4210-00</t>
  </si>
  <si>
    <t>20-4220-00</t>
  </si>
  <si>
    <t>19-4220-00</t>
  </si>
  <si>
    <t>20-4225-00</t>
  </si>
  <si>
    <t>19-4225-00</t>
  </si>
  <si>
    <t>Child and Adult Care Food Program FY 20</t>
  </si>
  <si>
    <t>Child and Adult Care Food Program FY 19</t>
  </si>
  <si>
    <t>20-4226-00</t>
  </si>
  <si>
    <t>19-4226-00</t>
  </si>
  <si>
    <t xml:space="preserve">               Total Child and Adult Care Food Program</t>
  </si>
  <si>
    <t>20-4240-00</t>
  </si>
  <si>
    <t>Fresh Fruits and Vegatables FY 20</t>
  </si>
  <si>
    <t>Fresh Fruits and Vegatables FY 19</t>
  </si>
  <si>
    <t>TOTAL US DEPARTMENT OF AGRICULTURE - PASS THROUGH ILLINOIS STATE BOARD OF EDUCATION</t>
  </si>
  <si>
    <t>DEPT OF HEALTH AND HUMAN SVCS - PASS THROUGH IL DEPT OF HEALTHCARE AND FAMILY SERVICES</t>
  </si>
  <si>
    <t>Medicaid</t>
  </si>
  <si>
    <t>20-4991-00</t>
  </si>
  <si>
    <t>DEPARTMENT OF HUMAN SERVICES - PASS THROUGH ILLINOIS DEPT OF HUMAN SERVICES</t>
  </si>
  <si>
    <t>STEP Performance</t>
  </si>
  <si>
    <t>20-4799-00</t>
  </si>
  <si>
    <t>US DEPARTMENT OF EDUCATION - PASS THROUGH ILLINOIS STATE BOARD OF EDUCATION</t>
  </si>
  <si>
    <t>Title II - Teacher Quality FY 20</t>
  </si>
  <si>
    <t>Title II - Teacher Quality FY 19</t>
  </si>
  <si>
    <t>20-4932-00</t>
  </si>
  <si>
    <t>19-4932-00</t>
  </si>
  <si>
    <t xml:space="preserve">                Total Title II - Teacher Quality</t>
  </si>
  <si>
    <t>(M) Title I - Low Income FY  20</t>
  </si>
  <si>
    <t>(M) Title I - Low Income FY 19</t>
  </si>
  <si>
    <t>(M) Title I - School Improvement FY 20</t>
  </si>
  <si>
    <t>(M) Title I - School Improvement FY 19</t>
  </si>
  <si>
    <t>20-4300-00</t>
  </si>
  <si>
    <t>19-4300-00</t>
  </si>
  <si>
    <t>20-4331-00</t>
  </si>
  <si>
    <t>19-4331-00</t>
  </si>
  <si>
    <t xml:space="preserve">                 Total Title I Cluster</t>
  </si>
  <si>
    <t>Title IVA Student Support &amp; Academic Enrichment FY 20</t>
  </si>
  <si>
    <t>Title IVA Student Support &amp; Academic Enrichment FY 19</t>
  </si>
  <si>
    <t>20-4400-00</t>
  </si>
  <si>
    <t>19-4400-00</t>
  </si>
  <si>
    <t>20-4600-00</t>
  </si>
  <si>
    <t>20-4620-00</t>
  </si>
  <si>
    <t>19-4620-00</t>
  </si>
  <si>
    <t>Preschool Expansion Grant FY 19</t>
  </si>
  <si>
    <t>84.419B</t>
  </si>
  <si>
    <t>19-4902-00</t>
  </si>
  <si>
    <t>Title IV - 21st Century FY 19 (Section 15)</t>
  </si>
  <si>
    <t>Title IV - 21st Century FY 19 (Section 25)</t>
  </si>
  <si>
    <t xml:space="preserve">             Total Title IV - 21st Century</t>
  </si>
  <si>
    <t>Title IV - 21st Century FY 20 (Section 15)</t>
  </si>
  <si>
    <t>Title IV - 21st Century FY 20 (Section 25)</t>
  </si>
  <si>
    <t>20-4221-15</t>
  </si>
  <si>
    <t>19-4221-15</t>
  </si>
  <si>
    <t>20-4221-25</t>
  </si>
  <si>
    <t>19-4221-25</t>
  </si>
  <si>
    <t>The accompanying Schedule of Expenditures of Federal Awards includes the federal grant activity of Cahokia Community Unit School District 187 and is presented on the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</si>
  <si>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Cahokia CUSD 187 provided federal awards to subrecipients as follows:</t>
  </si>
  <si>
    <t>None</t>
  </si>
  <si>
    <r>
      <t xml:space="preserve">The following amounts were expended in the form of non-cash assistance by Cahokia CUSD 187 and </t>
    </r>
    <r>
      <rPr>
        <b/>
        <sz val="9"/>
        <rFont val="Calibri"/>
        <family val="2"/>
        <scheme val="minor"/>
      </rPr>
      <t>should be</t>
    </r>
    <r>
      <rPr>
        <sz val="9"/>
        <rFont val="Calibri"/>
        <family val="2"/>
        <scheme val="minor"/>
      </rPr>
      <t xml:space="preserve"> included in the Schedule of Expenditures of Federal Awards:</t>
    </r>
  </si>
  <si>
    <t>Unmodified</t>
  </si>
  <si>
    <t>N/A</t>
  </si>
  <si>
    <t>19-4240-19</t>
  </si>
  <si>
    <t>19-4240-20</t>
  </si>
  <si>
    <t xml:space="preserve">              Total Fresh Fruits and Vegatables</t>
  </si>
  <si>
    <t xml:space="preserve">              Total Title IVA Student Support &amp; Academic </t>
  </si>
  <si>
    <t>US DEPARTMENT OF EDUCATION - PASS THROUGH ILLINOIS STATE BOARD OF EDUCATION (CONT'D)</t>
  </si>
  <si>
    <t>Federal Special Education - IDEA Preschool FY 20</t>
  </si>
  <si>
    <t>Federal Special Education - IDEA Flow Through FY 20</t>
  </si>
  <si>
    <t>Federal Special Education - IDEA Flow Through FY 19</t>
  </si>
  <si>
    <t>20-4620-EI</t>
  </si>
  <si>
    <t xml:space="preserve">               Total Federal Special Education Cluster</t>
  </si>
  <si>
    <t>2019A Taxable General Obligation School Bonds</t>
  </si>
  <si>
    <t xml:space="preserve">2019B General Obligation School Bonds </t>
  </si>
  <si>
    <t>2020 General Obligation School Bonds</t>
  </si>
  <si>
    <t>Based on Public Act 101-0416 for Working Cash Bonds, the District appears to be over the limit, but the District is not over the limit.</t>
  </si>
  <si>
    <t>x</t>
  </si>
  <si>
    <t>The School District relies on the external audit firm to assist in the preparation of the financial statements and all required disclosures in accordance with accounting principles generally accepted in the United States of America.</t>
  </si>
  <si>
    <t>No questioned costs.</t>
  </si>
  <si>
    <t>The School District relies on the external audit firm to assist in the preparation of the financial statements and all required disclosures in accordance with accounting principles generally accepted in the United States of America for the year ended June 30, 2020.</t>
  </si>
  <si>
    <t>The financial statements were prepared by the external auditor and then reviewed and approved by District management for the year ended June 30, 2020.</t>
  </si>
  <si>
    <t>The School District should consider the costs and benefits of hiring staff with expertise or train existing accounting staff to ensure the District's annual financial statements and all required disclosures are prepared in accordance with accounting principles generally accepted in the United States of America.</t>
  </si>
  <si>
    <t>The School District required the expertise of the external auditor to prepare the financial statements and disclosures in accordance with accounting principles generally accepted in the United States of America for the year ended June 30, 2020.</t>
  </si>
  <si>
    <t>Management believes their accounting staff maintains adequate books and records of the School District's transactions and oversees all nonaudit functions.  Additionally, management does not believe it is cost beneficial to hire additional expertise to ensure the School District's annual financial statements and all required disclosures are prepared in accordance with accounting principles generally accepted in the United States of America.</t>
  </si>
  <si>
    <t>The School District did not properly record all transactions for the year in accordance with accounting principles generally accepted in the United States of America.</t>
  </si>
  <si>
    <t>We noted that the School District did not properly record all transactions for the year ended June 30, 2020 in accordance with accounting prnciples generally accepted in the United States of America.</t>
  </si>
  <si>
    <t>The School District should consider the costs and benefits of hiring staff with expertise or train existing accounting staff to ensure the School District's annual financial statements are prepared in accordance with accounting principles generally accepted in the United States of America.</t>
  </si>
  <si>
    <t xml:space="preserve">The School District does not believe it is cost beneficial to hire additional expertise to ensure the School District's annual financial statements are prepared in accordance with accounting principles generally accepted in the United States of America.   The School District's accounting staff oversees all nonaudit functions. </t>
  </si>
  <si>
    <t>2019-001</t>
  </si>
  <si>
    <t>Preparing Financial Statements</t>
  </si>
  <si>
    <t>Management believes their accounting staff maintains</t>
  </si>
  <si>
    <t>adequate books and records of the school's transactions</t>
  </si>
  <si>
    <t>and oversees all nonaudit functions.  Additionally,</t>
  </si>
  <si>
    <t>management does not believe it is cost beneficial to</t>
  </si>
  <si>
    <t>hire additional expertise to prepare the financial statements.</t>
  </si>
  <si>
    <t>2019-002</t>
  </si>
  <si>
    <t>Journal Entries</t>
  </si>
  <si>
    <t xml:space="preserve">The School District personnel enter all transactions, </t>
  </si>
  <si>
    <t>however, several accrual basis journal entries are needed</t>
  </si>
  <si>
    <t>at year end to bring the trial balances into compliance</t>
  </si>
  <si>
    <t>with accounting principles generally accepted in the United</t>
  </si>
  <si>
    <t>States of America.</t>
  </si>
  <si>
    <t>Expenditure Reports filed late</t>
  </si>
  <si>
    <t>In the prior year, the School District filed a few quarterly</t>
  </si>
  <si>
    <t>expenditure reports late.  During the current year, they also</t>
  </si>
  <si>
    <t>filed a few reports late.</t>
  </si>
  <si>
    <t>2019-003</t>
  </si>
  <si>
    <t>2019-004</t>
  </si>
  <si>
    <t>Accurate expenditure reports</t>
  </si>
  <si>
    <t>During the prior year, the School District expenditure reports</t>
  </si>
  <si>
    <t>did not match the general ledger reports.   This was resolved</t>
  </si>
  <si>
    <t>this year.</t>
  </si>
  <si>
    <t>84.425D</t>
  </si>
  <si>
    <t>20-4998-00</t>
  </si>
  <si>
    <t xml:space="preserve">TOTAL US DEPARTMENT OF EDUCATION - PASS THROUGH ILLINOIS STATE BOARD OF EDUCATION </t>
  </si>
  <si>
    <t>US DEPARTMENT OF PUBLIC HEALTH PASS THROUGH ILLINOIS DEPARTMENT OF PUBLIC HEALTH</t>
  </si>
  <si>
    <t>20-4994-00</t>
  </si>
  <si>
    <t>AmeriCorps 07380044H</t>
  </si>
  <si>
    <t>AmeriCorps 97380044G</t>
  </si>
  <si>
    <t>19-4994-00</t>
  </si>
  <si>
    <t>TOTAL US DEPARTMENT OF PUBLIC HEALTH PASS THROUGH ILLINOIS DEPARTMENT OF PUBLIC HEALTH</t>
  </si>
  <si>
    <t>US DEPARTMENT OF EDUCATION - PASS THROUGH SOUTHWESTERN ILLINOIS CTE SYSTEM</t>
  </si>
  <si>
    <t>Perkins</t>
  </si>
  <si>
    <t>20-4745-00</t>
  </si>
  <si>
    <t>TOTAL FEDERAL FINANCIAL ASSISTANCE CASH</t>
  </si>
  <si>
    <t>TOTAL FEDERAL FINANCIAL ASSISTANCE CASH AND NONCASH</t>
  </si>
  <si>
    <t>CLUSTER</t>
  </si>
  <si>
    <t>CHILD NUTRITION CLUSTER</t>
  </si>
  <si>
    <t xml:space="preserve">TITLE I  </t>
  </si>
  <si>
    <t>FEDERAL SPECIAL EDUCATION</t>
  </si>
  <si>
    <t>84.010</t>
  </si>
  <si>
    <t>Illinois State Board of Education</t>
  </si>
  <si>
    <t>US Department of Education</t>
  </si>
  <si>
    <t>Reporting.  Expenditure reports are required to be submitted on a quarterly basis and are due to ISBE 20 days after the quarter ends (10/20, 1/20, 4/20 and 7/20).</t>
  </si>
  <si>
    <t>The School District filed the Title I - Low Income 9/30/2019 expenditure report late on 10/23/2019.    ISBE requires the reports be submitted 20 days after the quarter ends.</t>
  </si>
  <si>
    <t>The School District was still gathering the information needed as the budget was not approved until September 16, 2019 and the School District needed time to get budgets entered into their system and determine that expenditures were coded correctly.</t>
  </si>
  <si>
    <t>Management plans to communicate to each grant director when the reports are due and to monitor when reports are filed.</t>
  </si>
  <si>
    <t>Procurement Suspension &amp; Debarment</t>
  </si>
  <si>
    <t>Federal and State Monitoring noted that the School District was not compliant with procurement by formal purchase (competitive), the acquistion of supplies or services in which the aggregate dollar amount is expected to exceed $25,000.  The School District purchased new cafeteria equipment for multiple schools without conducting a formal purchase (bid).</t>
  </si>
  <si>
    <t>To obtain bids for all purchases of acquisition of supplies or services in which the aggregate amount will exceed $25,000.</t>
  </si>
  <si>
    <t xml:space="preserve">Management plans to obtain bids on all purchases over $25,000 in the future.  </t>
  </si>
  <si>
    <t>(M) Federal Lunch Program FY 20</t>
  </si>
  <si>
    <t>(M) Federal Lunch Program FY 19</t>
  </si>
  <si>
    <t>(M) Federal Breakfast Program FY 20</t>
  </si>
  <si>
    <t>(M) Federal Breakfast Program FY 19</t>
  </si>
  <si>
    <t>(M) Summer Food Program FY 20</t>
  </si>
  <si>
    <t>(M) Summer Food Program FY 19</t>
  </si>
  <si>
    <t>Title I</t>
  </si>
  <si>
    <t>10.555/10.553/10.559</t>
  </si>
  <si>
    <t>ChIld Nutrition Cluster</t>
  </si>
  <si>
    <t>Title I - Low Income FY 20</t>
  </si>
  <si>
    <t>Child Nutrition Cluster FY 20</t>
  </si>
  <si>
    <t>20-4210-00; 20-4220-00</t>
  </si>
  <si>
    <t>10.555/10.553</t>
  </si>
  <si>
    <t>US Department of Agriculture</t>
  </si>
  <si>
    <t>The School District was not in compliance with the procurement standard.</t>
  </si>
  <si>
    <t>The School District was not aware that the procurement standard was for the aggregate amount spent as each equipment piece purchased was under $25,000 individually.</t>
  </si>
  <si>
    <t>The School District did not obtain the necessary bids for the cafeteria equipment.</t>
  </si>
  <si>
    <t>(M) NONCASH COMMODITIES - PART OF CHILD NUTRITION CLUSTER</t>
  </si>
  <si>
    <t>The effects of the audit journal entries amounted to reclassifying revenue items, adjusting for year end conversion to accrual basis, and reclassifying noncapital items out of capital outlay.   Journal entries were necessary to bring the trial balance into compliance with accounting principles generally accepted in the United States of America for the year ended June 30, 2020.</t>
  </si>
  <si>
    <t>The School District is required to have staff with sufficient training or expertise to complete the financial statements and all required disclosures in accordance with accounting principles generally accepted in the United States of America.</t>
  </si>
  <si>
    <t>The School District is required to have staff with sufficient training or expertise to complete all required transactions and journal entries in accordance with accounting principles generally accepted in the United States of America for the year ended   June 30, 2020.</t>
  </si>
  <si>
    <t>The School District relies on the external audit firm to assist with year end accruals and journal entries that are necessary to bring the trial balance into compliance with accounting principles generally accepted in the United States of America.</t>
  </si>
  <si>
    <t xml:space="preserve">We noted that the School District did not submit timely reports for the September 30, 2019 report that was due 10/20/19.  </t>
  </si>
  <si>
    <t>The School District was not in compliance with ISBE by filing the expenditure report late.</t>
  </si>
  <si>
    <t>To communicate to all employees involved in the grants when the reports are due and monitor when reports are submitted.</t>
  </si>
  <si>
    <t>COVID-19 - Elementary and Secondary School Emergency Relief Grant</t>
  </si>
  <si>
    <t>ED-BUSINESS SERVICES-PURCHASED SERVICES</t>
  </si>
  <si>
    <t>TRANSPORTATION-BUSINESS SERVICES-PURCHASED SERVICES</t>
  </si>
  <si>
    <t>ED-GENERAL ADMINISTRATIO-PURCHASED SERVICES</t>
  </si>
  <si>
    <t>TORT-GENERAL ADMINSTRATION-PURCHASED SERVICES</t>
  </si>
  <si>
    <t>Page 10, Other Local Revenue Account 1999</t>
  </si>
  <si>
    <t xml:space="preserve">   Educational Fund  $259,754 Miscellaneous revenue from rental of buildings, stipends and various refunds</t>
  </si>
  <si>
    <t xml:space="preserve">   Operations &amp; Maintenance - $1,257 - Miscellaneous revenue</t>
  </si>
  <si>
    <t xml:space="preserve">   Transporation - $109,313 - Transporation Costs for Homeless kids; reimbursements from other districts for transporation costs reimbursements</t>
  </si>
  <si>
    <t xml:space="preserve">   Tort - $76,778 - Refund of MISSVIC Salaries</t>
  </si>
  <si>
    <t>Page 12, Other Restricted Revenue from State Sources</t>
  </si>
  <si>
    <t>Page 11, Other Unrestricted Grants in Aid from State Sources</t>
  </si>
  <si>
    <t xml:space="preserve">   Educational Fund - $108,327 - Grants from the Illinois Art Council</t>
  </si>
  <si>
    <t xml:space="preserve">   Educational Fund - $69,657 - Grant 3999 HS and Grant 3999 PS</t>
  </si>
  <si>
    <t xml:space="preserve">Page 13, Title I - Other </t>
  </si>
  <si>
    <t xml:space="preserve">   Educational and IMRF Funds - Title I School Improvement Grant</t>
  </si>
  <si>
    <t>Page 13, CTE Other</t>
  </si>
  <si>
    <t xml:space="preserve">   Educational Fund - $9,950 STEPS Grant</t>
  </si>
  <si>
    <t>Page 14, Other Restricted Revenue from Federal Sources</t>
  </si>
  <si>
    <t xml:space="preserve">   Educational Fund - $351,186 - CARES Act - $42,851; Americorps - $308,335</t>
  </si>
  <si>
    <t>Page 16, Other Support Services</t>
  </si>
  <si>
    <t xml:space="preserve">   Educational Fund - Salaries, benefits, purchased services, supplies for Title grants</t>
  </si>
  <si>
    <t>Page 16, Other Payments to In State Govt</t>
  </si>
  <si>
    <t xml:space="preserve">  </t>
  </si>
  <si>
    <t xml:space="preserve">   Educational Fund - Payments to local government for SRO's</t>
  </si>
  <si>
    <t>Page 20, Other Support Services</t>
  </si>
  <si>
    <t xml:space="preserve">   IMRF Fund - Benefits for Title grants</t>
  </si>
  <si>
    <t xml:space="preserve"> Cahokia USD 187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</si>
</sst>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75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vertical="top"/>
      <protection locked="0"/>
    </xf>
    <xf numFmtId="0" fontId="57" fillId="0" borderId="0" xfId="3" applyFont="1" applyProtection="1"/>
    <xf numFmtId="164" fontId="62" fillId="0" borderId="2" xfId="9" applyNumberFormat="1" applyFont="1" applyFill="1" applyBorder="1" applyAlignment="1" applyProtection="1">
      <alignment horizontal="left" vertical="center"/>
      <protection locked="0"/>
    </xf>
    <xf numFmtId="0" fontId="62" fillId="0" borderId="0" xfId="3" applyFont="1" applyBorder="1" applyAlignment="1" applyProtection="1">
      <alignment horizontal="center"/>
    </xf>
    <xf numFmtId="0" fontId="62" fillId="0" borderId="0" xfId="3" applyFont="1" applyBorder="1" applyProtection="1"/>
    <xf numFmtId="0" fontId="57" fillId="0" borderId="0" xfId="3" applyFont="1" applyAlignment="1" applyProtection="1">
      <alignment horizontal="center"/>
    </xf>
    <xf numFmtId="0" fontId="54" fillId="0" borderId="0" xfId="3" applyFont="1" applyProtection="1"/>
    <xf numFmtId="0" fontId="54" fillId="0" borderId="0" xfId="3" applyFont="1" applyFill="1" applyProtection="1"/>
    <xf numFmtId="0" fontId="57" fillId="0" borderId="0" xfId="3" applyFont="1" applyFill="1" applyProtection="1"/>
    <xf numFmtId="0" fontId="55" fillId="0" borderId="0" xfId="3" applyFont="1" applyProtection="1"/>
    <xf numFmtId="0" fontId="57" fillId="0" borderId="78" xfId="3" applyFont="1" applyBorder="1" applyProtection="1"/>
    <xf numFmtId="0" fontId="62" fillId="0" borderId="0" xfId="3" applyFont="1" applyProtection="1"/>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0" fontId="64" fillId="0" borderId="5" xfId="3" applyFont="1" applyFill="1" applyBorder="1" applyAlignment="1" applyProtection="1"/>
    <xf numFmtId="3" fontId="62" fillId="0" borderId="22" xfId="3" applyNumberFormat="1" applyFont="1" applyBorder="1" applyAlignment="1" applyProtection="1">
      <alignment horizontal="left" vertical="center" wrapText="1"/>
      <protection locked="0"/>
    </xf>
    <xf numFmtId="3" fontId="62" fillId="0" borderId="22" xfId="3" applyNumberFormat="1" applyFont="1" applyBorder="1" applyAlignment="1" applyProtection="1">
      <alignment horizontal="left" vertical="center" wrapText="1"/>
      <protection locked="0"/>
    </xf>
    <xf numFmtId="3" fontId="62" fillId="0" borderId="22" xfId="3" applyNumberFormat="1" applyFont="1" applyBorder="1" applyAlignment="1" applyProtection="1">
      <alignment horizontal="left" vertical="center" wrapText="1"/>
      <protection locked="0"/>
    </xf>
    <xf numFmtId="0" fontId="54" fillId="0" borderId="0" xfId="3" applyFont="1" applyAlignment="1" applyProtection="1">
      <alignment horizontal="center" vertical="center"/>
    </xf>
    <xf numFmtId="3" fontId="62" fillId="0" borderId="22" xfId="3" applyNumberFormat="1" applyFont="1" applyBorder="1" applyAlignment="1" applyProtection="1">
      <alignment horizontal="left" vertical="center" wrapText="1"/>
      <protection locked="0"/>
    </xf>
    <xf numFmtId="0" fontId="57" fillId="0" borderId="0" xfId="3" applyFont="1" applyBorder="1" applyAlignment="1" applyProtection="1">
      <alignment vertical="center"/>
    </xf>
    <xf numFmtId="0" fontId="57" fillId="0" borderId="0" xfId="3" applyFont="1" applyProtection="1"/>
    <xf numFmtId="0" fontId="57" fillId="0" borderId="0" xfId="3" applyFont="1" applyBorder="1" applyProtection="1"/>
    <xf numFmtId="0" fontId="55" fillId="0" borderId="0" xfId="3" applyFont="1" applyBorder="1" applyProtection="1"/>
    <xf numFmtId="0" fontId="62" fillId="0" borderId="0" xfId="3" applyFont="1" applyBorder="1" applyProtection="1"/>
    <xf numFmtId="0" fontId="57" fillId="0" borderId="0" xfId="3" applyFont="1" applyAlignment="1" applyProtection="1">
      <alignment horizontal="center"/>
    </xf>
    <xf numFmtId="0" fontId="65" fillId="0" borderId="0" xfId="3" applyFont="1" applyProtection="1"/>
    <xf numFmtId="0" fontId="65" fillId="0" borderId="0" xfId="3" applyFont="1" applyAlignment="1" applyProtection="1">
      <alignment horizontal="center"/>
    </xf>
    <xf numFmtId="0" fontId="65" fillId="0" borderId="0" xfId="3" applyFont="1" applyAlignment="1" applyProtection="1"/>
    <xf numFmtId="0" fontId="65" fillId="0" borderId="0" xfId="3" applyFont="1" applyBorder="1" applyProtection="1"/>
    <xf numFmtId="3" fontId="62" fillId="0" borderId="22" xfId="3" applyNumberFormat="1" applyFont="1" applyBorder="1" applyAlignment="1" applyProtection="1">
      <alignment horizontal="left" vertical="center" wrapText="1"/>
      <protection locked="0"/>
    </xf>
    <xf numFmtId="0" fontId="65" fillId="0" borderId="0" xfId="3" applyFont="1" applyAlignment="1" applyProtection="1">
      <alignment vertical="center"/>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Border="1" applyAlignment="1" applyProtection="1">
      <alignment horizontal="center"/>
    </xf>
    <xf numFmtId="0" fontId="64" fillId="0" borderId="0" xfId="3" applyFont="1" applyBorder="1" applyProtection="1"/>
    <xf numFmtId="0" fontId="64" fillId="0" borderId="0" xfId="3" applyFont="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119" fillId="0" borderId="0" xfId="3" applyFont="1" applyBorder="1" applyProtection="1"/>
    <xf numFmtId="0" fontId="119" fillId="0" borderId="0" xfId="3" applyFont="1" applyProtection="1"/>
    <xf numFmtId="0" fontId="57" fillId="0" borderId="9" xfId="3" applyFont="1" applyBorder="1" applyProtection="1"/>
    <xf numFmtId="0" fontId="57" fillId="0" borderId="9" xfId="3" applyFont="1" applyBorder="1" applyAlignment="1" applyProtection="1">
      <alignment horizontal="center"/>
    </xf>
    <xf numFmtId="0" fontId="57" fillId="0" borderId="0" xfId="3" applyFont="1" applyBorder="1" applyAlignment="1" applyProtection="1"/>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0" fontId="125" fillId="0" borderId="155" xfId="19" applyFont="1" applyBorder="1" applyAlignment="1" applyProtection="1">
      <alignment horizontal="left" vertical="top" wrapText="1"/>
      <protection locked="0"/>
    </xf>
    <xf numFmtId="0" fontId="2" fillId="0" borderId="155" xfId="19" applyFont="1" applyBorder="1" applyAlignment="1" applyProtection="1">
      <alignment horizontal="left" vertical="top" wrapText="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quotePrefix="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3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30" xr:uid="{CBCCA952-B969-4D4E-B18E-403276AFA188}"/>
    <cellStyle name="Normal 3 2 2 3" xfId="25" xr:uid="{C60F2D39-B7C8-4D10-9422-65F2E6458465}"/>
    <cellStyle name="Normal 3 2 3" xfId="27" xr:uid="{798D4C35-F970-4EF8-AC4E-6A7ABCF6B2D0}"/>
    <cellStyle name="Normal 3 2 4" xfId="22" xr:uid="{EF1D3570-D0A7-4DCA-876E-180046FF5427}"/>
    <cellStyle name="Normal 3 3" xfId="26" xr:uid="{37948345-1EA0-4DD2-BCC7-8E199A5218D3}"/>
    <cellStyle name="Normal 3 4" xfId="21" xr:uid="{77E8453B-E99F-4181-BD18-47DB5C8F1DB5}"/>
    <cellStyle name="Normal 4" xfId="16" xr:uid="{00000000-0005-0000-0000-000008000000}"/>
    <cellStyle name="Normal 4 2" xfId="31" xr:uid="{7401F8D8-4FEF-4F00-AFDC-8D159C4CEB40}"/>
    <cellStyle name="Normal 4 3" xfId="28" xr:uid="{BAEA21D1-6B8F-47F4-9BC5-7E53BCF47B3D}"/>
    <cellStyle name="Normal 4 4" xfId="23" xr:uid="{EFDE5949-5028-4496-BC7E-09AF872338CD}"/>
    <cellStyle name="Normal 5" xfId="17" xr:uid="{00000000-0005-0000-0000-000009000000}"/>
    <cellStyle name="Normal 5 2" xfId="19" xr:uid="{00000000-0005-0000-0000-00000A000000}"/>
    <cellStyle name="Normal 5 2 2" xfId="29" xr:uid="{A2444678-8D6A-4877-95CD-B728A991BB1A}"/>
    <cellStyle name="Normal 5 3" xfId="24" xr:uid="{2B5613E3-43BB-4A67-B71F-4127ACBF4806}"/>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114300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114300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5</xdr:row>
          <xdr:rowOff>12989</xdr:rowOff>
        </xdr:from>
        <xdr:to>
          <xdr:col>1</xdr:col>
          <xdr:colOff>911802</xdr:colOff>
          <xdr:row>9</xdr:row>
          <xdr:rowOff>61480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438400" y="24993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947160" y="153162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66">
        <f>+'AFR20'!E4</f>
        <v>44119</v>
      </c>
      <c r="C1" s="2166"/>
      <c r="D1" s="2167"/>
      <c r="I1" s="2245" t="s">
        <v>402</v>
      </c>
      <c r="J1" s="2246"/>
      <c r="K1" s="2246"/>
      <c r="L1" s="2246"/>
      <c r="M1" s="2246"/>
      <c r="N1" s="2246"/>
      <c r="O1" s="2246"/>
      <c r="P1" s="2246"/>
      <c r="Q1" s="2246"/>
      <c r="R1" s="2246"/>
      <c r="S1" s="2246"/>
    </row>
    <row r="2" spans="1:32" ht="12" customHeight="1" x14ac:dyDescent="0.2">
      <c r="A2" s="1831" t="str">
        <f>"Due to ISBE on "</f>
        <v xml:space="preserve">Due to ISBE on </v>
      </c>
      <c r="B2" s="2168">
        <f>+'AFR20'!F4</f>
        <v>44151</v>
      </c>
      <c r="C2" s="2168"/>
      <c r="D2" s="2169"/>
      <c r="I2" s="2247" t="s">
        <v>2000</v>
      </c>
      <c r="J2" s="2246"/>
      <c r="K2" s="2246"/>
      <c r="L2" s="2246"/>
      <c r="M2" s="2246"/>
      <c r="N2" s="2246"/>
      <c r="O2" s="2246"/>
      <c r="P2" s="2246"/>
      <c r="Q2" s="2246"/>
      <c r="R2" s="2246"/>
      <c r="S2" s="2246"/>
    </row>
    <row r="3" spans="1:32" ht="12" customHeight="1" x14ac:dyDescent="0.2">
      <c r="A3" s="1834" t="str">
        <f>"SD/JA"&amp;MID('AFR20'!E2,3,2)</f>
        <v>SD/JA20</v>
      </c>
      <c r="B3" s="151"/>
      <c r="C3" s="151"/>
      <c r="D3" s="152"/>
      <c r="I3" s="2247" t="s">
        <v>52</v>
      </c>
      <c r="J3" s="2246"/>
      <c r="K3" s="2246"/>
      <c r="L3" s="2246"/>
      <c r="M3" s="2246"/>
      <c r="N3" s="2246"/>
      <c r="O3" s="2246"/>
      <c r="P3" s="2246"/>
      <c r="Q3" s="2246"/>
      <c r="R3" s="2246"/>
      <c r="S3" s="2246"/>
    </row>
    <row r="4" spans="1:32" ht="12" customHeight="1" x14ac:dyDescent="0.2">
      <c r="A4" s="37"/>
      <c r="I4" s="2247" t="s">
        <v>521</v>
      </c>
      <c r="J4" s="2246"/>
      <c r="K4" s="2246"/>
      <c r="L4" s="2246"/>
      <c r="M4" s="2246"/>
      <c r="N4" s="2246"/>
      <c r="O4" s="2246"/>
      <c r="P4" s="2246"/>
      <c r="Q4" s="2246"/>
      <c r="R4" s="2246"/>
      <c r="S4" s="2246"/>
    </row>
    <row r="5" spans="1:32" ht="14.1" customHeight="1" x14ac:dyDescent="0.2">
      <c r="B5" s="101" t="s">
        <v>2048</v>
      </c>
      <c r="C5" s="26" t="s">
        <v>904</v>
      </c>
      <c r="D5" s="81"/>
      <c r="E5" s="81"/>
      <c r="H5" s="38"/>
      <c r="I5" s="2254" t="s">
        <v>675</v>
      </c>
      <c r="J5" s="2199"/>
      <c r="K5" s="2199"/>
      <c r="L5" s="2199"/>
      <c r="M5" s="2199"/>
      <c r="N5" s="2199"/>
      <c r="O5" s="2199"/>
      <c r="P5" s="2199"/>
      <c r="Q5" s="2199"/>
      <c r="R5" s="2199"/>
      <c r="S5" s="2199"/>
      <c r="AF5" s="1827"/>
    </row>
    <row r="6" spans="1:32" ht="14.1" customHeight="1" x14ac:dyDescent="0.2">
      <c r="B6" s="101"/>
      <c r="C6" s="26" t="s">
        <v>905</v>
      </c>
      <c r="D6" s="81"/>
      <c r="E6" s="81"/>
      <c r="I6" s="2253" t="s">
        <v>877</v>
      </c>
      <c r="J6" s="2199"/>
      <c r="K6" s="2199"/>
      <c r="L6" s="2199"/>
      <c r="M6" s="2199"/>
      <c r="N6" s="2199"/>
      <c r="O6" s="2199"/>
      <c r="P6" s="2199"/>
      <c r="Q6" s="2199"/>
      <c r="R6" s="2199"/>
      <c r="S6" s="2199"/>
    </row>
    <row r="7" spans="1:32" ht="12.2" customHeight="1" x14ac:dyDescent="0.2">
      <c r="I7" s="2248" t="str">
        <f>"June 30, "&amp;'AFR20'!E2</f>
        <v>June 30, 2020</v>
      </c>
      <c r="J7" s="2249"/>
      <c r="K7" s="2249"/>
      <c r="L7" s="2249"/>
      <c r="M7" s="2249"/>
      <c r="N7" s="2249"/>
      <c r="O7" s="2249"/>
      <c r="P7" s="2249"/>
      <c r="Q7" s="2249"/>
      <c r="R7" s="2249"/>
      <c r="S7" s="224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50" t="s">
        <v>669</v>
      </c>
      <c r="J9" s="2251"/>
      <c r="K9" s="2251"/>
      <c r="L9" s="2251"/>
      <c r="M9" s="2251"/>
      <c r="N9" s="2251"/>
      <c r="O9" s="2251"/>
      <c r="P9" s="2251"/>
      <c r="Q9" s="2251"/>
      <c r="R9" s="2251"/>
      <c r="S9" s="2252"/>
      <c r="T9" s="2195" t="s">
        <v>530</v>
      </c>
      <c r="U9" s="2196"/>
      <c r="V9" s="2196"/>
      <c r="W9" s="2196"/>
      <c r="X9" s="2196"/>
      <c r="Y9" s="2196"/>
      <c r="Z9" s="2196"/>
      <c r="AA9" s="2197"/>
    </row>
    <row r="10" spans="1:32" ht="13.5" customHeight="1" x14ac:dyDescent="0.2">
      <c r="A10" s="2204" t="s">
        <v>670</v>
      </c>
      <c r="B10" s="2205"/>
      <c r="C10" s="2205"/>
      <c r="D10" s="2205"/>
      <c r="E10" s="2205"/>
      <c r="F10" s="2205"/>
      <c r="G10" s="2205"/>
      <c r="H10" s="2206"/>
      <c r="I10" s="29"/>
      <c r="J10" s="30"/>
      <c r="K10" s="28"/>
      <c r="R10" s="30"/>
      <c r="S10" s="30"/>
      <c r="T10" s="2198"/>
      <c r="U10" s="2199"/>
      <c r="V10" s="2199"/>
      <c r="W10" s="2199"/>
      <c r="X10" s="2199"/>
      <c r="Y10" s="2199"/>
      <c r="Z10" s="2199"/>
      <c r="AA10" s="2200"/>
    </row>
    <row r="11" spans="1:32" ht="14.25" customHeight="1" x14ac:dyDescent="0.2">
      <c r="A11" s="2207" t="s">
        <v>949</v>
      </c>
      <c r="B11" s="2208"/>
      <c r="C11" s="2208"/>
      <c r="D11" s="2208"/>
      <c r="E11" s="2208"/>
      <c r="F11" s="2208"/>
      <c r="G11" s="2208"/>
      <c r="H11" s="2209"/>
      <c r="I11" s="27"/>
      <c r="J11" s="71"/>
      <c r="K11" s="27"/>
      <c r="O11" s="144"/>
      <c r="P11" s="97" t="s">
        <v>199</v>
      </c>
      <c r="Q11" s="30"/>
      <c r="R11" s="28"/>
      <c r="S11" s="27"/>
      <c r="T11" s="2201"/>
      <c r="U11" s="2202"/>
      <c r="V11" s="2202"/>
      <c r="W11" s="2202"/>
      <c r="X11" s="2202"/>
      <c r="Y11" s="2202"/>
      <c r="Z11" s="2202"/>
      <c r="AA11" s="2203"/>
    </row>
    <row r="12" spans="1:32" ht="13.5" customHeight="1" x14ac:dyDescent="0.2">
      <c r="A12" s="82" t="s">
        <v>919</v>
      </c>
      <c r="B12" s="73"/>
      <c r="C12" s="73"/>
      <c r="D12" s="73"/>
      <c r="E12" s="73"/>
      <c r="F12" s="73"/>
      <c r="G12" s="73"/>
      <c r="H12" s="50"/>
      <c r="I12" s="29"/>
      <c r="J12" s="30"/>
      <c r="K12" s="28"/>
      <c r="O12" s="145" t="s">
        <v>2048</v>
      </c>
      <c r="P12" s="97" t="s">
        <v>200</v>
      </c>
      <c r="Q12" s="71"/>
      <c r="R12" s="30"/>
      <c r="S12" s="30"/>
      <c r="T12" s="82" t="s">
        <v>263</v>
      </c>
      <c r="U12" s="48"/>
      <c r="V12" s="48"/>
      <c r="W12" s="48"/>
      <c r="X12" s="48"/>
      <c r="Y12" s="43"/>
      <c r="Z12" s="43"/>
      <c r="AA12" s="44"/>
    </row>
    <row r="13" spans="1:32" ht="13.5" customHeight="1" x14ac:dyDescent="0.2">
      <c r="A13" s="2215">
        <v>50082187026</v>
      </c>
      <c r="B13" s="2216"/>
      <c r="C13" s="2216"/>
      <c r="D13" s="2216"/>
      <c r="E13" s="2216"/>
      <c r="F13" s="2216"/>
      <c r="G13" s="2216"/>
      <c r="H13" s="2217"/>
      <c r="I13" s="31"/>
      <c r="J13" s="30"/>
      <c r="K13" s="28"/>
      <c r="L13" s="30"/>
      <c r="M13" s="30"/>
      <c r="N13" s="30"/>
      <c r="O13" s="30"/>
      <c r="P13" s="30"/>
      <c r="Q13" s="30"/>
      <c r="R13" s="30"/>
      <c r="S13" s="30"/>
      <c r="T13" s="2220" t="s">
        <v>2053</v>
      </c>
      <c r="U13" s="2221"/>
      <c r="V13" s="2221"/>
      <c r="W13" s="2221"/>
      <c r="X13" s="2221"/>
      <c r="Y13" s="2222"/>
      <c r="Z13" s="2222"/>
      <c r="AA13" s="2223"/>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213" t="s">
        <v>2049</v>
      </c>
      <c r="B15" s="2218"/>
      <c r="C15" s="2218"/>
      <c r="D15" s="2218"/>
      <c r="E15" s="2218"/>
      <c r="F15" s="2218"/>
      <c r="G15" s="2218"/>
      <c r="H15" s="2219"/>
      <c r="T15" s="2181" t="s">
        <v>2054</v>
      </c>
      <c r="U15" s="2182"/>
      <c r="V15" s="2182"/>
      <c r="W15" s="2182"/>
      <c r="X15" s="2182"/>
      <c r="Y15" s="2224"/>
      <c r="Z15" s="2224"/>
      <c r="AA15" s="222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73" t="s">
        <v>2270</v>
      </c>
      <c r="B17" s="2243"/>
      <c r="C17" s="2243"/>
      <c r="D17" s="2243"/>
      <c r="E17" s="2243"/>
      <c r="F17" s="2243"/>
      <c r="G17" s="2243"/>
      <c r="H17" s="2244"/>
      <c r="T17" s="2230" t="s">
        <v>2055</v>
      </c>
      <c r="U17" s="2231"/>
      <c r="V17" s="2231"/>
      <c r="W17" s="2231"/>
      <c r="X17" s="2231"/>
      <c r="Y17" s="2231"/>
      <c r="Z17" s="2231"/>
      <c r="AA17" s="2232"/>
    </row>
    <row r="18" spans="1:27" ht="13.5" customHeight="1" x14ac:dyDescent="0.2">
      <c r="A18" s="82" t="s">
        <v>527</v>
      </c>
      <c r="B18" s="73"/>
      <c r="C18" s="69"/>
      <c r="D18" s="73"/>
      <c r="E18" s="73"/>
      <c r="F18" s="73"/>
      <c r="G18" s="73"/>
      <c r="H18" s="53"/>
      <c r="I18" s="2240" t="s">
        <v>671</v>
      </c>
      <c r="J18" s="2241"/>
      <c r="K18" s="2241"/>
      <c r="L18" s="2241"/>
      <c r="M18" s="2241"/>
      <c r="N18" s="2241"/>
      <c r="O18" s="2241"/>
      <c r="P18" s="2241"/>
      <c r="Q18" s="2241"/>
      <c r="R18" s="2241"/>
      <c r="S18" s="2242"/>
      <c r="T18" s="82" t="s">
        <v>706</v>
      </c>
      <c r="U18" s="48"/>
      <c r="V18" s="69"/>
      <c r="W18" s="47"/>
      <c r="X18" s="82" t="s">
        <v>264</v>
      </c>
      <c r="Y18" s="78"/>
      <c r="Z18" s="154" t="s">
        <v>672</v>
      </c>
      <c r="AA18" s="44"/>
    </row>
    <row r="19" spans="1:27" ht="13.5" customHeight="1" x14ac:dyDescent="0.2">
      <c r="A19" s="2213" t="s">
        <v>2050</v>
      </c>
      <c r="B19" s="2214"/>
      <c r="C19" s="2214"/>
      <c r="D19" s="2214"/>
      <c r="E19" s="2214"/>
      <c r="F19" s="2214"/>
      <c r="G19" s="2214"/>
      <c r="H19" s="2212"/>
      <c r="I19" s="30"/>
      <c r="J19" s="96"/>
      <c r="K19" s="40"/>
      <c r="L19" s="38"/>
      <c r="M19" s="109" t="s">
        <v>312</v>
      </c>
      <c r="P19" s="27"/>
      <c r="Q19" s="27"/>
      <c r="R19" s="27"/>
      <c r="S19" s="31"/>
      <c r="T19" s="2213" t="s">
        <v>2056</v>
      </c>
      <c r="U19" s="2211"/>
      <c r="V19" s="2211"/>
      <c r="W19" s="2212"/>
      <c r="X19" s="2228" t="s">
        <v>2057</v>
      </c>
      <c r="Y19" s="2229"/>
      <c r="Z19" s="2226">
        <v>62220</v>
      </c>
      <c r="AA19" s="222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210" t="s">
        <v>2051</v>
      </c>
      <c r="B21" s="2211"/>
      <c r="C21" s="2211"/>
      <c r="D21" s="2211"/>
      <c r="E21" s="2211"/>
      <c r="F21" s="2211"/>
      <c r="G21" s="2211"/>
      <c r="H21" s="2212"/>
      <c r="I21" s="2236" t="s">
        <v>673</v>
      </c>
      <c r="J21" s="2199"/>
      <c r="K21" s="2199"/>
      <c r="L21" s="2199"/>
      <c r="M21" s="2199"/>
      <c r="N21" s="2199"/>
      <c r="O21" s="2199"/>
      <c r="P21" s="2199"/>
      <c r="Q21" s="2199"/>
      <c r="R21" s="2199"/>
      <c r="S21" s="2200"/>
      <c r="T21" s="2178" t="s">
        <v>2058</v>
      </c>
      <c r="U21" s="2179"/>
      <c r="V21" s="2179"/>
      <c r="W21" s="2179"/>
      <c r="X21" s="2192" t="s">
        <v>2059</v>
      </c>
      <c r="Y21" s="2193"/>
      <c r="Z21" s="2193"/>
      <c r="AA21" s="2194"/>
    </row>
    <row r="22" spans="1:27" ht="13.5" customHeight="1" x14ac:dyDescent="0.2">
      <c r="A22" s="84" t="s">
        <v>528</v>
      </c>
      <c r="B22" s="56"/>
      <c r="C22" s="56"/>
      <c r="D22" s="56"/>
      <c r="E22" s="56"/>
      <c r="F22" s="56"/>
      <c r="G22" s="56"/>
      <c r="H22" s="57"/>
      <c r="I22" s="2237" t="s">
        <v>1412</v>
      </c>
      <c r="J22" s="2238"/>
      <c r="K22" s="2238"/>
      <c r="L22" s="2238"/>
      <c r="M22" s="2238"/>
      <c r="N22" s="2238"/>
      <c r="O22" s="2238"/>
      <c r="P22" s="2238"/>
      <c r="Q22" s="2238"/>
      <c r="R22" s="2238"/>
      <c r="S22" s="2239"/>
      <c r="T22" s="82" t="s">
        <v>1499</v>
      </c>
      <c r="U22" s="48"/>
      <c r="V22" s="69"/>
      <c r="W22" s="48"/>
      <c r="X22" s="155" t="s">
        <v>1307</v>
      </c>
      <c r="Z22" s="43"/>
      <c r="AA22" s="44"/>
    </row>
    <row r="23" spans="1:27" ht="13.5" customHeight="1" x14ac:dyDescent="0.2">
      <c r="A23" s="2233" t="s">
        <v>2052</v>
      </c>
      <c r="B23" s="2234"/>
      <c r="C23" s="2234"/>
      <c r="D23" s="2234"/>
      <c r="E23" s="2234"/>
      <c r="F23" s="2234"/>
      <c r="G23" s="2234"/>
      <c r="H23" s="2235"/>
      <c r="T23" s="2173" t="s">
        <v>2060</v>
      </c>
      <c r="U23" s="2174"/>
      <c r="V23" s="2174"/>
      <c r="W23" s="2174"/>
      <c r="X23" s="2189">
        <v>44469</v>
      </c>
      <c r="Y23" s="2190"/>
      <c r="Z23" s="2190"/>
      <c r="AA23" s="2191"/>
    </row>
    <row r="24" spans="1:27" ht="14.1" customHeight="1" x14ac:dyDescent="0.2">
      <c r="A24" s="85" t="s">
        <v>672</v>
      </c>
      <c r="B24" s="46"/>
      <c r="C24" s="46"/>
      <c r="D24" s="46"/>
      <c r="E24" s="46"/>
      <c r="F24" s="46"/>
      <c r="G24" s="46"/>
      <c r="H24" s="58"/>
      <c r="J24" s="2275">
        <f>IF(B5="x",IF(AUDITCHECK!D29="AFR form Incomplete.","",IF(AUDITCHECK!D29="Deficit reduction plan is required.","School District must complete a deficit reduction plan in the 2020-2021 Budget",)),"")</f>
        <v>0</v>
      </c>
      <c r="K24" s="2275"/>
      <c r="L24" s="2275"/>
      <c r="M24" s="2275"/>
      <c r="N24" s="2275"/>
      <c r="O24" s="2275"/>
      <c r="P24" s="2275"/>
      <c r="Q24" s="2275"/>
      <c r="R24" s="2275"/>
      <c r="S24" s="2276"/>
      <c r="T24" s="102" t="s">
        <v>528</v>
      </c>
      <c r="U24" s="103"/>
      <c r="V24" s="103"/>
      <c r="W24" s="103"/>
      <c r="X24" s="104"/>
      <c r="Y24" s="104"/>
      <c r="Z24" s="104"/>
      <c r="AA24" s="105"/>
    </row>
    <row r="25" spans="1:27" ht="14.1" customHeight="1" x14ac:dyDescent="0.2">
      <c r="A25" s="2210">
        <v>62206</v>
      </c>
      <c r="B25" s="2211"/>
      <c r="C25" s="2211"/>
      <c r="D25" s="2211"/>
      <c r="E25" s="2211"/>
      <c r="F25" s="2211"/>
      <c r="G25" s="2211"/>
      <c r="H25" s="2212"/>
      <c r="I25" s="110"/>
      <c r="J25" s="2277"/>
      <c r="K25" s="2277"/>
      <c r="L25" s="2277"/>
      <c r="M25" s="2277"/>
      <c r="N25" s="2277"/>
      <c r="O25" s="2277"/>
      <c r="P25" s="2277"/>
      <c r="Q25" s="2277"/>
      <c r="R25" s="2277"/>
      <c r="S25" s="2278"/>
      <c r="T25" s="2170" t="s">
        <v>2061</v>
      </c>
      <c r="U25" s="2171"/>
      <c r="V25" s="2171"/>
      <c r="W25" s="2171"/>
      <c r="X25" s="2171"/>
      <c r="Y25" s="2171"/>
      <c r="Z25" s="2171"/>
      <c r="AA25" s="217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268" t="s">
        <v>1494</v>
      </c>
      <c r="J27" s="2241"/>
      <c r="K27" s="2241"/>
      <c r="L27" s="2241"/>
      <c r="M27" s="2241"/>
      <c r="N27" s="2241"/>
      <c r="O27" s="2241"/>
      <c r="P27" s="2241"/>
      <c r="Q27" s="2241"/>
      <c r="R27" s="2241"/>
      <c r="S27" s="224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2048</v>
      </c>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2048</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2048</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214"/>
      <c r="Q35" s="2211"/>
      <c r="R35" s="221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73" t="s">
        <v>2062</v>
      </c>
      <c r="B38" s="2243"/>
      <c r="C38" s="2243"/>
      <c r="D38" s="2243"/>
      <c r="E38" s="2243"/>
      <c r="F38" s="2211"/>
      <c r="G38" s="2211"/>
      <c r="H38" s="2212"/>
      <c r="I38" s="2262"/>
      <c r="J38" s="2182"/>
      <c r="K38" s="2182"/>
      <c r="L38" s="2182"/>
      <c r="M38" s="2182"/>
      <c r="N38" s="2182"/>
      <c r="O38" s="2182"/>
      <c r="P38" s="2183"/>
      <c r="Q38" s="2183"/>
      <c r="R38" s="2183"/>
      <c r="S38" s="2184"/>
      <c r="T38" s="2181"/>
      <c r="U38" s="2182"/>
      <c r="V38" s="2182"/>
      <c r="W38" s="2182"/>
      <c r="X38" s="2183"/>
      <c r="Y38" s="2183"/>
      <c r="Z38" s="2183"/>
      <c r="AA38" s="2184"/>
    </row>
    <row r="39" spans="1:27" ht="12" customHeight="1" x14ac:dyDescent="0.2">
      <c r="A39" s="2266" t="s">
        <v>528</v>
      </c>
      <c r="B39" s="2267"/>
      <c r="C39" s="69"/>
      <c r="D39" s="66"/>
      <c r="E39" s="66"/>
      <c r="F39" s="76"/>
      <c r="G39" s="66"/>
      <c r="H39" s="53"/>
      <c r="I39" s="2266" t="s">
        <v>528</v>
      </c>
      <c r="J39" s="2267"/>
      <c r="K39" s="2267"/>
      <c r="L39" s="2267"/>
      <c r="M39" s="2267"/>
      <c r="N39" s="64"/>
      <c r="O39" s="69"/>
      <c r="P39" s="69"/>
      <c r="Q39" s="75"/>
      <c r="R39" s="69"/>
      <c r="S39" s="53"/>
      <c r="T39" s="69" t="s">
        <v>528</v>
      </c>
      <c r="U39" s="48"/>
      <c r="V39" s="69"/>
      <c r="W39" s="47"/>
      <c r="X39" s="75"/>
      <c r="Y39" s="43"/>
      <c r="Z39" s="43"/>
      <c r="AA39" s="44"/>
    </row>
    <row r="40" spans="1:27" ht="13.5" customHeight="1" x14ac:dyDescent="0.2">
      <c r="A40" s="2269" t="s">
        <v>2052</v>
      </c>
      <c r="B40" s="2270"/>
      <c r="C40" s="2271"/>
      <c r="D40" s="2271"/>
      <c r="E40" s="2271"/>
      <c r="F40" s="2272"/>
      <c r="G40" s="2272"/>
      <c r="H40" s="2273"/>
      <c r="I40" s="2185"/>
      <c r="J40" s="2187"/>
      <c r="K40" s="2187"/>
      <c r="L40" s="2187"/>
      <c r="M40" s="2187"/>
      <c r="N40" s="2187"/>
      <c r="O40" s="2187"/>
      <c r="P40" s="2187"/>
      <c r="Q40" s="2187"/>
      <c r="R40" s="2187"/>
      <c r="S40" s="2188"/>
      <c r="T40" s="2185"/>
      <c r="U40" s="2186"/>
      <c r="V40" s="2187"/>
      <c r="W40" s="2187"/>
      <c r="X40" s="2187"/>
      <c r="Y40" s="2187"/>
      <c r="Z40" s="2187"/>
      <c r="AA40" s="218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59" t="s">
        <v>2063</v>
      </c>
      <c r="B42" s="2260"/>
      <c r="C42" s="2261"/>
      <c r="D42" s="2274" t="s">
        <v>2064</v>
      </c>
      <c r="E42" s="2260"/>
      <c r="F42" s="2260"/>
      <c r="G42" s="2260"/>
      <c r="H42" s="2261"/>
      <c r="I42" s="2180"/>
      <c r="J42" s="2176"/>
      <c r="K42" s="2176"/>
      <c r="L42" s="2176"/>
      <c r="M42" s="2176"/>
      <c r="N42" s="2176"/>
      <c r="O42" s="2177"/>
      <c r="P42" s="2175"/>
      <c r="Q42" s="2176"/>
      <c r="R42" s="2176"/>
      <c r="S42" s="2177"/>
      <c r="T42" s="2180"/>
      <c r="U42" s="2176"/>
      <c r="V42" s="2176"/>
      <c r="W42" s="2177"/>
      <c r="X42" s="2175"/>
      <c r="Y42" s="2176"/>
      <c r="Z42" s="2176"/>
      <c r="AA42" s="217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63"/>
      <c r="B44" s="2264"/>
      <c r="C44" s="2264"/>
      <c r="D44" s="2264"/>
      <c r="E44" s="2264"/>
      <c r="F44" s="2264"/>
      <c r="G44" s="2264"/>
      <c r="H44" s="2265"/>
      <c r="I44" s="2255"/>
      <c r="J44" s="2257"/>
      <c r="K44" s="2257"/>
      <c r="L44" s="2257"/>
      <c r="M44" s="2257"/>
      <c r="N44" s="2257"/>
      <c r="O44" s="2257"/>
      <c r="P44" s="2257"/>
      <c r="Q44" s="2257"/>
      <c r="R44" s="2257"/>
      <c r="S44" s="2258"/>
      <c r="T44" s="2255"/>
      <c r="U44" s="2256"/>
      <c r="V44" s="2256"/>
      <c r="W44" s="2256"/>
      <c r="X44" s="2256"/>
      <c r="Y44" s="2256"/>
      <c r="Z44" s="2257"/>
      <c r="AA44" s="225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G24" sqref="G2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417"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418"/>
      <c r="B3" s="1294"/>
      <c r="C3" s="1295"/>
      <c r="D3" s="1296" t="s">
        <v>254</v>
      </c>
      <c r="E3" s="1295"/>
      <c r="F3" s="1296" t="s">
        <v>255</v>
      </c>
    </row>
    <row r="4" spans="1:8" ht="13.7" customHeight="1" x14ac:dyDescent="0.2">
      <c r="A4" s="579" t="s">
        <v>1145</v>
      </c>
      <c r="B4" s="1721">
        <f>'Revenues 9-14'!C5</f>
        <v>1779474</v>
      </c>
      <c r="C4" s="1722"/>
      <c r="D4" s="1723">
        <f>B4-C4</f>
        <v>1779474</v>
      </c>
      <c r="E4" s="1722">
        <v>1256428</v>
      </c>
      <c r="F4" s="1723">
        <f>E4-C4</f>
        <v>1256428</v>
      </c>
    </row>
    <row r="5" spans="1:8" ht="13.7" customHeight="1" x14ac:dyDescent="0.2">
      <c r="A5" s="579" t="s">
        <v>865</v>
      </c>
      <c r="B5" s="1724">
        <f>'Revenues 9-14'!D5</f>
        <v>258647</v>
      </c>
      <c r="C5" s="1664"/>
      <c r="D5" s="1725">
        <f t="shared" ref="D5:D18" si="0">B5-C5</f>
        <v>258647</v>
      </c>
      <c r="E5" s="1664">
        <v>274825</v>
      </c>
      <c r="F5" s="1725">
        <f>E5-C5</f>
        <v>274825</v>
      </c>
    </row>
    <row r="6" spans="1:8" ht="13.7" customHeight="1" x14ac:dyDescent="0.2">
      <c r="A6" s="579" t="s">
        <v>408</v>
      </c>
      <c r="B6" s="1724">
        <f>'Revenues 9-14'!E5</f>
        <v>2285257</v>
      </c>
      <c r="C6" s="1664"/>
      <c r="D6" s="1725">
        <f t="shared" si="0"/>
        <v>2285257</v>
      </c>
      <c r="E6" s="1664">
        <v>3047191</v>
      </c>
      <c r="F6" s="1725">
        <f t="shared" ref="F6:F18" si="1">E6-C6</f>
        <v>3047191</v>
      </c>
    </row>
    <row r="7" spans="1:8" ht="13.7" customHeight="1" x14ac:dyDescent="0.2">
      <c r="A7" s="579" t="s">
        <v>154</v>
      </c>
      <c r="B7" s="1724">
        <f>'Revenues 9-14'!F5</f>
        <v>137942</v>
      </c>
      <c r="C7" s="1664"/>
      <c r="D7" s="1725">
        <f t="shared" si="0"/>
        <v>137942</v>
      </c>
      <c r="E7" s="1664">
        <v>146574</v>
      </c>
      <c r="F7" s="1725">
        <f t="shared" si="1"/>
        <v>146574</v>
      </c>
    </row>
    <row r="8" spans="1:8" ht="13.7" customHeight="1" x14ac:dyDescent="0.2">
      <c r="A8" s="579" t="s">
        <v>1169</v>
      </c>
      <c r="B8" s="1724">
        <f>'Revenues 9-14'!G5</f>
        <v>749589</v>
      </c>
      <c r="C8" s="1664"/>
      <c r="D8" s="1725">
        <f t="shared" si="0"/>
        <v>749589</v>
      </c>
      <c r="E8" s="1664">
        <v>1247634</v>
      </c>
      <c r="F8" s="1725">
        <f t="shared" si="1"/>
        <v>1247634</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34490</v>
      </c>
      <c r="C10" s="1664"/>
      <c r="D10" s="1725">
        <f t="shared" si="0"/>
        <v>34490</v>
      </c>
      <c r="E10" s="1664">
        <v>36643</v>
      </c>
      <c r="F10" s="1725">
        <f t="shared" si="1"/>
        <v>36643</v>
      </c>
    </row>
    <row r="11" spans="1:8" x14ac:dyDescent="0.2">
      <c r="A11" s="579" t="s">
        <v>406</v>
      </c>
      <c r="B11" s="1724">
        <f>'Revenues 9-14'!J5</f>
        <v>2852625</v>
      </c>
      <c r="C11" s="1664"/>
      <c r="D11" s="1725">
        <f t="shared" si="0"/>
        <v>2852625</v>
      </c>
      <c r="E11" s="1664">
        <v>2565770</v>
      </c>
      <c r="F11" s="1725">
        <f t="shared" si="1"/>
        <v>2565770</v>
      </c>
    </row>
    <row r="12" spans="1:8" ht="13.7" customHeight="1" x14ac:dyDescent="0.2">
      <c r="A12" s="579" t="s">
        <v>156</v>
      </c>
      <c r="B12" s="1724">
        <f>'Revenues 9-14'!K5</f>
        <v>34490</v>
      </c>
      <c r="C12" s="1664"/>
      <c r="D12" s="1725">
        <f t="shared" si="0"/>
        <v>34490</v>
      </c>
      <c r="E12" s="1664">
        <v>36643</v>
      </c>
      <c r="F12" s="1725">
        <f t="shared" si="1"/>
        <v>36643</v>
      </c>
    </row>
    <row r="13" spans="1:8" ht="13.7" customHeight="1" x14ac:dyDescent="0.2">
      <c r="A13" s="579" t="s">
        <v>930</v>
      </c>
      <c r="B13" s="1724">
        <f>SUM('Revenues 9-14'!C6:D6)</f>
        <v>34490</v>
      </c>
      <c r="C13" s="1664"/>
      <c r="D13" s="1725">
        <f t="shared" si="0"/>
        <v>34490</v>
      </c>
      <c r="E13" s="1664">
        <v>36643</v>
      </c>
      <c r="F13" s="1725">
        <f t="shared" si="1"/>
        <v>36643</v>
      </c>
    </row>
    <row r="14" spans="1:8" ht="13.7" customHeight="1" x14ac:dyDescent="0.2">
      <c r="A14" s="579" t="s">
        <v>407</v>
      </c>
      <c r="B14" s="1724">
        <f>SUM('Revenues 9-14'!C7:D7,'Revenues 9-14'!F7:H7)</f>
        <v>27585</v>
      </c>
      <c r="C14" s="1664"/>
      <c r="D14" s="1725">
        <f t="shared" si="0"/>
        <v>27585</v>
      </c>
      <c r="E14" s="1664">
        <v>29315</v>
      </c>
      <c r="F14" s="1725">
        <f t="shared" si="1"/>
        <v>29315</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545849</v>
      </c>
      <c r="C16" s="1664"/>
      <c r="D16" s="1725">
        <f t="shared" si="0"/>
        <v>545849</v>
      </c>
      <c r="E16" s="1664">
        <v>609527</v>
      </c>
      <c r="F16" s="1725">
        <f t="shared" si="1"/>
        <v>609527</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8740438</v>
      </c>
      <c r="C19" s="1726">
        <f>SUM(C4:C18)</f>
        <v>0</v>
      </c>
      <c r="D19" s="1726">
        <f>SUM(D4:D18)</f>
        <v>8740438</v>
      </c>
      <c r="E19" s="1726">
        <f>SUM(E4:E18)</f>
        <v>9287193</v>
      </c>
      <c r="F19" s="1726">
        <f>SUM(F4:F18)</f>
        <v>9287193</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35" colorId="8" zoomScale="110" zoomScaleNormal="110" workbookViewId="0">
      <selection activeCell="G24" sqref="G2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23" t="s">
        <v>625</v>
      </c>
      <c r="B1" s="2424"/>
      <c r="C1" s="585"/>
    </row>
    <row r="2" spans="1:7" ht="33.75" x14ac:dyDescent="0.2">
      <c r="A2" s="2432" t="s">
        <v>1776</v>
      </c>
      <c r="B2" s="2433"/>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436" t="s">
        <v>1104</v>
      </c>
      <c r="B3" s="2437"/>
      <c r="C3" s="2425"/>
      <c r="D3" s="2426"/>
      <c r="E3" s="2426"/>
      <c r="F3" s="2427"/>
    </row>
    <row r="4" spans="1:7" ht="12.75" customHeight="1" thickBot="1" x14ac:dyDescent="0.25">
      <c r="A4" s="2434" t="s">
        <v>626</v>
      </c>
      <c r="B4" s="2435"/>
      <c r="C4" s="1656"/>
      <c r="D4" s="1656"/>
      <c r="E4" s="1656"/>
      <c r="F4" s="1732">
        <f>SUM(C4+D4)-E4</f>
        <v>0</v>
      </c>
    </row>
    <row r="5" spans="1:7" ht="15.75" customHeight="1" thickTop="1" x14ac:dyDescent="0.2">
      <c r="A5" s="2419" t="s">
        <v>1101</v>
      </c>
      <c r="B5" s="2420"/>
      <c r="C5" s="2428"/>
      <c r="D5" s="2429"/>
      <c r="E5" s="2429"/>
      <c r="F5" s="243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421" t="s">
        <v>627</v>
      </c>
      <c r="B15" s="2422"/>
      <c r="C15" s="1732">
        <f>SUM(C6:C14)</f>
        <v>0</v>
      </c>
      <c r="D15" s="1732">
        <f>SUM(D6:D14)</f>
        <v>0</v>
      </c>
      <c r="E15" s="1732">
        <f>SUM(E6:E14)</f>
        <v>0</v>
      </c>
      <c r="F15" s="1732">
        <f>SUM(F6:F14)</f>
        <v>0</v>
      </c>
      <c r="G15" s="473"/>
    </row>
    <row r="16" spans="1:7" s="197" customFormat="1" ht="15.75" customHeight="1" thickTop="1" x14ac:dyDescent="0.2">
      <c r="A16" s="2431" t="s">
        <v>1102</v>
      </c>
      <c r="B16" s="2420"/>
      <c r="C16" s="2428"/>
      <c r="D16" s="2429"/>
      <c r="E16" s="2429"/>
      <c r="F16" s="2430"/>
    </row>
    <row r="17" spans="1:11" ht="12.75" customHeight="1" thickBot="1" x14ac:dyDescent="0.25">
      <c r="A17" s="2444" t="s">
        <v>64</v>
      </c>
      <c r="B17" s="2445"/>
      <c r="C17" s="1733"/>
      <c r="D17" s="1664"/>
      <c r="E17" s="1733"/>
      <c r="F17" s="1732">
        <f>SUM(C17+D17)-E17</f>
        <v>0</v>
      </c>
    </row>
    <row r="18" spans="1:11" ht="12.75" customHeight="1" thickTop="1" thickBot="1" x14ac:dyDescent="0.25">
      <c r="A18" s="2444" t="s">
        <v>6</v>
      </c>
      <c r="B18" s="2445"/>
      <c r="C18" s="1733"/>
      <c r="D18" s="1664"/>
      <c r="E18" s="1733"/>
      <c r="F18" s="1732">
        <f>SUM(C18+D18)-E18</f>
        <v>0</v>
      </c>
    </row>
    <row r="19" spans="1:11" ht="12.75" customHeight="1" thickTop="1" thickBot="1" x14ac:dyDescent="0.25">
      <c r="A19" s="2444" t="s">
        <v>385</v>
      </c>
      <c r="B19" s="2445"/>
      <c r="C19" s="1733"/>
      <c r="D19" s="1664"/>
      <c r="E19" s="1733"/>
      <c r="F19" s="1732">
        <f>SUM(C19+D19)-E19</f>
        <v>0</v>
      </c>
    </row>
    <row r="20" spans="1:11" ht="12.75" customHeight="1" thickTop="1" thickBot="1" x14ac:dyDescent="0.25">
      <c r="A20" s="2444" t="s">
        <v>445</v>
      </c>
      <c r="B20" s="2445"/>
      <c r="C20" s="1733"/>
      <c r="D20" s="1664"/>
      <c r="E20" s="1733"/>
      <c r="F20" s="1732">
        <f>SUM(C20+D20)-E20</f>
        <v>0</v>
      </c>
    </row>
    <row r="21" spans="1:11" ht="14.25" thickTop="1" thickBot="1" x14ac:dyDescent="0.25">
      <c r="A21" s="2421" t="s">
        <v>628</v>
      </c>
      <c r="B21" s="2422"/>
      <c r="C21" s="1732">
        <f>SUM(C17:C20)</f>
        <v>0</v>
      </c>
      <c r="D21" s="1732">
        <f>SUM(D17:D20)</f>
        <v>0</v>
      </c>
      <c r="E21" s="1732">
        <f>SUM(E17:E20)</f>
        <v>0</v>
      </c>
      <c r="F21" s="1732">
        <f>SUM(F17:F20)</f>
        <v>0</v>
      </c>
      <c r="G21" s="473"/>
    </row>
    <row r="22" spans="1:11" ht="15.75" customHeight="1" thickTop="1" x14ac:dyDescent="0.2">
      <c r="A22" s="2446" t="s">
        <v>1103</v>
      </c>
      <c r="B22" s="2420"/>
      <c r="C22" s="2428"/>
      <c r="D22" s="2429"/>
      <c r="E22" s="2429"/>
      <c r="F22" s="2430"/>
    </row>
    <row r="23" spans="1:11" ht="13.5" thickBot="1" x14ac:dyDescent="0.25">
      <c r="A23" s="2434" t="s">
        <v>629</v>
      </c>
      <c r="B23" s="2435"/>
      <c r="C23" s="1656"/>
      <c r="D23" s="1656"/>
      <c r="E23" s="1656"/>
      <c r="F23" s="1732">
        <f>SUM(C23+D23)-E23</f>
        <v>0</v>
      </c>
      <c r="G23" s="473"/>
    </row>
    <row r="24" spans="1:11" ht="15.75" customHeight="1" thickTop="1" x14ac:dyDescent="0.2">
      <c r="A24" s="2446" t="s">
        <v>2003</v>
      </c>
      <c r="B24" s="2420"/>
      <c r="C24" s="2428"/>
      <c r="D24" s="2429"/>
      <c r="E24" s="2429"/>
      <c r="F24" s="2430"/>
    </row>
    <row r="25" spans="1:11" ht="13.5" thickBot="1" x14ac:dyDescent="0.25">
      <c r="A25" s="2434" t="s">
        <v>2004</v>
      </c>
      <c r="B25" s="2435"/>
      <c r="C25" s="1656"/>
      <c r="D25" s="1656"/>
      <c r="E25" s="1656"/>
      <c r="F25" s="1732">
        <f>SUM(C25+D25)-E25</f>
        <v>0</v>
      </c>
      <c r="G25" s="473"/>
    </row>
    <row r="26" spans="1:11" ht="15.75" customHeight="1" thickTop="1" x14ac:dyDescent="0.2">
      <c r="A26" s="2419" t="s">
        <v>652</v>
      </c>
      <c r="B26" s="2420"/>
      <c r="C26" s="589"/>
      <c r="D26" s="589"/>
      <c r="E26" s="589"/>
      <c r="F26" s="590"/>
    </row>
    <row r="27" spans="1:11" ht="13.5" thickBot="1" x14ac:dyDescent="0.25">
      <c r="A27" s="2421" t="s">
        <v>1061</v>
      </c>
      <c r="B27" s="2422"/>
      <c r="C27" s="1664">
        <v>1550005</v>
      </c>
      <c r="D27" s="1664"/>
      <c r="E27" s="1664">
        <v>439679</v>
      </c>
      <c r="F27" s="1732">
        <f>SUM(C27+D27)-E27</f>
        <v>1110326</v>
      </c>
      <c r="G27" s="473"/>
    </row>
    <row r="28" spans="1:11" ht="7.5" customHeight="1" thickTop="1" x14ac:dyDescent="0.2">
      <c r="A28" s="489"/>
    </row>
    <row r="29" spans="1:11" ht="23.25" customHeight="1" x14ac:dyDescent="0.2">
      <c r="A29" s="2447" t="s">
        <v>578</v>
      </c>
      <c r="B29" s="2424"/>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2037" t="s">
        <v>2071</v>
      </c>
      <c r="B31" s="595">
        <v>41010</v>
      </c>
      <c r="C31" s="1734">
        <v>1265000</v>
      </c>
      <c r="D31" s="1735">
        <v>4</v>
      </c>
      <c r="E31" s="1734">
        <v>1265000</v>
      </c>
      <c r="F31" s="1734"/>
      <c r="G31" s="1734">
        <v>-1265000</v>
      </c>
      <c r="H31" s="1734"/>
      <c r="I31" s="1736">
        <f>((E31+F31)-H31)+G31</f>
        <v>0</v>
      </c>
      <c r="J31" s="1734"/>
      <c r="K31" s="596"/>
    </row>
    <row r="32" spans="1:11" ht="12" customHeight="1" x14ac:dyDescent="0.2">
      <c r="A32" s="2037" t="s">
        <v>2072</v>
      </c>
      <c r="B32" s="595">
        <v>41080</v>
      </c>
      <c r="C32" s="1734">
        <v>1615000</v>
      </c>
      <c r="D32" s="1735">
        <v>3</v>
      </c>
      <c r="E32" s="1734">
        <v>1530000</v>
      </c>
      <c r="F32" s="1734"/>
      <c r="G32" s="1734">
        <v>-1530000</v>
      </c>
      <c r="H32" s="1734"/>
      <c r="I32" s="1736">
        <f>((E32+F32)-H32)+G32</f>
        <v>0</v>
      </c>
      <c r="J32" s="1734"/>
      <c r="K32" s="596"/>
    </row>
    <row r="33" spans="1:11" ht="12" customHeight="1" x14ac:dyDescent="0.2">
      <c r="A33" s="2037" t="s">
        <v>2073</v>
      </c>
      <c r="B33" s="595">
        <v>41487</v>
      </c>
      <c r="C33" s="1734">
        <v>1608427</v>
      </c>
      <c r="D33" s="1735" t="s">
        <v>2075</v>
      </c>
      <c r="E33" s="1734">
        <v>1191130</v>
      </c>
      <c r="F33" s="1734"/>
      <c r="G33" s="1734">
        <v>-1191130</v>
      </c>
      <c r="H33" s="1734"/>
      <c r="I33" s="1736">
        <f t="shared" ref="I33:I48" si="1">((E33+F33)-H33)+G33</f>
        <v>0</v>
      </c>
      <c r="J33" s="1734"/>
      <c r="K33" s="596"/>
    </row>
    <row r="34" spans="1:11" ht="12" customHeight="1" x14ac:dyDescent="0.2">
      <c r="A34" s="2037" t="s">
        <v>2074</v>
      </c>
      <c r="B34" s="595">
        <v>42180</v>
      </c>
      <c r="C34" s="1734">
        <v>3893862</v>
      </c>
      <c r="D34" s="1735">
        <v>1</v>
      </c>
      <c r="E34" s="1734">
        <v>3334401</v>
      </c>
      <c r="F34" s="1734"/>
      <c r="G34" s="1734">
        <v>-3334401</v>
      </c>
      <c r="H34" s="1734"/>
      <c r="I34" s="1736">
        <f t="shared" si="1"/>
        <v>0</v>
      </c>
      <c r="J34" s="1734"/>
      <c r="K34" s="597"/>
    </row>
    <row r="35" spans="1:11" ht="12" customHeight="1" x14ac:dyDescent="0.2">
      <c r="A35" s="594" t="s">
        <v>2149</v>
      </c>
      <c r="B35" s="595">
        <v>43739</v>
      </c>
      <c r="C35" s="1737">
        <v>12025000</v>
      </c>
      <c r="D35" s="1735">
        <v>1</v>
      </c>
      <c r="E35" s="1737"/>
      <c r="F35" s="1737">
        <v>12025000</v>
      </c>
      <c r="G35" s="1737"/>
      <c r="H35" s="1737">
        <v>2115000</v>
      </c>
      <c r="I35" s="1736">
        <f t="shared" si="1"/>
        <v>9910000</v>
      </c>
      <c r="J35" s="1737">
        <v>9910000</v>
      </c>
      <c r="K35" s="597"/>
    </row>
    <row r="36" spans="1:11" ht="12" customHeight="1" x14ac:dyDescent="0.2">
      <c r="A36" s="594" t="s">
        <v>2150</v>
      </c>
      <c r="B36" s="595">
        <v>43739</v>
      </c>
      <c r="C36" s="1734">
        <v>4075000</v>
      </c>
      <c r="D36" s="1735">
        <v>4</v>
      </c>
      <c r="E36" s="1734"/>
      <c r="F36" s="1734">
        <v>4075000</v>
      </c>
      <c r="G36" s="1734"/>
      <c r="H36" s="1734"/>
      <c r="I36" s="1736">
        <f t="shared" si="1"/>
        <v>4075000</v>
      </c>
      <c r="J36" s="1734">
        <v>4075000</v>
      </c>
      <c r="K36" s="598"/>
    </row>
    <row r="37" spans="1:11" ht="12" customHeight="1" x14ac:dyDescent="0.2">
      <c r="A37" s="594" t="s">
        <v>2151</v>
      </c>
      <c r="B37" s="595">
        <v>43894</v>
      </c>
      <c r="C37" s="1574">
        <v>8730000</v>
      </c>
      <c r="D37" s="1738">
        <v>1</v>
      </c>
      <c r="E37" s="1574"/>
      <c r="F37" s="1574">
        <v>8730000</v>
      </c>
      <c r="G37" s="1574"/>
      <c r="H37" s="1574"/>
      <c r="I37" s="1736">
        <f t="shared" si="1"/>
        <v>8730000</v>
      </c>
      <c r="J37" s="1574">
        <v>8730000</v>
      </c>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33212289</v>
      </c>
      <c r="D49" s="1742"/>
      <c r="E49" s="1736">
        <f t="shared" ref="E49:J49" si="2">SUM(E31:E48)</f>
        <v>7320531</v>
      </c>
      <c r="F49" s="1736">
        <f t="shared" si="2"/>
        <v>24830000</v>
      </c>
      <c r="G49" s="1736">
        <f t="shared" si="2"/>
        <v>-7320531</v>
      </c>
      <c r="H49" s="1736">
        <f t="shared" si="2"/>
        <v>2115000</v>
      </c>
      <c r="I49" s="1736">
        <f t="shared" si="2"/>
        <v>22715000</v>
      </c>
      <c r="J49" s="1736">
        <f t="shared" si="2"/>
        <v>22715000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438" t="s">
        <v>580</v>
      </c>
      <c r="C52" s="2439"/>
      <c r="D52" s="2439"/>
      <c r="E52" s="603" t="s">
        <v>840</v>
      </c>
      <c r="F52" s="2440"/>
      <c r="G52" s="2441"/>
      <c r="H52" s="596"/>
      <c r="I52" s="596"/>
      <c r="J52" s="600"/>
    </row>
    <row r="53" spans="1:11" ht="11.25" customHeight="1" x14ac:dyDescent="0.2">
      <c r="A53" s="604" t="s">
        <v>907</v>
      </c>
      <c r="B53" s="605" t="s">
        <v>945</v>
      </c>
      <c r="C53" s="600"/>
      <c r="D53" s="597"/>
      <c r="E53" s="603" t="s">
        <v>494</v>
      </c>
      <c r="F53" s="2442"/>
      <c r="G53" s="2443"/>
      <c r="H53" s="596"/>
      <c r="I53" s="596"/>
      <c r="J53" s="600"/>
    </row>
    <row r="54" spans="1:11" ht="11.25" customHeight="1" x14ac:dyDescent="0.2">
      <c r="A54" s="606" t="s">
        <v>908</v>
      </c>
      <c r="B54" s="601" t="s">
        <v>946</v>
      </c>
      <c r="C54" s="600"/>
      <c r="D54" s="597"/>
      <c r="E54" s="603" t="s">
        <v>495</v>
      </c>
      <c r="F54" s="2442"/>
      <c r="G54" s="244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25" colorId="8" zoomScale="110" zoomScaleNormal="110" workbookViewId="0">
      <selection activeCell="G24" sqref="G2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74" t="s">
        <v>851</v>
      </c>
      <c r="B1" s="2475"/>
      <c r="C1" s="2475"/>
      <c r="D1" s="2475"/>
      <c r="E1" s="2475"/>
      <c r="F1" s="2475"/>
      <c r="G1" s="2476"/>
      <c r="H1" s="1298"/>
      <c r="I1" s="614"/>
      <c r="J1" s="400"/>
    </row>
    <row r="2" spans="1:11" ht="26.25" x14ac:dyDescent="0.2">
      <c r="A2" s="2451" t="s">
        <v>1658</v>
      </c>
      <c r="B2" s="2452"/>
      <c r="C2" s="2452"/>
      <c r="D2" s="2452"/>
      <c r="E2" s="2453"/>
      <c r="F2" s="615" t="s">
        <v>898</v>
      </c>
      <c r="G2" s="616" t="s">
        <v>1655</v>
      </c>
      <c r="H2" s="616" t="s">
        <v>407</v>
      </c>
      <c r="I2" s="616" t="s">
        <v>1148</v>
      </c>
      <c r="J2" s="616" t="s">
        <v>1786</v>
      </c>
      <c r="K2" s="616" t="s">
        <v>137</v>
      </c>
    </row>
    <row r="3" spans="1:11" x14ac:dyDescent="0.2">
      <c r="A3" s="2454" t="str">
        <f>"Cash Basis Fund Balance as of July 1, "&amp;'AFR20'!E2-1</f>
        <v>Cash Basis Fund Balance as of July 1, 2019</v>
      </c>
      <c r="B3" s="2455"/>
      <c r="C3" s="2455"/>
      <c r="D3" s="2455"/>
      <c r="E3" s="2456"/>
      <c r="F3" s="617"/>
      <c r="G3" s="1744"/>
      <c r="H3" s="1744"/>
      <c r="I3" s="1744"/>
      <c r="J3" s="1745"/>
      <c r="K3" s="1745"/>
    </row>
    <row r="4" spans="1:11" x14ac:dyDescent="0.2">
      <c r="A4" s="2457" t="s">
        <v>366</v>
      </c>
      <c r="B4" s="2458"/>
      <c r="C4" s="2458"/>
      <c r="D4" s="2458"/>
      <c r="E4" s="2439"/>
      <c r="F4" s="620"/>
      <c r="G4" s="1746"/>
      <c r="H4" s="1747"/>
      <c r="I4" s="1746"/>
      <c r="J4" s="1748"/>
      <c r="K4" s="1748"/>
    </row>
    <row r="5" spans="1:11" x14ac:dyDescent="0.2">
      <c r="A5" s="2477" t="s">
        <v>1060</v>
      </c>
      <c r="B5" s="2448"/>
      <c r="C5" s="2448"/>
      <c r="D5" s="2448"/>
      <c r="E5" s="2478"/>
      <c r="F5" s="622" t="s">
        <v>843</v>
      </c>
      <c r="G5" s="1749"/>
      <c r="H5" s="1744">
        <v>27585</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2250</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26629</v>
      </c>
    </row>
    <row r="10" spans="1:11" x14ac:dyDescent="0.2">
      <c r="A10" s="2477" t="s">
        <v>1787</v>
      </c>
      <c r="B10" s="2448"/>
      <c r="C10" s="2448"/>
      <c r="D10" s="2448"/>
      <c r="E10" s="2479"/>
      <c r="F10" s="633" t="s">
        <v>857</v>
      </c>
      <c r="G10" s="1753"/>
      <c r="H10" s="1754"/>
      <c r="I10" s="1744"/>
      <c r="J10" s="1745"/>
      <c r="K10" s="1745"/>
    </row>
    <row r="11" spans="1:11" x14ac:dyDescent="0.2">
      <c r="A11" s="2477" t="s">
        <v>159</v>
      </c>
      <c r="B11" s="2448"/>
      <c r="C11" s="2448"/>
      <c r="D11" s="2448"/>
      <c r="E11" s="2478"/>
      <c r="F11" s="622" t="s">
        <v>847</v>
      </c>
      <c r="G11" s="1749"/>
      <c r="H11" s="1744"/>
      <c r="I11" s="1744"/>
      <c r="J11" s="1745"/>
      <c r="K11" s="1751"/>
    </row>
    <row r="12" spans="1:11" ht="13.5" thickBot="1" x14ac:dyDescent="0.25">
      <c r="A12" s="2465" t="s">
        <v>899</v>
      </c>
      <c r="B12" s="2466"/>
      <c r="C12" s="2466"/>
      <c r="D12" s="2466"/>
      <c r="E12" s="2467"/>
      <c r="F12" s="1433"/>
      <c r="G12" s="1755">
        <f>SUM(G5:G11)</f>
        <v>0</v>
      </c>
      <c r="H12" s="1755">
        <f>SUM(H5:H11)</f>
        <v>27585</v>
      </c>
      <c r="I12" s="1755">
        <f>SUM(I5:I11)</f>
        <v>0</v>
      </c>
      <c r="J12" s="1755">
        <f>SUM(J5:J11)</f>
        <v>0</v>
      </c>
      <c r="K12" s="1755">
        <f>SUM(K5:K11)</f>
        <v>28879</v>
      </c>
    </row>
    <row r="13" spans="1:11" ht="13.5" thickTop="1" x14ac:dyDescent="0.2">
      <c r="A13" s="2459" t="s">
        <v>367</v>
      </c>
      <c r="B13" s="2460"/>
      <c r="C13" s="2460"/>
      <c r="D13" s="2460"/>
      <c r="E13" s="2461"/>
      <c r="F13" s="634"/>
      <c r="G13" s="1756"/>
      <c r="H13" s="1757"/>
      <c r="I13" s="1758"/>
      <c r="J13" s="1758"/>
      <c r="K13" s="1758"/>
    </row>
    <row r="14" spans="1:11" x14ac:dyDescent="0.2">
      <c r="A14" s="2483" t="s">
        <v>453</v>
      </c>
      <c r="B14" s="2483"/>
      <c r="C14" s="2483"/>
      <c r="D14" s="2483"/>
      <c r="E14" s="2484"/>
      <c r="F14" s="635" t="s">
        <v>849</v>
      </c>
      <c r="G14" s="1753"/>
      <c r="H14" s="1744">
        <v>27585</v>
      </c>
      <c r="I14" s="1749"/>
      <c r="J14" s="1751"/>
      <c r="K14" s="1745">
        <v>28879</v>
      </c>
    </row>
    <row r="15" spans="1:11" x14ac:dyDescent="0.2">
      <c r="A15" s="2448" t="s">
        <v>4</v>
      </c>
      <c r="B15" s="2448"/>
      <c r="C15" s="2448"/>
      <c r="D15" s="2448"/>
      <c r="E15" s="2478"/>
      <c r="F15" s="635" t="s">
        <v>850</v>
      </c>
      <c r="G15" s="1749"/>
      <c r="H15" s="1744"/>
      <c r="I15" s="1744"/>
      <c r="J15" s="1745"/>
      <c r="K15" s="1745"/>
    </row>
    <row r="16" spans="1:11" x14ac:dyDescent="0.2">
      <c r="A16" s="2448" t="s">
        <v>295</v>
      </c>
      <c r="B16" s="2448"/>
      <c r="C16" s="2448"/>
      <c r="D16" s="2448"/>
      <c r="E16" s="2478"/>
      <c r="F16" s="635" t="s">
        <v>917</v>
      </c>
      <c r="G16" s="1750"/>
      <c r="H16" s="1746"/>
      <c r="I16" s="1746"/>
      <c r="J16" s="1748"/>
      <c r="K16" s="1748"/>
    </row>
    <row r="17" spans="1:15" x14ac:dyDescent="0.2">
      <c r="A17" s="2472" t="s">
        <v>929</v>
      </c>
      <c r="B17" s="2472"/>
      <c r="C17" s="2472"/>
      <c r="D17" s="2472"/>
      <c r="E17" s="2473"/>
      <c r="F17" s="636"/>
      <c r="G17" s="1759"/>
      <c r="H17" s="1760"/>
      <c r="I17" s="1760"/>
      <c r="J17" s="1761"/>
      <c r="K17" s="1762"/>
    </row>
    <row r="18" spans="1:15" x14ac:dyDescent="0.2">
      <c r="A18" s="2462" t="s">
        <v>365</v>
      </c>
      <c r="B18" s="2463"/>
      <c r="C18" s="2463"/>
      <c r="D18" s="2463"/>
      <c r="E18" s="2464"/>
      <c r="F18" s="635" t="s">
        <v>926</v>
      </c>
      <c r="G18" s="1753"/>
      <c r="H18" s="1753"/>
      <c r="I18" s="1753"/>
      <c r="J18" s="1745"/>
      <c r="K18" s="1763"/>
    </row>
    <row r="19" spans="1:15" ht="21.75" customHeight="1" x14ac:dyDescent="0.2">
      <c r="A19" s="2485" t="s">
        <v>1783</v>
      </c>
      <c r="B19" s="2485"/>
      <c r="C19" s="2485"/>
      <c r="D19" s="2485"/>
      <c r="E19" s="2486"/>
      <c r="F19" s="635" t="s">
        <v>927</v>
      </c>
      <c r="G19" s="1753"/>
      <c r="H19" s="1753"/>
      <c r="I19" s="1753"/>
      <c r="J19" s="1745"/>
      <c r="K19" s="1763"/>
    </row>
    <row r="20" spans="1:15" x14ac:dyDescent="0.2">
      <c r="A20" s="2462" t="s">
        <v>1788</v>
      </c>
      <c r="B20" s="2463"/>
      <c r="C20" s="2463"/>
      <c r="D20" s="2463"/>
      <c r="E20" s="2464"/>
      <c r="F20" s="635" t="s">
        <v>928</v>
      </c>
      <c r="G20" s="1753"/>
      <c r="H20" s="1753"/>
      <c r="I20" s="1753"/>
      <c r="J20" s="1745"/>
      <c r="K20" s="1763"/>
    </row>
    <row r="21" spans="1:15" ht="13.5" thickBot="1" x14ac:dyDescent="0.25">
      <c r="A21" s="2468" t="s">
        <v>633</v>
      </c>
      <c r="B21" s="2468"/>
      <c r="C21" s="2468"/>
      <c r="D21" s="2468"/>
      <c r="E21" s="2468"/>
      <c r="F21" s="1434"/>
      <c r="G21" s="1760"/>
      <c r="H21" s="1764"/>
      <c r="I21" s="1764"/>
      <c r="J21" s="1765">
        <f>SUM(J18:J20)</f>
        <v>0</v>
      </c>
      <c r="K21" s="1761"/>
    </row>
    <row r="22" spans="1:15" ht="13.5" thickTop="1" x14ac:dyDescent="0.2">
      <c r="A22" s="2448" t="s">
        <v>1789</v>
      </c>
      <c r="B22" s="2448"/>
      <c r="C22" s="2448"/>
      <c r="D22" s="2448"/>
      <c r="E22" s="2478"/>
      <c r="F22" s="635" t="s">
        <v>857</v>
      </c>
      <c r="G22" s="1753"/>
      <c r="H22" s="1744"/>
      <c r="I22" s="1744"/>
      <c r="J22" s="1766"/>
      <c r="K22" s="1745"/>
    </row>
    <row r="23" spans="1:15" ht="13.5" thickBot="1" x14ac:dyDescent="0.25">
      <c r="A23" s="2469" t="s">
        <v>900</v>
      </c>
      <c r="B23" s="2468"/>
      <c r="C23" s="2468"/>
      <c r="D23" s="2468"/>
      <c r="E23" s="2468"/>
      <c r="F23" s="1436"/>
      <c r="G23" s="1755">
        <f>SUM(G14:G16,G21,G22)</f>
        <v>0</v>
      </c>
      <c r="H23" s="1755">
        <f>SUM(H14:H16,H21,H22)</f>
        <v>27585</v>
      </c>
      <c r="I23" s="1755">
        <f>SUM(I14:I16,I21,I22)</f>
        <v>0</v>
      </c>
      <c r="J23" s="1755">
        <f>SUM(J14:J16,J21,J22)</f>
        <v>0</v>
      </c>
      <c r="K23" s="1755">
        <f>SUM(K14:K16,K21,K22)</f>
        <v>28879</v>
      </c>
      <c r="M23" s="1846"/>
      <c r="N23" s="1846"/>
      <c r="O23" s="1846"/>
    </row>
    <row r="24" spans="1:15" ht="14.25" thickTop="1" thickBot="1" x14ac:dyDescent="0.25">
      <c r="A24" s="2470" t="str">
        <f>"Ending Cash Basis Fund Balance as of June 30, "&amp;'AFR20'!E2</f>
        <v>Ending Cash Basis Fund Balance as of June 30, 2020</v>
      </c>
      <c r="B24" s="2471"/>
      <c r="C24" s="2471"/>
      <c r="D24" s="2471"/>
      <c r="E24" s="2471"/>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2048</v>
      </c>
      <c r="E30" s="648" t="s">
        <v>763</v>
      </c>
      <c r="F30" s="197"/>
      <c r="G30" s="645"/>
    </row>
    <row r="31" spans="1:15" x14ac:dyDescent="0.2">
      <c r="A31" s="649"/>
      <c r="D31" s="232"/>
      <c r="E31" s="650" t="s">
        <v>764</v>
      </c>
      <c r="F31" s="651" t="s">
        <v>536</v>
      </c>
      <c r="G31" s="618"/>
      <c r="H31" s="2480"/>
      <c r="I31" s="2481"/>
      <c r="J31" s="2481"/>
      <c r="K31" s="2481"/>
    </row>
    <row r="32" spans="1:15" x14ac:dyDescent="0.2">
      <c r="A32" s="649"/>
      <c r="B32" s="232"/>
      <c r="C32" s="232"/>
      <c r="D32" s="232"/>
      <c r="E32" s="645"/>
      <c r="F32" s="651" t="s">
        <v>537</v>
      </c>
      <c r="G32" s="618"/>
      <c r="H32" s="2482"/>
      <c r="I32" s="2481"/>
      <c r="J32" s="2481"/>
      <c r="K32" s="2481"/>
    </row>
    <row r="33" spans="1:11" ht="1.5" customHeight="1" x14ac:dyDescent="0.2">
      <c r="A33" s="652" t="s">
        <v>1159</v>
      </c>
      <c r="B33" s="341"/>
      <c r="C33" s="341"/>
      <c r="D33" s="341"/>
      <c r="E33" s="341"/>
      <c r="F33" s="341"/>
      <c r="G33" s="653"/>
      <c r="H33" s="2482"/>
      <c r="I33" s="2481"/>
      <c r="J33" s="2481"/>
      <c r="K33" s="2481"/>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48" t="s">
        <v>538</v>
      </c>
      <c r="B41" s="2449"/>
      <c r="C41" s="2449"/>
      <c r="D41" s="2449"/>
      <c r="E41" s="2449"/>
      <c r="F41" s="245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F4" colorId="8" zoomScale="110" zoomScaleNormal="110" workbookViewId="0">
      <selection activeCell="G24" sqref="G2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89" t="s">
        <v>1872</v>
      </c>
      <c r="B1" s="2490"/>
      <c r="C1" s="2491"/>
      <c r="D1" s="666"/>
      <c r="E1" s="667"/>
      <c r="F1" s="667"/>
      <c r="G1" s="668"/>
      <c r="H1" s="669"/>
      <c r="I1" s="670"/>
      <c r="J1" s="2487"/>
      <c r="K1" s="2488"/>
      <c r="L1" s="2488"/>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530288</v>
      </c>
      <c r="D5" s="1770"/>
      <c r="E5" s="1770"/>
      <c r="F5" s="1765">
        <f>(C5+D5)-E5</f>
        <v>530288</v>
      </c>
      <c r="G5" s="676"/>
      <c r="H5" s="680"/>
      <c r="I5" s="680"/>
      <c r="J5" s="680"/>
      <c r="K5" s="637"/>
      <c r="L5" s="1442">
        <f>F5-K5</f>
        <v>530288</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30672323</v>
      </c>
      <c r="D8" s="1771">
        <v>520074</v>
      </c>
      <c r="E8" s="1771"/>
      <c r="F8" s="1765">
        <f>(C8+D8)-E8</f>
        <v>31192397</v>
      </c>
      <c r="G8" s="681">
        <v>50</v>
      </c>
      <c r="H8" s="619">
        <v>9665823</v>
      </c>
      <c r="I8" s="619">
        <v>402626</v>
      </c>
      <c r="J8" s="619"/>
      <c r="K8" s="1442">
        <f>(H8+I8)-J8</f>
        <v>10068449</v>
      </c>
      <c r="L8" s="1442">
        <f>F8-K8</f>
        <v>21123948</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8235729</v>
      </c>
      <c r="D10" s="1772"/>
      <c r="E10" s="1772"/>
      <c r="F10" s="1773">
        <f>(C10+D10)-E10</f>
        <v>8235729</v>
      </c>
      <c r="G10" s="681">
        <v>20</v>
      </c>
      <c r="H10" s="683">
        <v>3115982</v>
      </c>
      <c r="I10" s="683">
        <v>213023</v>
      </c>
      <c r="J10" s="683"/>
      <c r="K10" s="1442">
        <f>(H10+I10)-J10</f>
        <v>3329005</v>
      </c>
      <c r="L10" s="1442">
        <f>F10-K10</f>
        <v>4906724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1433684</v>
      </c>
      <c r="D12" s="1771">
        <v>11501</v>
      </c>
      <c r="E12" s="1771"/>
      <c r="F12" s="1765">
        <f>(C12+D12)-E12</f>
        <v>1445185</v>
      </c>
      <c r="G12" s="681">
        <v>10</v>
      </c>
      <c r="H12" s="619">
        <v>806538</v>
      </c>
      <c r="I12" s="619">
        <v>79810</v>
      </c>
      <c r="J12" s="619"/>
      <c r="K12" s="1442">
        <f>(H12+I12)-J12</f>
        <v>886348</v>
      </c>
      <c r="L12" s="1442">
        <f>F12-K12</f>
        <v>558837</v>
      </c>
    </row>
    <row r="13" spans="1:14" ht="14.25" thickTop="1" thickBot="1" x14ac:dyDescent="0.25">
      <c r="A13" s="684" t="s">
        <v>1112</v>
      </c>
      <c r="B13" s="679">
        <v>252</v>
      </c>
      <c r="C13" s="1771">
        <v>148905</v>
      </c>
      <c r="D13" s="1771"/>
      <c r="E13" s="1771"/>
      <c r="F13" s="1765">
        <f>(C13+D13)-E13</f>
        <v>148905</v>
      </c>
      <c r="G13" s="681">
        <v>5</v>
      </c>
      <c r="H13" s="619">
        <v>88958</v>
      </c>
      <c r="I13" s="619">
        <v>22029</v>
      </c>
      <c r="J13" s="619"/>
      <c r="K13" s="1442">
        <f>(H13+I13)-J13</f>
        <v>110987</v>
      </c>
      <c r="L13" s="1442">
        <f>F13-K13</f>
        <v>37918</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v>352767</v>
      </c>
      <c r="E15" s="1771"/>
      <c r="F15" s="1765">
        <f>(C15+D15)-E15</f>
        <v>352767</v>
      </c>
      <c r="G15" s="685" t="s">
        <v>857</v>
      </c>
      <c r="H15" s="632"/>
      <c r="I15" s="632"/>
      <c r="J15" s="632"/>
      <c r="K15" s="632"/>
      <c r="L15" s="1442">
        <f>F15-K15</f>
        <v>352767</v>
      </c>
    </row>
    <row r="16" spans="1:14" ht="15" customHeight="1" thickTop="1" thickBot="1" x14ac:dyDescent="0.25">
      <c r="A16" s="1438" t="s">
        <v>638</v>
      </c>
      <c r="B16" s="1439">
        <v>200</v>
      </c>
      <c r="C16" s="1765">
        <f>SUM(C3,C5:C6,C8:C10,C12:C15)</f>
        <v>41020929</v>
      </c>
      <c r="D16" s="1765">
        <f>SUM(D3,D5:D6,D8:D10,D12:D15)</f>
        <v>884342</v>
      </c>
      <c r="E16" s="1765">
        <f>SUM(E3,E5:E6,E8:E10,E12:E15)</f>
        <v>0</v>
      </c>
      <c r="F16" s="1765">
        <f>SUM(F3,F5:F6,F8:F10,F12:F15)</f>
        <v>41905271</v>
      </c>
      <c r="G16" s="681"/>
      <c r="H16" s="1435">
        <f>SUM(H3,H6,H8:H10,H12:H14,)</f>
        <v>13677301</v>
      </c>
      <c r="I16" s="1435">
        <f>SUM(I3,I6,I8:I10,I12:I14,)</f>
        <v>717488</v>
      </c>
      <c r="J16" s="1435">
        <f>SUM(J3,J6,J8:J10,J12:J14,)</f>
        <v>0</v>
      </c>
      <c r="K16" s="1435">
        <f>(H16+I16)-J16</f>
        <v>14394789</v>
      </c>
      <c r="L16" s="1435">
        <f>F16-K16</f>
        <v>27510482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149599</v>
      </c>
      <c r="G17" s="676">
        <v>10</v>
      </c>
      <c r="H17" s="621"/>
      <c r="I17" s="1442">
        <f>F17/G17</f>
        <v>14959.9</v>
      </c>
      <c r="J17" s="621"/>
      <c r="K17" s="638"/>
      <c r="L17" s="638"/>
    </row>
    <row r="18" spans="1:12" ht="14.25" thickTop="1" thickBot="1" x14ac:dyDescent="0.25">
      <c r="A18" s="1440" t="s">
        <v>680</v>
      </c>
      <c r="B18" s="1441"/>
      <c r="C18" s="623"/>
      <c r="D18" s="623"/>
      <c r="E18" s="623"/>
      <c r="F18" s="686"/>
      <c r="G18" s="687"/>
      <c r="H18" s="624"/>
      <c r="I18" s="1435">
        <f>SUM(I16,I17)</f>
        <v>732447.9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73" colorId="8" zoomScale="110" zoomScaleNormal="110" workbookViewId="0">
      <selection activeCell="G24" sqref="G2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95" t="str">
        <f>"ESTIMATED OPERATING EXPENSE PER PUPIL (OEPP)/PER CAPITA TUITION CHARGE (PCTC) COMPUTATIONS ("&amp;'AFR20'!E2-1&amp;" - "&amp;'AFR20'!E2&amp;")"</f>
        <v>ESTIMATED OPERATING EXPENSE PER PUPIL (OEPP)/PER CAPITA TUITION CHARGE (PCTC) COMPUTATIONS (2019 - 2020)</v>
      </c>
      <c r="B1" s="2496"/>
      <c r="C1" s="2496"/>
      <c r="D1" s="2496"/>
      <c r="E1" s="2496"/>
      <c r="F1" s="2497"/>
      <c r="G1" s="691"/>
      <c r="I1" s="701"/>
    </row>
    <row r="2" spans="1:9" ht="15" customHeight="1" thickBot="1" x14ac:dyDescent="0.25">
      <c r="A2" s="2498" t="s">
        <v>474</v>
      </c>
      <c r="B2" s="2499"/>
      <c r="C2" s="2499"/>
      <c r="D2" s="2499"/>
      <c r="E2" s="2499"/>
      <c r="F2" s="250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501"/>
      <c r="B5" s="2502"/>
      <c r="C5" s="2502"/>
      <c r="D5" s="2502"/>
      <c r="E5" s="2502"/>
      <c r="F5" s="2502"/>
    </row>
    <row r="6" spans="1:9" ht="13.5" customHeight="1" thickBot="1" x14ac:dyDescent="0.25">
      <c r="A6" s="2492" t="s">
        <v>1095</v>
      </c>
      <c r="B6" s="2493"/>
      <c r="C6" s="2493"/>
      <c r="D6" s="2493"/>
      <c r="E6" s="2493"/>
      <c r="F6" s="249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42697556</v>
      </c>
      <c r="G8" s="701"/>
    </row>
    <row r="9" spans="1:9" x14ac:dyDescent="0.2">
      <c r="A9" s="705" t="s">
        <v>457</v>
      </c>
      <c r="B9" s="706" t="s">
        <v>1845</v>
      </c>
      <c r="C9" s="707"/>
      <c r="D9" s="705" t="s">
        <v>498</v>
      </c>
      <c r="E9" s="704"/>
      <c r="F9" s="1775">
        <f>'Expenditures 15-22'!K151</f>
        <v>2652196</v>
      </c>
      <c r="G9" s="708"/>
    </row>
    <row r="10" spans="1:9" x14ac:dyDescent="0.2">
      <c r="A10" s="705" t="s">
        <v>496</v>
      </c>
      <c r="B10" s="706" t="s">
        <v>1846</v>
      </c>
      <c r="C10" s="707"/>
      <c r="D10" s="705" t="s">
        <v>498</v>
      </c>
      <c r="E10" s="704"/>
      <c r="F10" s="1775">
        <f>'Expenditures 15-22'!K174</f>
        <v>2891817</v>
      </c>
      <c r="G10" s="708"/>
    </row>
    <row r="11" spans="1:9" x14ac:dyDescent="0.2">
      <c r="A11" s="705" t="s">
        <v>458</v>
      </c>
      <c r="B11" s="706" t="s">
        <v>1847</v>
      </c>
      <c r="C11" s="707"/>
      <c r="D11" s="705" t="s">
        <v>498</v>
      </c>
      <c r="E11" s="704"/>
      <c r="F11" s="1775">
        <f>'Expenditures 15-22'!K210</f>
        <v>2906976</v>
      </c>
      <c r="G11" s="708"/>
    </row>
    <row r="12" spans="1:9" x14ac:dyDescent="0.2">
      <c r="A12" s="705" t="s">
        <v>459</v>
      </c>
      <c r="B12" s="706" t="s">
        <v>1848</v>
      </c>
      <c r="C12" s="707"/>
      <c r="D12" s="705" t="s">
        <v>498</v>
      </c>
      <c r="E12" s="704"/>
      <c r="F12" s="1775">
        <f>'Expenditures 15-22'!K295</f>
        <v>2069420</v>
      </c>
      <c r="G12" s="708"/>
    </row>
    <row r="13" spans="1:9" x14ac:dyDescent="0.2">
      <c r="A13" s="705" t="s">
        <v>106</v>
      </c>
      <c r="B13" s="706" t="s">
        <v>1849</v>
      </c>
      <c r="C13" s="707"/>
      <c r="D13" s="705" t="s">
        <v>498</v>
      </c>
      <c r="E13" s="704"/>
      <c r="F13" s="1775">
        <f>'Expenditures 15-22'!K342</f>
        <v>2219271</v>
      </c>
      <c r="G13" s="709"/>
    </row>
    <row r="14" spans="1:9" ht="12" customHeight="1" thickBot="1" x14ac:dyDescent="0.25">
      <c r="A14" s="1443"/>
      <c r="B14" s="1444"/>
      <c r="C14" s="1445"/>
      <c r="D14" s="1446" t="s">
        <v>498</v>
      </c>
      <c r="E14" s="1447" t="s">
        <v>952</v>
      </c>
      <c r="F14" s="1776">
        <f>SUM(F8:F13)</f>
        <v>55437236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548396</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6893</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24418</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1621400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64189</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530019</v>
      </c>
      <c r="G52" s="701"/>
    </row>
    <row r="53" spans="1:7" x14ac:dyDescent="0.2">
      <c r="A53" s="705" t="s">
        <v>456</v>
      </c>
      <c r="B53" s="705" t="s">
        <v>1458</v>
      </c>
      <c r="C53" s="724">
        <f>'Expenditures 15-22'!B102</f>
        <v>4000</v>
      </c>
      <c r="D53" s="723" t="str">
        <f>'Expenditures 15-22'!A102</f>
        <v>Total Payments to Other Govt Units</v>
      </c>
      <c r="E53" s="704"/>
      <c r="F53" s="1782">
        <f>'Expenditures 15-22'!K102</f>
        <v>71127</v>
      </c>
      <c r="G53" s="701"/>
    </row>
    <row r="54" spans="1:7" x14ac:dyDescent="0.2">
      <c r="A54" s="705" t="s">
        <v>456</v>
      </c>
      <c r="B54" s="705" t="s">
        <v>1459</v>
      </c>
      <c r="C54" s="724" t="s">
        <v>975</v>
      </c>
      <c r="D54" s="720" t="s">
        <v>1086</v>
      </c>
      <c r="E54" s="704"/>
      <c r="F54" s="1782">
        <f>'Expenditures 15-22'!G114</f>
        <v>11501</v>
      </c>
      <c r="G54" s="701"/>
    </row>
    <row r="55" spans="1:7" x14ac:dyDescent="0.2">
      <c r="A55" s="705" t="s">
        <v>456</v>
      </c>
      <c r="B55" s="705" t="s">
        <v>1460</v>
      </c>
      <c r="C55" s="724" t="s">
        <v>975</v>
      </c>
      <c r="D55" s="720" t="s">
        <v>288</v>
      </c>
      <c r="E55" s="704"/>
      <c r="F55" s="1782">
        <f>'Expenditures 15-22'!I114</f>
        <v>149300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0</v>
      </c>
      <c r="G58" s="701"/>
    </row>
    <row r="59" spans="1:7" x14ac:dyDescent="0.2">
      <c r="A59" s="728" t="s">
        <v>457</v>
      </c>
      <c r="B59" s="692" t="s">
        <v>1852</v>
      </c>
      <c r="C59" s="729" t="s">
        <v>975</v>
      </c>
      <c r="D59" s="692" t="s">
        <v>288</v>
      </c>
      <c r="F59" s="1785">
        <f>'Expenditures 15-22'!I151</f>
        <v>299</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2115000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0</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29252</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89</v>
      </c>
      <c r="G71" s="701"/>
    </row>
    <row r="72" spans="1:9" x14ac:dyDescent="0.2">
      <c r="A72" s="705" t="s">
        <v>459</v>
      </c>
      <c r="B72" s="705" t="s">
        <v>1864</v>
      </c>
      <c r="C72" s="721">
        <f>'Expenditures 15-22'!B280</f>
        <v>3000</v>
      </c>
      <c r="D72" s="712" t="s">
        <v>446</v>
      </c>
      <c r="E72" s="704"/>
      <c r="F72" s="1782">
        <f>'Expenditures 15-22'!K280</f>
        <v>62269</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5234152</v>
      </c>
      <c r="G77" s="701"/>
    </row>
    <row r="78" spans="1:9" s="728" customFormat="1" ht="12" customHeight="1" thickTop="1" thickBot="1" x14ac:dyDescent="0.25">
      <c r="A78" s="1450"/>
      <c r="B78" s="1448"/>
      <c r="C78" s="1445"/>
      <c r="D78" s="1449" t="s">
        <v>2009</v>
      </c>
      <c r="E78" s="1447"/>
      <c r="F78" s="1788">
        <f>(F14-F77)</f>
        <v>50203084</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2928.2</v>
      </c>
      <c r="G79" s="733"/>
      <c r="H79" s="705"/>
      <c r="I79" s="705"/>
    </row>
    <row r="80" spans="1:9" s="728" customFormat="1" ht="12" customHeight="1" thickBot="1" x14ac:dyDescent="0.25">
      <c r="A80" s="1452"/>
      <c r="B80" s="1448"/>
      <c r="C80" s="1445"/>
      <c r="D80" s="1449" t="s">
        <v>2010</v>
      </c>
      <c r="E80" s="1447" t="s">
        <v>952</v>
      </c>
      <c r="F80" s="1790">
        <f>IF(F79&gt;0,F78/F79," Complete Line 79")</f>
        <v>17144.690936411447</v>
      </c>
      <c r="G80" s="705"/>
    </row>
    <row r="81" spans="1:7" s="728" customFormat="1" ht="8.25" customHeight="1" thickTop="1" x14ac:dyDescent="0.2">
      <c r="A81" s="734"/>
      <c r="B81" s="705"/>
      <c r="C81" s="707"/>
      <c r="D81" s="735"/>
      <c r="E81" s="704"/>
      <c r="F81" s="1791"/>
      <c r="G81" s="705"/>
    </row>
    <row r="82" spans="1:7" s="728" customFormat="1" ht="12" thickBot="1" x14ac:dyDescent="0.25">
      <c r="A82" s="2492" t="s">
        <v>1096</v>
      </c>
      <c r="B82" s="2493"/>
      <c r="C82" s="2493"/>
      <c r="D82" s="2493"/>
      <c r="E82" s="2493"/>
      <c r="F82" s="249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40508</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3963</v>
      </c>
      <c r="G95" s="745"/>
    </row>
    <row r="96" spans="1:7" x14ac:dyDescent="0.2">
      <c r="A96" s="741" t="s">
        <v>139</v>
      </c>
      <c r="B96" s="741" t="s">
        <v>174</v>
      </c>
      <c r="C96" s="743">
        <v>1700</v>
      </c>
      <c r="D96" s="751" t="str">
        <f>'Revenues 9-14'!A82</f>
        <v>Total District/School Activity Income</v>
      </c>
      <c r="E96" s="739"/>
      <c r="F96" s="1793">
        <f>SUM('Revenues 9-14'!C82,'Revenues 9-14'!D82)</f>
        <v>14809</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857753</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24111</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29203</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26629</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2004245</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85498</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69657</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2066037</v>
      </c>
      <c r="G126" s="763"/>
    </row>
    <row r="127" spans="1:7" x14ac:dyDescent="0.2">
      <c r="A127" s="760" t="s">
        <v>663</v>
      </c>
      <c r="B127" s="760" t="s">
        <v>1928</v>
      </c>
      <c r="C127" s="765">
        <v>4300</v>
      </c>
      <c r="D127" s="766" t="str">
        <f>'Revenues 9-14'!A204</f>
        <v>Total Title I</v>
      </c>
      <c r="E127" s="739"/>
      <c r="F127" s="1793">
        <f>SUM('Revenues 9-14'!C204,'Revenues 9-14'!D204,'Revenues 9-14'!F204,'Revenues 9-14'!G204)</f>
        <v>4483740</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1010982</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938211</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109563</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49501</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302156</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193068</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177580</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351186</v>
      </c>
      <c r="G171" s="760"/>
    </row>
    <row r="172" spans="1:7" x14ac:dyDescent="0.2">
      <c r="A172" s="1529" t="s">
        <v>5</v>
      </c>
      <c r="B172" s="1530" t="s">
        <v>1882</v>
      </c>
      <c r="C172" s="1531">
        <v>3100</v>
      </c>
      <c r="D172" s="1532" t="s">
        <v>1884</v>
      </c>
      <c r="E172" s="739"/>
      <c r="F172" s="1794">
        <v>1595701</v>
      </c>
      <c r="G172" s="760"/>
    </row>
    <row r="173" spans="1:7" x14ac:dyDescent="0.2">
      <c r="A173" s="1529" t="s">
        <v>659</v>
      </c>
      <c r="B173" s="1530" t="s">
        <v>1882</v>
      </c>
      <c r="C173" s="1531">
        <v>3300</v>
      </c>
      <c r="D173" s="1532" t="s">
        <v>1885</v>
      </c>
      <c r="E173" s="739"/>
      <c r="F173" s="1794">
        <v>1542</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14435643</v>
      </c>
    </row>
    <row r="176" spans="1:7" ht="12" customHeight="1" x14ac:dyDescent="0.2">
      <c r="A176" s="1443"/>
      <c r="B176" s="1453"/>
      <c r="C176" s="1454"/>
      <c r="D176" s="1455" t="s">
        <v>2011</v>
      </c>
      <c r="E176" s="1456"/>
      <c r="F176" s="1793">
        <f>'PCTC-OEPP 27-28'!F78-F175</f>
        <v>35767441</v>
      </c>
    </row>
    <row r="177" spans="1:9" ht="12" customHeight="1" x14ac:dyDescent="0.2">
      <c r="A177" s="1443"/>
      <c r="B177" s="1453"/>
      <c r="C177" s="1454"/>
      <c r="D177" s="1455" t="s">
        <v>1791</v>
      </c>
      <c r="E177" s="1456"/>
      <c r="F177" s="1793">
        <f>'Cap Outlay Deprec 26'!I18</f>
        <v>732447.9</v>
      </c>
    </row>
    <row r="178" spans="1:9" ht="12" customHeight="1" x14ac:dyDescent="0.2">
      <c r="A178" s="1443"/>
      <c r="B178" s="1453"/>
      <c r="C178" s="1454"/>
      <c r="D178" s="1455" t="s">
        <v>2012</v>
      </c>
      <c r="E178" s="1456"/>
      <c r="F178" s="1793">
        <f>F176+F177</f>
        <v>36499888.899999999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2928.2</v>
      </c>
      <c r="G179" s="763"/>
      <c r="I179" s="701"/>
    </row>
    <row r="180" spans="1:9" ht="12" customHeight="1" thickBot="1" x14ac:dyDescent="0.25">
      <c r="A180" s="1443"/>
      <c r="B180" s="1457"/>
      <c r="C180" s="1454"/>
      <c r="D180" s="1455" t="s">
        <v>2014</v>
      </c>
      <c r="E180" s="1456" t="s">
        <v>1528</v>
      </c>
      <c r="F180" s="1798">
        <f>F178/F179</f>
        <v>12464.957619015095</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3" zoomScaleNormal="100" workbookViewId="0">
      <selection activeCell="G24" sqref="G24"/>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506" t="s">
        <v>1792</v>
      </c>
      <c r="B4" s="2507"/>
      <c r="C4" s="2507"/>
      <c r="D4" s="2507"/>
      <c r="E4" s="2507"/>
      <c r="F4" s="2508"/>
    </row>
    <row r="5" spans="1:6" x14ac:dyDescent="0.25">
      <c r="A5" s="2509"/>
      <c r="B5" s="2510"/>
      <c r="C5" s="2510"/>
      <c r="D5" s="2510"/>
      <c r="E5" s="2510"/>
      <c r="F5" s="2511"/>
    </row>
    <row r="6" spans="1:6" ht="18.75" x14ac:dyDescent="0.25">
      <c r="A6" s="1867" t="s">
        <v>1793</v>
      </c>
      <c r="B6" s="1868"/>
      <c r="C6" s="1869"/>
      <c r="D6" s="1869"/>
      <c r="E6" s="1869"/>
      <c r="F6" s="1870"/>
    </row>
    <row r="7" spans="1:6" ht="47.25" customHeight="1" x14ac:dyDescent="0.25">
      <c r="A7" s="2512" t="s">
        <v>1982</v>
      </c>
      <c r="B7" s="2513"/>
      <c r="C7" s="2513"/>
      <c r="D7" s="2513"/>
      <c r="E7" s="2513"/>
      <c r="F7" s="2514"/>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515" t="s">
        <v>1978</v>
      </c>
      <c r="B10" s="2516"/>
      <c r="C10" s="2516"/>
      <c r="D10" s="2516"/>
      <c r="E10" s="2516"/>
      <c r="F10" s="2517"/>
    </row>
    <row r="11" spans="1:6" ht="33" customHeight="1" x14ac:dyDescent="0.25">
      <c r="A11" s="2512" t="s">
        <v>1983</v>
      </c>
      <c r="B11" s="2513"/>
      <c r="C11" s="2513"/>
      <c r="D11" s="2513"/>
      <c r="E11" s="2513"/>
      <c r="F11" s="2514"/>
    </row>
    <row r="12" spans="1:6" ht="15" customHeight="1" x14ac:dyDescent="0.25">
      <c r="A12" s="1873" t="s">
        <v>1979</v>
      </c>
      <c r="B12" s="1874"/>
      <c r="C12" s="1875"/>
      <c r="D12" s="1875"/>
      <c r="E12" s="1875"/>
      <c r="F12" s="1876"/>
    </row>
    <row r="13" spans="1:6" ht="17.25" customHeight="1" x14ac:dyDescent="0.25">
      <c r="A13" s="2512" t="s">
        <v>1980</v>
      </c>
      <c r="B13" s="2513"/>
      <c r="C13" s="2513"/>
      <c r="D13" s="2513"/>
      <c r="E13" s="2513"/>
      <c r="F13" s="2514"/>
    </row>
    <row r="14" spans="1:6" ht="15" customHeight="1" x14ac:dyDescent="0.25">
      <c r="A14" s="1873" t="s">
        <v>1797</v>
      </c>
      <c r="B14" s="1874"/>
      <c r="C14" s="1875"/>
      <c r="D14" s="1875"/>
      <c r="E14" s="1875"/>
      <c r="F14" s="1876"/>
    </row>
    <row r="15" spans="1:6" ht="32.25" customHeight="1" x14ac:dyDescent="0.25">
      <c r="A15" s="250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504"/>
      <c r="C15" s="2504"/>
      <c r="D15" s="2504"/>
      <c r="E15" s="2504"/>
      <c r="F15" s="2505"/>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164" t="s">
        <v>2244</v>
      </c>
      <c r="B18" s="1908">
        <v>102560300</v>
      </c>
      <c r="C18" s="2035" t="s">
        <v>2065</v>
      </c>
      <c r="D18" s="1886">
        <f>1160668+2002922</f>
        <v>3163590</v>
      </c>
      <c r="E18" s="1906" t="str">
        <f t="shared" ref="E18:E81" si="0">IF(D18&lt;25000,D18,"25,000")</f>
        <v>25,000</v>
      </c>
      <c r="F18" s="1906">
        <f t="shared" ref="F18:F81" si="1">IF(D18&gt;=25000,(D18-E18),"0")</f>
        <v>3138590</v>
      </c>
      <c r="G18" s="1887"/>
    </row>
    <row r="19" spans="1:7" ht="30" x14ac:dyDescent="0.25">
      <c r="A19" s="2165" t="s">
        <v>2245</v>
      </c>
      <c r="B19" s="1908">
        <v>402550300</v>
      </c>
      <c r="C19" s="2035" t="s">
        <v>2066</v>
      </c>
      <c r="D19" s="1886">
        <v>1855071</v>
      </c>
      <c r="E19" s="1906" t="str">
        <f t="shared" si="0"/>
        <v>25,000</v>
      </c>
      <c r="F19" s="1906">
        <f t="shared" si="1"/>
        <v>1830071</v>
      </c>
    </row>
    <row r="20" spans="1:7" x14ac:dyDescent="0.25">
      <c r="A20" s="2165" t="s">
        <v>2246</v>
      </c>
      <c r="B20" s="1908">
        <v>102300300</v>
      </c>
      <c r="C20" s="2035" t="s">
        <v>2067</v>
      </c>
      <c r="D20" s="1886">
        <v>54000</v>
      </c>
      <c r="E20" s="1906" t="str">
        <f t="shared" si="0"/>
        <v>25,000</v>
      </c>
      <c r="F20" s="1906">
        <f t="shared" si="1"/>
        <v>29000</v>
      </c>
    </row>
    <row r="21" spans="1:7" x14ac:dyDescent="0.25">
      <c r="A21" s="2165" t="s">
        <v>2247</v>
      </c>
      <c r="B21" s="1908">
        <v>802300300</v>
      </c>
      <c r="C21" s="2035" t="s">
        <v>2068</v>
      </c>
      <c r="D21" s="1886">
        <v>186176</v>
      </c>
      <c r="E21" s="1906" t="str">
        <f t="shared" si="0"/>
        <v>25,000</v>
      </c>
      <c r="F21" s="1906">
        <f t="shared" si="1"/>
        <v>161176</v>
      </c>
    </row>
    <row r="22" spans="1:7" x14ac:dyDescent="0.25">
      <c r="A22" s="2165" t="s">
        <v>2247</v>
      </c>
      <c r="B22" s="1908">
        <v>802300300</v>
      </c>
      <c r="C22" s="2035" t="s">
        <v>2069</v>
      </c>
      <c r="D22" s="1886">
        <v>46340</v>
      </c>
      <c r="E22" s="1906" t="str">
        <f t="shared" si="0"/>
        <v>25,000</v>
      </c>
      <c r="F22" s="1906">
        <f t="shared" si="1"/>
        <v>21340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5305177</v>
      </c>
      <c r="E142" s="1893">
        <f>SUM(E18:E141)</f>
        <v>0</v>
      </c>
      <c r="F142" s="1894">
        <f>SUM(F18:F141)</f>
        <v>5180177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114300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114300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6" colorId="8" zoomScale="110" zoomScaleNormal="110" workbookViewId="0">
      <selection activeCell="G24" sqref="G2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518" t="s">
        <v>1660</v>
      </c>
      <c r="B5" s="2519"/>
      <c r="C5" s="2519"/>
      <c r="D5" s="2519"/>
      <c r="E5" s="2519"/>
      <c r="F5" s="2519"/>
      <c r="G5" s="252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v>1508505</v>
      </c>
      <c r="F10" s="805"/>
      <c r="G10" s="806"/>
      <c r="H10" s="157"/>
      <c r="I10" s="157"/>
    </row>
    <row r="11" spans="1:13" s="542" customFormat="1" ht="22.5" customHeight="1" x14ac:dyDescent="0.2">
      <c r="A11" s="252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524"/>
      <c r="C11" s="2524"/>
      <c r="D11" s="2525"/>
      <c r="E11" s="1801">
        <v>166834</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24574802</v>
      </c>
      <c r="F19" s="1802"/>
      <c r="G19" s="1804">
        <f>'Expenditures 15-22'!K33-SUM('Expenditures 15-22'!G33,'Expenditures 15-22'!I33)+'Expenditures 15-22'!D229</f>
        <v>24574802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3321270</v>
      </c>
      <c r="F21" s="1805"/>
      <c r="G21" s="1808">
        <f>'Expenditures 15-22'!K42-SUM('Expenditures 15-22'!G42,'Expenditures 15-22'!I42)+'Expenditures 15-22'!K120-SUM('Expenditures 15-22'!G120,'Expenditures 15-22'!I120)+'Expenditures 15-22'!K180-SUM('Expenditures 15-22'!G180,'Expenditures 15-22'!I180)+'Expenditures 15-22'!D238</f>
        <v>3321270</v>
      </c>
      <c r="H21" s="817"/>
      <c r="I21" s="157"/>
    </row>
    <row r="22" spans="1:9" s="542" customFormat="1" ht="12" customHeight="1" x14ac:dyDescent="0.2">
      <c r="A22" s="824" t="s">
        <v>560</v>
      </c>
      <c r="B22" s="825"/>
      <c r="C22" s="823">
        <v>2200</v>
      </c>
      <c r="D22" s="1805"/>
      <c r="E22" s="1807">
        <f>'Expenditures 15-22'!K47-SUM('Expenditures 15-22'!G47,'Expenditures 15-22'!I47)+'Expenditures 15-22'!D243</f>
        <v>1675860</v>
      </c>
      <c r="F22" s="1805"/>
      <c r="G22" s="1808">
        <f>'Expenditures 15-22'!K47-SUM('Expenditures 15-22'!G47,'Expenditures 15-22'!I47)+'Expenditures 15-22'!D243</f>
        <v>1675860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3709011</v>
      </c>
      <c r="F23" s="1805"/>
      <c r="G23" s="1807">
        <f>'Expenditures 15-22'!K53-SUM('Expenditures 15-22'!G53,'Expenditures 15-22'!I53)+'Expenditures 15-22'!D257+'Expenditures 15-22'!K330-SUM('Expenditures 15-22'!G330,'Expenditures 15-22'!I330)</f>
        <v>3709011</v>
      </c>
      <c r="H23" s="817"/>
      <c r="I23" s="157"/>
    </row>
    <row r="24" spans="1:9" s="542" customFormat="1" ht="12" customHeight="1" x14ac:dyDescent="0.2">
      <c r="A24" s="824" t="s">
        <v>562</v>
      </c>
      <c r="B24" s="825"/>
      <c r="C24" s="823">
        <v>2400</v>
      </c>
      <c r="D24" s="1805"/>
      <c r="E24" s="1807">
        <f>'Expenditures 15-22'!K57-SUM('Expenditures 15-22'!G57,'Expenditures 15-22'!I57)+'Expenditures 15-22'!D261</f>
        <v>3330783</v>
      </c>
      <c r="F24" s="1805"/>
      <c r="G24" s="1808">
        <f>'Expenditures 15-22'!K57-SUM('Expenditures 15-22'!G57,'Expenditures 15-22'!I57)+'Expenditures 15-22'!D261</f>
        <v>3330783</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114680</v>
      </c>
      <c r="E26" s="1807">
        <f>'Expenditures 15-22'!K122-SUM('Expenditures 15-22'!G122,'Expenditures 15-22'!I122)+E7</f>
        <v>0</v>
      </c>
      <c r="F26" s="1807">
        <f>'Expenditures 15-22'!K59-SUM('Expenditures 15-22'!G59,'Expenditures 15-22'!I59)+'Expenditures 15-22'!D263-E7</f>
        <v>114680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521052</v>
      </c>
      <c r="E27" s="1807">
        <f>E8</f>
        <v>0</v>
      </c>
      <c r="F27" s="1807">
        <f>'Expenditures 15-22'!K60-SUM('Expenditures 15-22'!G60,'Expenditures 15-22'!I60)+'Expenditures 15-22'!D264-E8</f>
        <v>521052</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4775979</v>
      </c>
      <c r="F28" s="1809">
        <f>'Expenditures 15-22'!K61-SUM('Expenditures 15-22'!G61,'Expenditures 15-22'!I61)+'Expenditures 15-22'!K124-SUM('Expenditures 15-22'!G124,'Expenditures 15-22'!I124)+'Expenditures 15-22'!D266-E9</f>
        <v>4775979</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3057174</v>
      </c>
      <c r="F29" s="1805"/>
      <c r="G29" s="1808">
        <f>'Expenditures 15-22'!K62-SUM('Expenditures 15-22'!G62,'Expenditures 15-22'!I62)+'Expenditures 15-22'!K125-SUM('Expenditures 15-22'!G125,'Expenditures 15-22'!I125)+'Expenditures 15-22'!K182-SUM('Expenditures 15-22'!G182,'Expenditures 15-22'!I182)+'Expenditures 15-22'!D267</f>
        <v>3057174</v>
      </c>
      <c r="H29" s="815"/>
    </row>
    <row r="30" spans="1:9" ht="12" customHeight="1" x14ac:dyDescent="0.2">
      <c r="A30" s="824" t="s">
        <v>100</v>
      </c>
      <c r="B30" s="827"/>
      <c r="C30" s="823">
        <v>2560</v>
      </c>
      <c r="D30" s="1805"/>
      <c r="E30" s="1807">
        <f>'Expenditures 15-22'!K63-SUM('Expenditures 15-22'!G63,'Expenditures 15-22'!I63)+'Expenditures 15-22'!D268-E10</f>
        <v>671018</v>
      </c>
      <c r="F30" s="1805"/>
      <c r="G30" s="1807">
        <f>'Expenditures 15-22'!K63-SUM('Expenditures 15-22'!G63,'Expenditures 15-22'!I63)+'Expenditures 15-22'!D268-E10</f>
        <v>671018</v>
      </c>
    </row>
    <row r="31" spans="1:9" ht="12" customHeight="1" x14ac:dyDescent="0.2">
      <c r="A31" s="824" t="s">
        <v>101</v>
      </c>
      <c r="B31" s="827"/>
      <c r="C31" s="823">
        <v>2570</v>
      </c>
      <c r="D31" s="1807">
        <f>'Expenditures 15-22'!K64-SUM('Expenditures 15-22'!G64,'Expenditures 15-22'!I64)+'Expenditures 15-22'!D269-E12</f>
        <v>232740</v>
      </c>
      <c r="E31" s="1807">
        <f>E12</f>
        <v>0</v>
      </c>
      <c r="F31" s="1807">
        <f>'Expenditures 15-22'!K64-SUM('Expenditures 15-22'!G64,'Expenditures 15-22'!I64)+'Expenditures 15-22'!D269-E12</f>
        <v>232740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1048645</v>
      </c>
      <c r="F34" s="1805"/>
      <c r="G34" s="1807">
        <f>'Expenditures 15-22'!K68-SUM('Expenditures 15-22'!G68,'Expenditures 15-22'!I68)+'Expenditures 15-22'!D273</f>
        <v>1048645</v>
      </c>
    </row>
    <row r="35" spans="1:7" ht="12" customHeight="1" x14ac:dyDescent="0.2">
      <c r="A35" s="824" t="s">
        <v>1052</v>
      </c>
      <c r="B35" s="827"/>
      <c r="C35" s="823">
        <v>2630</v>
      </c>
      <c r="D35" s="1805"/>
      <c r="E35" s="1807">
        <f>'Expenditures 15-22'!K69-SUM('Expenditures 15-22'!G69,'Expenditures 15-22'!I69)+'Expenditures 15-22'!D274</f>
        <v>1217711</v>
      </c>
      <c r="F35" s="1805"/>
      <c r="G35" s="1807">
        <f>'Expenditures 15-22'!K69-SUM('Expenditures 15-22'!G69,'Expenditures 15-22'!I69)+'Expenditures 15-22'!D274</f>
        <v>1217711</v>
      </c>
    </row>
    <row r="36" spans="1:7" ht="12" customHeight="1" x14ac:dyDescent="0.2">
      <c r="A36" s="824" t="s">
        <v>400</v>
      </c>
      <c r="B36" s="827"/>
      <c r="C36" s="823">
        <v>2640</v>
      </c>
      <c r="D36" s="1807">
        <f>'Expenditures 15-22'!K70-SUM('Expenditures 15-22'!G70,'Expenditures 15-22'!I70)+'Expenditures 15-22'!D275-E13</f>
        <v>786224</v>
      </c>
      <c r="E36" s="1807">
        <f>E13</f>
        <v>0</v>
      </c>
      <c r="F36" s="1807">
        <f>'Expenditures 15-22'!K70-SUM('Expenditures 15-22'!G70,'Expenditures 15-22'!I70)+'Expenditures 15-22'!D275-E13</f>
        <v>786224</v>
      </c>
      <c r="G36" s="1807">
        <f>E13</f>
        <v>0</v>
      </c>
    </row>
    <row r="37" spans="1:7" ht="12" customHeight="1" x14ac:dyDescent="0.2">
      <c r="A37" s="824" t="s">
        <v>401</v>
      </c>
      <c r="B37" s="827"/>
      <c r="C37" s="823">
        <v>2660</v>
      </c>
      <c r="D37" s="1807">
        <f>'Expenditures 15-22'!K71-SUM('Expenditures 15-22'!G71,'Expenditures 15-22'!I71)+'Expenditures 15-22'!D276-E14</f>
        <v>4343</v>
      </c>
      <c r="E37" s="1807">
        <f>E14</f>
        <v>0</v>
      </c>
      <c r="F37" s="1807">
        <f>'Expenditures 15-22'!K71-SUM('Expenditures 15-22'!G71,'Expenditures 15-22'!I71)+'Expenditures 15-22'!D276-E14</f>
        <v>4343</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1171107</v>
      </c>
      <c r="F38" s="1805"/>
      <c r="G38" s="1807">
        <f>'Expenditures 15-22'!K73-SUM('Expenditures 15-22'!G73,'Expenditures 15-22'!I73)+'Expenditures 15-22'!K128-SUM('Expenditures 15-22'!G128,'Expenditures 15-22'!I128)+'Expenditures 15-22'!K183-SUM('Expenditures 15-22'!G183,'Expenditures 15-22'!I183)+'Expenditures 15-22'!D278</f>
        <v>1171107</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592288</v>
      </c>
      <c r="F39" s="1805"/>
      <c r="G39" s="1807">
        <f>'Expenditures 15-22'!K75-SUM('Expenditures 15-22'!G75,'Expenditures 15-22'!I75)+'Expenditures 15-22'!K130-SUM('Expenditures 15-22'!G130,'Expenditures 15-22'!I130)+'Expenditures 15-22'!K185-SUM('Expenditures 15-22'!G185,'Expenditures 15-22'!I185)+'Expenditures 15-22'!D280</f>
        <v>592288</v>
      </c>
    </row>
    <row r="40" spans="1:7" ht="12" customHeight="1" x14ac:dyDescent="0.2">
      <c r="A40" s="820" t="s">
        <v>1795</v>
      </c>
      <c r="B40" s="821"/>
      <c r="C40" s="823"/>
      <c r="D40" s="1805"/>
      <c r="E40" s="1809">
        <f>-'Contracts Paid in CY 29'!F142</f>
        <v>-5180177</v>
      </c>
      <c r="F40" s="1805"/>
      <c r="G40" s="1809">
        <f>-'Contracts Paid in CY 29'!F142</f>
        <v>-5180177</v>
      </c>
    </row>
    <row r="41" spans="1:7" ht="12" customHeight="1" x14ac:dyDescent="0.2">
      <c r="A41" s="828" t="s">
        <v>155</v>
      </c>
      <c r="B41" s="829"/>
      <c r="C41" s="830"/>
      <c r="D41" s="1809">
        <f>SUM(D19:D39)</f>
        <v>1659039</v>
      </c>
      <c r="E41" s="1809">
        <f>SUM(E19:E40)</f>
        <v>43965471</v>
      </c>
      <c r="F41" s="1809">
        <f>SUM(F19:F39)</f>
        <v>6435018</v>
      </c>
      <c r="G41" s="1809">
        <f>SUM(G19:G40)</f>
        <v>39189492</v>
      </c>
    </row>
    <row r="42" spans="1:7" x14ac:dyDescent="0.2">
      <c r="A42" s="817"/>
      <c r="B42" s="157"/>
      <c r="C42" s="831"/>
      <c r="D42" s="2521" t="s">
        <v>519</v>
      </c>
      <c r="E42" s="2522"/>
      <c r="F42" s="832" t="s">
        <v>520</v>
      </c>
      <c r="G42" s="833"/>
    </row>
    <row r="43" spans="1:7" ht="12" customHeight="1" x14ac:dyDescent="0.2">
      <c r="A43" s="817"/>
      <c r="B43" s="157"/>
      <c r="C43" s="831"/>
      <c r="D43" s="1458" t="s">
        <v>470</v>
      </c>
      <c r="E43" s="1810">
        <f>D41</f>
        <v>1659039</v>
      </c>
      <c r="F43" s="1458" t="s">
        <v>470</v>
      </c>
      <c r="G43" s="1810">
        <f>F41</f>
        <v>6435018</v>
      </c>
    </row>
    <row r="44" spans="1:7" ht="12" customHeight="1" x14ac:dyDescent="0.2">
      <c r="A44" s="817"/>
      <c r="B44" s="157"/>
      <c r="C44" s="831"/>
      <c r="D44" s="1458" t="s">
        <v>471</v>
      </c>
      <c r="E44" s="1810">
        <f>E41</f>
        <v>43965471</v>
      </c>
      <c r="F44" s="1458" t="s">
        <v>471</v>
      </c>
      <c r="G44" s="1810">
        <f>G41</f>
        <v>39189492</v>
      </c>
    </row>
    <row r="45" spans="1:7" ht="12" customHeight="1" x14ac:dyDescent="0.2">
      <c r="A45" s="817"/>
      <c r="B45" s="157"/>
      <c r="C45" s="157"/>
      <c r="D45" s="1459" t="s">
        <v>999</v>
      </c>
      <c r="E45" s="1811">
        <f>(E43/E44)</f>
        <v>3.7735044394270223E-2</v>
      </c>
      <c r="F45" s="1459" t="s">
        <v>999</v>
      </c>
      <c r="G45" s="1811">
        <f>(G43/G44)</f>
        <v>0.16420263880940331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3" zoomScale="110" zoomScaleNormal="110" workbookViewId="0">
      <selection activeCell="G24" sqref="G24"/>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529" t="s">
        <v>1363</v>
      </c>
      <c r="B1" s="2529"/>
      <c r="C1" s="2529"/>
      <c r="D1" s="2529"/>
      <c r="E1" s="2529"/>
      <c r="F1" s="2529"/>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530" t="s">
        <v>1529</v>
      </c>
      <c r="B5" s="2531"/>
      <c r="C5" s="2532"/>
      <c r="D5" s="2532"/>
      <c r="E5" s="2532"/>
      <c r="F5" s="2532"/>
      <c r="G5" s="1507"/>
      <c r="L5" s="1507"/>
      <c r="M5" s="1855"/>
      <c r="N5" s="1855"/>
      <c r="O5" s="1855"/>
    </row>
    <row r="6" spans="1:15" ht="12" customHeight="1" x14ac:dyDescent="0.25">
      <c r="A6" s="1480"/>
      <c r="B6" s="1481"/>
      <c r="C6" s="2533" t="str">
        <f>COVER!A17</f>
        <v xml:space="preserve"> Cahokia USD 187</v>
      </c>
      <c r="D6" s="2533"/>
      <c r="E6" s="2533"/>
      <c r="F6" s="1482"/>
      <c r="G6" s="1507"/>
      <c r="L6" s="1507"/>
      <c r="M6" s="1855"/>
      <c r="N6" s="1855"/>
      <c r="O6" s="1855"/>
    </row>
    <row r="7" spans="1:15" ht="11.25" customHeight="1" thickBot="1" x14ac:dyDescent="0.3">
      <c r="A7" s="1480"/>
      <c r="B7" s="1481"/>
      <c r="C7" s="2534">
        <f>COVER!A13</f>
        <v>50082187026</v>
      </c>
      <c r="D7" s="2534"/>
      <c r="E7" s="2534"/>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2048</v>
      </c>
      <c r="D24" s="1495" t="s">
        <v>2048</v>
      </c>
      <c r="E24" s="1498"/>
      <c r="F24" s="1497" t="s">
        <v>2070</v>
      </c>
      <c r="G24" s="1507"/>
      <c r="H24" s="1507">
        <f t="shared" si="0"/>
        <v>5</v>
      </c>
      <c r="I24" s="1507">
        <f t="shared" si="1"/>
        <v>5</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0</v>
      </c>
      <c r="K34" s="1507">
        <f>SUM(H34:J34)</f>
        <v>10</v>
      </c>
      <c r="L34" s="1507"/>
      <c r="M34" s="1855"/>
      <c r="N34" s="1855"/>
      <c r="O34" s="1855"/>
    </row>
    <row r="35" spans="1:15" ht="12" customHeight="1" x14ac:dyDescent="0.2">
      <c r="A35" s="1500" t="s">
        <v>1376</v>
      </c>
      <c r="B35" s="1501"/>
      <c r="C35" s="2535"/>
      <c r="D35" s="2535"/>
      <c r="E35" s="2535"/>
      <c r="F35" s="2536"/>
    </row>
    <row r="36" spans="1:15" ht="12" customHeight="1" x14ac:dyDescent="0.2">
      <c r="A36" s="2526"/>
      <c r="B36" s="2527"/>
      <c r="C36" s="2527"/>
      <c r="D36" s="2527"/>
      <c r="E36" s="2527"/>
      <c r="F36" s="2528"/>
    </row>
    <row r="37" spans="1:15" ht="12" customHeight="1" x14ac:dyDescent="0.2">
      <c r="A37" s="2526"/>
      <c r="B37" s="2527"/>
      <c r="C37" s="2527"/>
      <c r="D37" s="2527"/>
      <c r="E37" s="2527"/>
      <c r="F37" s="2528"/>
    </row>
    <row r="38" spans="1:15" ht="12" customHeight="1" x14ac:dyDescent="0.2">
      <c r="A38" s="2540"/>
      <c r="B38" s="2541"/>
      <c r="C38" s="2541"/>
      <c r="D38" s="2541"/>
      <c r="E38" s="2541"/>
      <c r="F38" s="2542"/>
    </row>
    <row r="39" spans="1:15" ht="4.5" hidden="1" customHeight="1" x14ac:dyDescent="0.2">
      <c r="A39" s="1502"/>
      <c r="B39" s="1502"/>
      <c r="C39" s="1502"/>
      <c r="D39" s="1502"/>
      <c r="E39" s="1502"/>
      <c r="F39" s="1502"/>
    </row>
    <row r="40" spans="1:15" s="1499" customFormat="1" ht="12" customHeight="1" x14ac:dyDescent="0.25">
      <c r="A40" s="1503" t="s">
        <v>1375</v>
      </c>
      <c r="B40" s="1504"/>
      <c r="C40" s="2543"/>
      <c r="D40" s="2543"/>
      <c r="E40" s="2543"/>
      <c r="F40" s="2544"/>
      <c r="H40" s="1508"/>
      <c r="I40" s="1508"/>
      <c r="J40" s="1508"/>
      <c r="K40" s="1508"/>
    </row>
    <row r="41" spans="1:15" s="1499" customFormat="1" ht="12" customHeight="1" x14ac:dyDescent="0.25">
      <c r="A41" s="2545"/>
      <c r="B41" s="2546"/>
      <c r="C41" s="2546"/>
      <c r="D41" s="2546"/>
      <c r="E41" s="2546"/>
      <c r="F41" s="2547"/>
      <c r="H41" s="1508"/>
      <c r="I41" s="1508"/>
      <c r="J41" s="1508"/>
      <c r="K41" s="1508"/>
    </row>
    <row r="42" spans="1:15" s="1499" customFormat="1" ht="12" customHeight="1" x14ac:dyDescent="0.25">
      <c r="A42" s="2545"/>
      <c r="B42" s="2546"/>
      <c r="C42" s="2546"/>
      <c r="D42" s="2546"/>
      <c r="E42" s="2546"/>
      <c r="F42" s="2547"/>
      <c r="H42" s="1508"/>
      <c r="I42" s="1508"/>
      <c r="J42" s="1508"/>
      <c r="K42" s="1508"/>
    </row>
    <row r="43" spans="1:15" s="1499" customFormat="1" ht="15" x14ac:dyDescent="0.25">
      <c r="A43" s="2537"/>
      <c r="B43" s="2538"/>
      <c r="C43" s="2538"/>
      <c r="D43" s="2538"/>
      <c r="E43" s="2538"/>
      <c r="F43" s="2539"/>
      <c r="H43" s="1508"/>
      <c r="I43" s="1508"/>
      <c r="J43" s="1508"/>
      <c r="K43" s="1508"/>
    </row>
    <row r="44" spans="1:15" s="1499" customFormat="1" ht="12" hidden="1" customHeight="1" x14ac:dyDescent="0.25">
      <c r="A44" s="2537"/>
      <c r="B44" s="2538"/>
      <c r="C44" s="2538"/>
      <c r="D44" s="2538"/>
      <c r="E44" s="2538"/>
      <c r="F44" s="253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 zoomScaleNormal="100" workbookViewId="0">
      <selection activeCell="G24" sqref="G24"/>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1999</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549" t="str">
        <f>COVER!A17</f>
        <v xml:space="preserve"> Cahokia USD 187</v>
      </c>
      <c r="K6" s="2549"/>
      <c r="L6" s="2550"/>
      <c r="M6" s="838"/>
      <c r="N6" s="1998"/>
    </row>
    <row r="7" spans="1:14" x14ac:dyDescent="0.2">
      <c r="A7" s="2551" t="s">
        <v>864</v>
      </c>
      <c r="B7" s="2552"/>
      <c r="C7" s="2552"/>
      <c r="D7" s="2552"/>
      <c r="E7" s="2553"/>
      <c r="F7" s="839"/>
      <c r="G7" s="838"/>
      <c r="H7" s="838"/>
      <c r="I7" s="1924" t="s">
        <v>369</v>
      </c>
      <c r="J7" s="2554">
        <f>COVER!A13</f>
        <v>50082187026</v>
      </c>
      <c r="K7" s="2554"/>
      <c r="L7" s="2554"/>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2015</v>
      </c>
      <c r="F9" s="1857"/>
      <c r="G9" s="1857"/>
      <c r="H9" s="1857"/>
      <c r="I9" s="1929" t="s">
        <v>2016</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555" t="s">
        <v>478</v>
      </c>
      <c r="B11" s="2556"/>
      <c r="C11" s="2557"/>
      <c r="D11" s="1937" t="s">
        <v>866</v>
      </c>
      <c r="E11" s="1937" t="s">
        <v>64</v>
      </c>
      <c r="F11" s="1937" t="s">
        <v>6</v>
      </c>
      <c r="G11" s="1938" t="s">
        <v>2017</v>
      </c>
      <c r="H11" s="1939" t="s">
        <v>155</v>
      </c>
      <c r="I11" s="1937" t="s">
        <v>64</v>
      </c>
      <c r="J11" s="1937" t="s">
        <v>6</v>
      </c>
      <c r="K11" s="1938" t="s">
        <v>1998</v>
      </c>
      <c r="L11" s="1939" t="s">
        <v>155</v>
      </c>
      <c r="M11" s="838"/>
      <c r="N11" s="1998"/>
    </row>
    <row r="12" spans="1:14" x14ac:dyDescent="0.2">
      <c r="A12" s="2003">
        <v>1</v>
      </c>
      <c r="B12" s="1940" t="s">
        <v>813</v>
      </c>
      <c r="C12" s="842"/>
      <c r="D12" s="1941">
        <v>2320</v>
      </c>
      <c r="E12" s="1944">
        <f>'Expenditures 15-22'!K50</f>
        <v>397523</v>
      </c>
      <c r="F12" s="1942"/>
      <c r="G12" s="1968">
        <f>G68</f>
        <v>0</v>
      </c>
      <c r="H12" s="1944">
        <f t="shared" ref="H12:H18" si="0">SUM(E12:G12)</f>
        <v>397523</v>
      </c>
      <c r="I12" s="1943"/>
      <c r="J12" s="1942"/>
      <c r="K12" s="1943"/>
      <c r="L12" s="1944">
        <f t="shared" ref="L12:L18" si="1">SUM(I12:K12)</f>
        <v>0</v>
      </c>
      <c r="M12" s="838"/>
      <c r="N12" s="1998"/>
    </row>
    <row r="13" spans="1:14" x14ac:dyDescent="0.2">
      <c r="A13" s="2003">
        <v>2</v>
      </c>
      <c r="B13" s="1940" t="s">
        <v>42</v>
      </c>
      <c r="C13" s="842"/>
      <c r="D13" s="1941">
        <v>2330</v>
      </c>
      <c r="E13" s="1944">
        <f>'Expenditures 15-22'!K51</f>
        <v>781606</v>
      </c>
      <c r="F13" s="1942"/>
      <c r="G13" s="1968">
        <f>H68</f>
        <v>0</v>
      </c>
      <c r="H13" s="1944">
        <f t="shared" si="0"/>
        <v>781606</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100282</v>
      </c>
      <c r="F15" s="1944">
        <f>'Expenditures 15-22'!K122</f>
        <v>0</v>
      </c>
      <c r="G15" s="1968">
        <f>J68</f>
        <v>0</v>
      </c>
      <c r="H15" s="1944">
        <f t="shared" si="0"/>
        <v>100282</v>
      </c>
      <c r="I15" s="1943"/>
      <c r="J15" s="1943"/>
      <c r="K15" s="1943"/>
      <c r="L15" s="1944">
        <f t="shared" si="1"/>
        <v>0</v>
      </c>
      <c r="M15" s="838"/>
      <c r="N15" s="1998"/>
    </row>
    <row r="16" spans="1:14" x14ac:dyDescent="0.2">
      <c r="A16" s="2003">
        <v>5</v>
      </c>
      <c r="B16" s="1940" t="s">
        <v>101</v>
      </c>
      <c r="C16" s="842"/>
      <c r="D16" s="1941">
        <v>2570</v>
      </c>
      <c r="E16" s="1944">
        <f>'Expenditures 15-22'!K64</f>
        <v>232740</v>
      </c>
      <c r="F16" s="1942"/>
      <c r="G16" s="1968">
        <f>K68</f>
        <v>0</v>
      </c>
      <c r="H16" s="1944">
        <f t="shared" si="0"/>
        <v>232740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558" t="s">
        <v>7</v>
      </c>
      <c r="C18" s="2559"/>
      <c r="D18" s="2560"/>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1512151</v>
      </c>
      <c r="F19" s="1950">
        <f t="shared" si="2"/>
        <v>0</v>
      </c>
      <c r="G19" s="1950">
        <f t="shared" ref="G19" si="3">SUM(G12:G17)-G18</f>
        <v>0</v>
      </c>
      <c r="H19" s="1950">
        <f t="shared" si="2"/>
        <v>1512151</v>
      </c>
      <c r="I19" s="1950">
        <f t="shared" si="2"/>
        <v>0</v>
      </c>
      <c r="J19" s="1950">
        <f t="shared" si="2"/>
        <v>0</v>
      </c>
      <c r="K19" s="1950">
        <f t="shared" si="2"/>
        <v>0</v>
      </c>
      <c r="L19" s="1950">
        <f t="shared" si="2"/>
        <v>0</v>
      </c>
      <c r="M19" s="838"/>
      <c r="N19" s="1998"/>
    </row>
    <row r="20" spans="1:14" ht="13.5" thickTop="1" x14ac:dyDescent="0.2">
      <c r="A20" s="2003">
        <v>9</v>
      </c>
      <c r="B20" s="2561" t="s">
        <v>2018</v>
      </c>
      <c r="C20" s="2561"/>
      <c r="D20" s="2562"/>
      <c r="E20" s="1951"/>
      <c r="F20" s="1951"/>
      <c r="G20" s="1951"/>
      <c r="H20" s="1951"/>
      <c r="I20" s="1951"/>
      <c r="J20" s="1951"/>
      <c r="K20" s="1951"/>
      <c r="L20" s="1952" t="str">
        <f>IF(AND(H19&gt;0,L19&gt;0),(((L19-H19)/H19)),"Enter Budget Data")</f>
        <v>Enter Budget Data</v>
      </c>
      <c r="M20" s="838"/>
      <c r="N20" s="1998"/>
    </row>
    <row r="21" spans="1:14" x14ac:dyDescent="0.2">
      <c r="A21" s="2005" t="s">
        <v>194</v>
      </c>
      <c r="B21" s="2006" t="s">
        <v>2043</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2019</v>
      </c>
      <c r="B24" s="2010"/>
      <c r="C24" s="2011"/>
      <c r="D24" s="2011"/>
      <c r="E24" s="2011"/>
      <c r="F24" s="2011"/>
      <c r="G24" s="2011"/>
      <c r="H24" s="2011"/>
      <c r="I24" s="2011"/>
      <c r="J24" s="2011"/>
      <c r="K24" s="2011"/>
      <c r="L24" s="838"/>
      <c r="M24" s="838"/>
      <c r="N24" s="1998"/>
    </row>
    <row r="25" spans="1:14" x14ac:dyDescent="0.2">
      <c r="A25" s="2009" t="s">
        <v>2020</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563"/>
      <c r="D27" s="2563"/>
      <c r="E27" s="843"/>
      <c r="F27" s="2564"/>
      <c r="G27" s="2564"/>
      <c r="H27" s="2564"/>
      <c r="I27" s="838"/>
      <c r="J27" s="838"/>
      <c r="K27" s="838"/>
      <c r="L27" s="838"/>
      <c r="M27" s="838"/>
      <c r="N27" s="1998"/>
    </row>
    <row r="28" spans="1:14" x14ac:dyDescent="0.2">
      <c r="A28" s="1997"/>
      <c r="B28" s="2007"/>
      <c r="C28" s="1957" t="s">
        <v>1026</v>
      </c>
      <c r="D28" s="844"/>
      <c r="E28" s="1958"/>
      <c r="F28" s="2565" t="s">
        <v>1492</v>
      </c>
      <c r="G28" s="2565"/>
      <c r="H28" s="2565"/>
      <c r="I28" s="838"/>
      <c r="J28" s="838"/>
      <c r="K28" s="838"/>
      <c r="L28" s="838"/>
      <c r="M28" s="838"/>
      <c r="N28" s="1998"/>
    </row>
    <row r="29" spans="1:14" x14ac:dyDescent="0.2">
      <c r="A29" s="1997"/>
      <c r="B29" s="2007"/>
      <c r="C29" s="2566"/>
      <c r="D29" s="2566"/>
      <c r="E29" s="845"/>
      <c r="F29" s="2566"/>
      <c r="G29" s="2566"/>
      <c r="H29" s="2566"/>
      <c r="I29" s="838"/>
      <c r="J29" s="838"/>
      <c r="K29" s="838"/>
      <c r="L29" s="838"/>
      <c r="M29" s="838"/>
      <c r="N29" s="1998"/>
    </row>
    <row r="30" spans="1:14" x14ac:dyDescent="0.2">
      <c r="A30" s="1997"/>
      <c r="B30" s="2007"/>
      <c r="C30" s="1960" t="s">
        <v>1544</v>
      </c>
      <c r="D30" s="838"/>
      <c r="E30" s="1959"/>
      <c r="F30" s="2548" t="s">
        <v>1493</v>
      </c>
      <c r="G30" s="2548"/>
      <c r="H30" s="2548"/>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569" t="s">
        <v>2021</v>
      </c>
      <c r="D34" s="2570"/>
      <c r="E34" s="2570"/>
      <c r="F34" s="2570"/>
      <c r="G34" s="2570"/>
      <c r="H34" s="2570"/>
      <c r="I34" s="2570"/>
      <c r="J34" s="2570"/>
      <c r="K34" s="2016"/>
      <c r="L34" s="838"/>
      <c r="M34" s="838"/>
      <c r="N34" s="1998"/>
    </row>
    <row r="35" spans="1:14" x14ac:dyDescent="0.2">
      <c r="A35" s="1997"/>
      <c r="B35" s="838"/>
      <c r="C35" s="2570"/>
      <c r="D35" s="2570"/>
      <c r="E35" s="2570"/>
      <c r="F35" s="2570"/>
      <c r="G35" s="2570"/>
      <c r="H35" s="2570"/>
      <c r="I35" s="2570"/>
      <c r="J35" s="2570"/>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569" t="s">
        <v>2022</v>
      </c>
      <c r="D37" s="2570"/>
      <c r="E37" s="2570"/>
      <c r="F37" s="2570"/>
      <c r="G37" s="2570"/>
      <c r="H37" s="2570"/>
      <c r="I37" s="2570"/>
      <c r="J37" s="2570"/>
      <c r="K37" s="2016"/>
      <c r="L37" s="2018"/>
      <c r="M37" s="838"/>
      <c r="N37" s="1998"/>
    </row>
    <row r="38" spans="1:14" x14ac:dyDescent="0.2">
      <c r="A38" s="1997"/>
      <c r="B38" s="838"/>
      <c r="C38" s="2570"/>
      <c r="D38" s="2570"/>
      <c r="E38" s="2570"/>
      <c r="F38" s="2570"/>
      <c r="G38" s="2570"/>
      <c r="H38" s="2570"/>
      <c r="I38" s="2570"/>
      <c r="J38" s="2570"/>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571" t="s">
        <v>2023</v>
      </c>
      <c r="D40" s="2572"/>
      <c r="E40" s="2572"/>
      <c r="F40" s="2572"/>
      <c r="G40" s="2572"/>
      <c r="H40" s="2572"/>
      <c r="I40" s="2572"/>
      <c r="J40" s="2572"/>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573" t="s">
        <v>2024</v>
      </c>
      <c r="B43" s="2574"/>
      <c r="C43" s="2574"/>
      <c r="D43" s="2574"/>
      <c r="E43" s="2574"/>
      <c r="F43" s="2574"/>
      <c r="G43" s="2574"/>
      <c r="H43" s="2574"/>
      <c r="I43" s="2574"/>
      <c r="J43" s="2574"/>
      <c r="K43" s="2574"/>
      <c r="L43" s="2574"/>
      <c r="M43" s="2574"/>
      <c r="N43" s="2575"/>
    </row>
    <row r="44" spans="1:14" x14ac:dyDescent="0.2">
      <c r="A44" s="1982"/>
      <c r="B44" s="1983"/>
      <c r="C44" s="1983"/>
      <c r="D44" s="1983"/>
      <c r="E44" s="1983"/>
      <c r="F44" s="1983"/>
      <c r="G44" s="1983"/>
      <c r="H44" s="1983"/>
      <c r="I44" s="1983"/>
      <c r="J44" s="1983"/>
      <c r="K44" s="1983"/>
      <c r="L44" s="1983"/>
      <c r="M44" s="1983"/>
      <c r="N44" s="1984"/>
    </row>
    <row r="45" spans="1:14" x14ac:dyDescent="0.2">
      <c r="A45" s="1982" t="s">
        <v>2025</v>
      </c>
      <c r="B45" s="1983"/>
      <c r="C45" s="1983"/>
      <c r="D45" s="1983"/>
      <c r="E45" s="1983"/>
      <c r="F45" s="1983"/>
      <c r="G45" s="1983"/>
      <c r="H45" s="1983"/>
      <c r="I45" s="1983"/>
      <c r="J45" s="1983"/>
      <c r="K45" s="1983"/>
      <c r="L45" s="1983"/>
      <c r="M45" s="1983"/>
      <c r="N45" s="1984"/>
    </row>
    <row r="46" spans="1:14" x14ac:dyDescent="0.2">
      <c r="A46" s="2576" t="s">
        <v>2026</v>
      </c>
      <c r="B46" s="2577"/>
      <c r="C46" s="2577"/>
      <c r="D46" s="2577"/>
      <c r="E46" s="2577"/>
      <c r="F46" s="2577"/>
      <c r="G46" s="2577"/>
      <c r="H46" s="2577"/>
      <c r="I46" s="2577"/>
      <c r="J46" s="2577"/>
      <c r="K46" s="2577"/>
      <c r="L46" s="2577"/>
      <c r="M46" s="2577"/>
      <c r="N46" s="2578"/>
    </row>
    <row r="47" spans="1:14" x14ac:dyDescent="0.2">
      <c r="A47" s="2576"/>
      <c r="B47" s="2577"/>
      <c r="C47" s="2577"/>
      <c r="D47" s="2577"/>
      <c r="E47" s="2577"/>
      <c r="F47" s="2577"/>
      <c r="G47" s="2577"/>
      <c r="H47" s="2577"/>
      <c r="I47" s="2577"/>
      <c r="J47" s="2577"/>
      <c r="K47" s="2577"/>
      <c r="L47" s="2577"/>
      <c r="M47" s="2577"/>
      <c r="N47" s="2578"/>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2042</v>
      </c>
      <c r="B49" s="2024"/>
      <c r="C49" s="2024"/>
      <c r="D49" s="2025"/>
      <c r="E49" s="2025"/>
      <c r="F49" s="2025"/>
      <c r="G49" s="2025"/>
      <c r="H49" s="2025"/>
      <c r="I49" s="2025"/>
      <c r="J49" s="2025"/>
      <c r="K49" s="2025"/>
      <c r="L49" s="2025"/>
      <c r="M49" s="2025"/>
      <c r="N49" s="2026"/>
    </row>
    <row r="50" spans="1:14" ht="15" x14ac:dyDescent="0.25">
      <c r="A50" s="2028" t="s">
        <v>2041</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549" t="str">
        <f>J6</f>
        <v xml:space="preserve"> Cahokia USD 187</v>
      </c>
      <c r="M52" s="2549"/>
      <c r="N52" s="2579"/>
    </row>
    <row r="53" spans="1:14" x14ac:dyDescent="0.2">
      <c r="A53" s="1982"/>
      <c r="B53" s="1983"/>
      <c r="C53" s="1983"/>
      <c r="D53" s="1983"/>
      <c r="E53" s="1983"/>
      <c r="F53" s="1983"/>
      <c r="G53" s="1983"/>
      <c r="H53" s="1983"/>
      <c r="I53" s="1983"/>
      <c r="J53" s="1983"/>
      <c r="K53" s="1924" t="s">
        <v>369</v>
      </c>
      <c r="L53" s="2554">
        <f>J7</f>
        <v>50082187026</v>
      </c>
      <c r="M53" s="2554"/>
      <c r="N53" s="258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581"/>
      <c r="B55" s="2582"/>
      <c r="C55" s="2582"/>
      <c r="D55" s="1970"/>
      <c r="E55" s="1970"/>
      <c r="F55" s="1970"/>
      <c r="G55" s="2583" t="s">
        <v>2027</v>
      </c>
      <c r="H55" s="2583"/>
      <c r="I55" s="2583"/>
      <c r="J55" s="2583"/>
      <c r="K55" s="2583"/>
      <c r="L55" s="2583"/>
      <c r="M55" s="2583"/>
      <c r="N55" s="2584"/>
    </row>
    <row r="56" spans="1:14" ht="63.75" x14ac:dyDescent="0.2">
      <c r="A56" s="2585" t="s">
        <v>2028</v>
      </c>
      <c r="B56" s="2586"/>
      <c r="C56" s="2587"/>
      <c r="D56" s="1964" t="s">
        <v>2029</v>
      </c>
      <c r="E56" s="1964" t="s">
        <v>2030</v>
      </c>
      <c r="F56" s="1971"/>
      <c r="G56" s="1964" t="s">
        <v>2031</v>
      </c>
      <c r="H56" s="1964" t="s">
        <v>2032</v>
      </c>
      <c r="I56" s="1964" t="s">
        <v>2033</v>
      </c>
      <c r="J56" s="1964" t="s">
        <v>2034</v>
      </c>
      <c r="K56" s="1964" t="s">
        <v>2035</v>
      </c>
      <c r="L56" s="1964" t="s">
        <v>2036</v>
      </c>
      <c r="M56" s="1964" t="s">
        <v>2037</v>
      </c>
      <c r="N56" s="1965" t="s">
        <v>2044</v>
      </c>
    </row>
    <row r="57" spans="1:14" ht="24.75" customHeight="1" x14ac:dyDescent="0.2">
      <c r="A57" s="2588" t="s">
        <v>296</v>
      </c>
      <c r="B57" s="2589"/>
      <c r="C57" s="258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567" t="s">
        <v>2038</v>
      </c>
      <c r="B58" s="2568"/>
      <c r="C58" s="2568"/>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590" t="s">
        <v>297</v>
      </c>
      <c r="B59" s="2591"/>
      <c r="C59" s="2591"/>
      <c r="D59" s="1967">
        <v>2363</v>
      </c>
      <c r="E59" s="1977">
        <f>'Expenditures 15-22'!K321</f>
        <v>14941</v>
      </c>
      <c r="F59" s="1972"/>
      <c r="G59" s="2031"/>
      <c r="H59" s="2032"/>
      <c r="I59" s="2032"/>
      <c r="J59" s="2032"/>
      <c r="K59" s="2032"/>
      <c r="L59" s="2032"/>
      <c r="M59" s="2032"/>
      <c r="N59" s="1975" t="str">
        <f>IF((SUM(G59:M59))=E59,SUM(G59:M59),"Column N does not agree with Column E")</f>
        <v>Column N does not agree with Column E</v>
      </c>
    </row>
    <row r="60" spans="1:14" ht="24" customHeight="1" x14ac:dyDescent="0.2">
      <c r="A60" s="2590" t="s">
        <v>236</v>
      </c>
      <c r="B60" s="2591"/>
      <c r="C60" s="2591"/>
      <c r="D60" s="1967">
        <v>2364</v>
      </c>
      <c r="E60" s="1977">
        <f>'Expenditures 15-22'!K322</f>
        <v>744032</v>
      </c>
      <c r="F60" s="1972"/>
      <c r="G60" s="2031"/>
      <c r="H60" s="2032"/>
      <c r="I60" s="2032"/>
      <c r="J60" s="2032"/>
      <c r="K60" s="2032"/>
      <c r="L60" s="2032"/>
      <c r="M60" s="2032"/>
      <c r="N60" s="1975" t="str">
        <f t="shared" ref="N60:N67" si="4">IF((SUM(G60:M60))=E60,SUM(G60:M60),"Column N does not agree with Column E")</f>
        <v>Column N does not agree with Column E</v>
      </c>
    </row>
    <row r="61" spans="1:14" ht="24.75" customHeight="1" x14ac:dyDescent="0.2">
      <c r="A61" s="2590" t="s">
        <v>697</v>
      </c>
      <c r="B61" s="2591"/>
      <c r="C61" s="2591"/>
      <c r="D61" s="1967">
        <v>2365</v>
      </c>
      <c r="E61" s="1977">
        <f>'Expenditures 15-22'!K323</f>
        <v>78692</v>
      </c>
      <c r="F61" s="1972"/>
      <c r="G61" s="2031"/>
      <c r="H61" s="2032"/>
      <c r="I61" s="2032"/>
      <c r="J61" s="2032"/>
      <c r="K61" s="2032"/>
      <c r="L61" s="2032"/>
      <c r="M61" s="2032"/>
      <c r="N61" s="1975" t="str">
        <f t="shared" si="4"/>
        <v>Column N does not agree with Column E</v>
      </c>
    </row>
    <row r="62" spans="1:14" ht="24" customHeight="1" x14ac:dyDescent="0.2">
      <c r="A62" s="2590" t="s">
        <v>237</v>
      </c>
      <c r="B62" s="2591"/>
      <c r="C62" s="2591"/>
      <c r="D62" s="1967">
        <v>2366</v>
      </c>
      <c r="E62" s="1977">
        <f>'Expenditures 15-22'!K324</f>
        <v>0</v>
      </c>
      <c r="F62" s="1972"/>
      <c r="G62" s="2031"/>
      <c r="H62" s="2032"/>
      <c r="I62" s="2032"/>
      <c r="J62" s="2032"/>
      <c r="K62" s="2032"/>
      <c r="L62" s="2032"/>
      <c r="M62" s="2032"/>
      <c r="N62" s="1975">
        <f t="shared" si="4"/>
        <v>0</v>
      </c>
    </row>
    <row r="63" spans="1:14" ht="24" customHeight="1" x14ac:dyDescent="0.2">
      <c r="A63" s="2567" t="s">
        <v>1022</v>
      </c>
      <c r="B63" s="2568"/>
      <c r="C63" s="2568"/>
      <c r="D63" s="1967">
        <v>2367</v>
      </c>
      <c r="E63" s="1977">
        <f>'Expenditures 15-22'!K325</f>
        <v>1091429</v>
      </c>
      <c r="F63" s="1972"/>
      <c r="G63" s="2031"/>
      <c r="H63" s="2032"/>
      <c r="I63" s="2032"/>
      <c r="J63" s="2032"/>
      <c r="K63" s="2032"/>
      <c r="L63" s="2032"/>
      <c r="M63" s="2032"/>
      <c r="N63" s="1975" t="str">
        <f t="shared" si="4"/>
        <v>Column N does not agree with Column E</v>
      </c>
    </row>
    <row r="64" spans="1:14" ht="24" customHeight="1" x14ac:dyDescent="0.2">
      <c r="A64" s="2590" t="s">
        <v>1023</v>
      </c>
      <c r="B64" s="2591"/>
      <c r="C64" s="2591"/>
      <c r="D64" s="1967">
        <v>2368</v>
      </c>
      <c r="E64" s="1977">
        <f>'Expenditures 15-22'!K326</f>
        <v>0</v>
      </c>
      <c r="F64" s="1972"/>
      <c r="G64" s="2031"/>
      <c r="H64" s="2032"/>
      <c r="I64" s="2032"/>
      <c r="J64" s="2032"/>
      <c r="K64" s="2032"/>
      <c r="L64" s="2032"/>
      <c r="M64" s="2032"/>
      <c r="N64" s="1975">
        <f t="shared" si="4"/>
        <v>0</v>
      </c>
    </row>
    <row r="65" spans="1:14" ht="24" customHeight="1" x14ac:dyDescent="0.2">
      <c r="A65" s="2590" t="s">
        <v>965</v>
      </c>
      <c r="B65" s="2591"/>
      <c r="C65" s="2591"/>
      <c r="D65" s="1967">
        <v>2369</v>
      </c>
      <c r="E65" s="1977">
        <f>'Expenditures 15-22'!K327</f>
        <v>290177</v>
      </c>
      <c r="F65" s="1972"/>
      <c r="G65" s="2031"/>
      <c r="H65" s="2032"/>
      <c r="I65" s="2032"/>
      <c r="J65" s="2032"/>
      <c r="K65" s="2032"/>
      <c r="L65" s="2032"/>
      <c r="M65" s="2032"/>
      <c r="N65" s="1975" t="str">
        <f t="shared" si="4"/>
        <v>Column N does not agree with Column E</v>
      </c>
    </row>
    <row r="66" spans="1:14" ht="24" customHeight="1" x14ac:dyDescent="0.2">
      <c r="A66" s="2590" t="s">
        <v>469</v>
      </c>
      <c r="B66" s="2591"/>
      <c r="C66" s="2591"/>
      <c r="D66" s="1967">
        <v>2371</v>
      </c>
      <c r="E66" s="1977">
        <f>'Expenditures 15-22'!K328</f>
        <v>0</v>
      </c>
      <c r="F66" s="1972"/>
      <c r="G66" s="2031"/>
      <c r="H66" s="2032"/>
      <c r="I66" s="2032"/>
      <c r="J66" s="2032"/>
      <c r="K66" s="2032"/>
      <c r="L66" s="2032"/>
      <c r="M66" s="2032"/>
      <c r="N66" s="1975">
        <f t="shared" si="4"/>
        <v>0</v>
      </c>
    </row>
    <row r="67" spans="1:14" ht="24.75" customHeight="1" x14ac:dyDescent="0.2">
      <c r="A67" s="2592" t="s">
        <v>2039</v>
      </c>
      <c r="B67" s="2593"/>
      <c r="C67" s="2593"/>
      <c r="D67" s="1969">
        <v>2372</v>
      </c>
      <c r="E67" s="1978">
        <f>'Expenditures 15-22'!K329</f>
        <v>0</v>
      </c>
      <c r="F67" s="1972"/>
      <c r="G67" s="2033"/>
      <c r="H67" s="2034"/>
      <c r="I67" s="2034"/>
      <c r="J67" s="2034"/>
      <c r="K67" s="2034"/>
      <c r="L67" s="2034"/>
      <c r="M67" s="2034"/>
      <c r="N67" s="1975">
        <f t="shared" si="4"/>
        <v>0</v>
      </c>
    </row>
    <row r="68" spans="1:14" x14ac:dyDescent="0.2">
      <c r="A68" s="2594" t="s">
        <v>1151</v>
      </c>
      <c r="B68" s="2595"/>
      <c r="C68" s="2595"/>
      <c r="D68" s="1970"/>
      <c r="E68" s="1974">
        <f>SUM(E57:E67)</f>
        <v>2219271</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2040</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C65"/>
  <sheetViews>
    <sheetView showGridLines="0" topLeftCell="A22" zoomScale="110" zoomScaleNormal="110" workbookViewId="0">
      <selection activeCell="G24" sqref="G24"/>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c r="B5" s="307" t="s">
        <v>2248</v>
      </c>
    </row>
    <row r="6" spans="1:2" x14ac:dyDescent="0.2">
      <c r="A6" s="847"/>
      <c r="B6" s="307" t="s">
        <v>2249</v>
      </c>
    </row>
    <row r="7" spans="1:2" x14ac:dyDescent="0.2">
      <c r="A7" s="847"/>
      <c r="B7" s="307" t="s">
        <v>2250</v>
      </c>
    </row>
    <row r="8" spans="1:2" x14ac:dyDescent="0.2">
      <c r="A8" s="847"/>
      <c r="B8" s="307" t="s">
        <v>2251</v>
      </c>
    </row>
    <row r="9" spans="1:2" x14ac:dyDescent="0.2">
      <c r="A9" s="848"/>
      <c r="B9" s="307" t="s">
        <v>2252</v>
      </c>
    </row>
    <row r="10" spans="1:2" x14ac:dyDescent="0.2">
      <c r="A10" s="848"/>
    </row>
    <row r="11" spans="1:2" x14ac:dyDescent="0.2">
      <c r="A11" s="848"/>
      <c r="B11" s="307" t="s">
        <v>2254</v>
      </c>
    </row>
    <row r="12" spans="1:2" x14ac:dyDescent="0.2">
      <c r="A12" s="848"/>
      <c r="B12" s="307" t="s">
        <v>2255</v>
      </c>
    </row>
    <row r="13" spans="1:2" x14ac:dyDescent="0.2">
      <c r="A13" s="848"/>
    </row>
    <row r="14" spans="1:2" x14ac:dyDescent="0.2">
      <c r="A14" s="848"/>
      <c r="B14" s="307" t="s">
        <v>2253</v>
      </c>
    </row>
    <row r="15" spans="1:2" x14ac:dyDescent="0.2">
      <c r="A15" s="848"/>
      <c r="B15" s="307" t="s">
        <v>2256</v>
      </c>
    </row>
    <row r="16" spans="1:2" x14ac:dyDescent="0.2">
      <c r="A16" s="848"/>
    </row>
    <row r="17" spans="1:3" x14ac:dyDescent="0.2">
      <c r="A17" s="848"/>
      <c r="B17" s="307" t="s">
        <v>2257</v>
      </c>
    </row>
    <row r="18" spans="1:3" x14ac:dyDescent="0.2">
      <c r="A18" s="848"/>
      <c r="B18" s="307" t="s">
        <v>2258</v>
      </c>
    </row>
    <row r="19" spans="1:3" x14ac:dyDescent="0.2">
      <c r="A19" s="848"/>
    </row>
    <row r="20" spans="1:3" x14ac:dyDescent="0.2">
      <c r="A20" s="848"/>
      <c r="B20" s="307" t="s">
        <v>2259</v>
      </c>
    </row>
    <row r="21" spans="1:3" x14ac:dyDescent="0.2">
      <c r="A21" s="848"/>
      <c r="B21" s="307" t="s">
        <v>2260</v>
      </c>
    </row>
    <row r="22" spans="1:3" x14ac:dyDescent="0.2">
      <c r="A22" s="848"/>
    </row>
    <row r="23" spans="1:3" x14ac:dyDescent="0.2">
      <c r="A23" s="848"/>
      <c r="B23" s="307" t="s">
        <v>2261</v>
      </c>
    </row>
    <row r="24" spans="1:3" x14ac:dyDescent="0.2">
      <c r="A24" s="848"/>
      <c r="B24" s="307" t="s">
        <v>2262</v>
      </c>
    </row>
    <row r="25" spans="1:3" x14ac:dyDescent="0.2">
      <c r="A25" s="848"/>
    </row>
    <row r="26" spans="1:3" x14ac:dyDescent="0.2">
      <c r="A26" s="848"/>
      <c r="B26" s="307" t="s">
        <v>2263</v>
      </c>
    </row>
    <row r="27" spans="1:3" x14ac:dyDescent="0.2">
      <c r="A27" s="848"/>
      <c r="B27" s="307" t="s">
        <v>2264</v>
      </c>
    </row>
    <row r="28" spans="1:3" x14ac:dyDescent="0.2">
      <c r="A28" s="848"/>
      <c r="B28" s="307" t="s">
        <v>1159</v>
      </c>
    </row>
    <row r="29" spans="1:3" x14ac:dyDescent="0.2">
      <c r="A29" s="848"/>
      <c r="B29" s="307" t="s">
        <v>2265</v>
      </c>
      <c r="C29" s="307" t="s">
        <v>2266</v>
      </c>
    </row>
    <row r="30" spans="1:3" x14ac:dyDescent="0.2">
      <c r="A30" s="848"/>
      <c r="B30" s="307" t="s">
        <v>2267</v>
      </c>
    </row>
    <row r="31" spans="1:3" x14ac:dyDescent="0.2">
      <c r="A31" s="848"/>
    </row>
    <row r="32" spans="1:3" x14ac:dyDescent="0.2">
      <c r="A32" s="848"/>
      <c r="B32" s="307" t="s">
        <v>2268</v>
      </c>
    </row>
    <row r="33" spans="1:2" x14ac:dyDescent="0.2">
      <c r="A33" s="848"/>
      <c r="B33" s="307" t="s">
        <v>2269</v>
      </c>
    </row>
    <row r="34" spans="1:2" x14ac:dyDescent="0.2">
      <c r="A34" s="848"/>
    </row>
    <row r="35" spans="1:2" x14ac:dyDescent="0.2">
      <c r="A35" s="848"/>
    </row>
    <row r="36" spans="1:2" x14ac:dyDescent="0.2">
      <c r="A36" s="848"/>
    </row>
    <row r="37" spans="1:2" x14ac:dyDescent="0.2">
      <c r="A37" s="848"/>
    </row>
    <row r="38" spans="1:2" x14ac:dyDescent="0.2">
      <c r="A38" s="848"/>
    </row>
    <row r="39" spans="1:2" x14ac:dyDescent="0.2">
      <c r="A39" s="848"/>
    </row>
    <row r="40" spans="1:2" x14ac:dyDescent="0.2">
      <c r="A40" s="848"/>
    </row>
    <row r="41" spans="1:2" x14ac:dyDescent="0.2">
      <c r="A41" s="848"/>
    </row>
    <row r="42" spans="1:2" x14ac:dyDescent="0.2">
      <c r="A42" s="848"/>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Cahokia USD 187</v>
      </c>
    </row>
    <row r="65" spans="2:2" x14ac:dyDescent="0.2">
      <c r="B65" s="849">
        <f>COVER!A13</f>
        <v>50082187026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24" sqref="G2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282" t="s">
        <v>1056</v>
      </c>
      <c r="B35" s="2282"/>
      <c r="C35" s="2282"/>
      <c r="D35" s="2282"/>
      <c r="E35" s="228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79" t="s">
        <v>686</v>
      </c>
      <c r="B40" s="2279"/>
      <c r="C40" s="2279"/>
      <c r="D40" s="2279"/>
      <c r="E40" s="2279"/>
    </row>
    <row r="41" spans="1:5" x14ac:dyDescent="0.2">
      <c r="A41" s="2280" t="s">
        <v>1591</v>
      </c>
      <c r="B41" s="2280"/>
      <c r="C41" s="2280"/>
      <c r="D41" s="2280"/>
      <c r="E41" s="2280"/>
    </row>
    <row r="42" spans="1:5" ht="12.75" customHeight="1" x14ac:dyDescent="0.2">
      <c r="A42" s="2281" t="s">
        <v>1015</v>
      </c>
      <c r="B42" s="2281"/>
      <c r="C42" s="2281"/>
      <c r="D42" s="2281"/>
      <c r="E42" s="2281"/>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G24" sqref="G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3" sqref="D1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596" t="s">
        <v>1665</v>
      </c>
      <c r="B18" s="259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4505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G24" sqref="G2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97" t="s">
        <v>1669</v>
      </c>
      <c r="B1" s="2598"/>
      <c r="C1" s="2598"/>
      <c r="D1" s="2598"/>
      <c r="E1" s="2598"/>
      <c r="F1" s="2599"/>
    </row>
    <row r="2" spans="1:8" ht="45" customHeight="1" x14ac:dyDescent="0.2">
      <c r="A2" s="260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608"/>
      <c r="C2" s="2608"/>
      <c r="D2" s="2608"/>
      <c r="E2" s="2608"/>
      <c r="F2" s="2609"/>
      <c r="G2" s="853"/>
      <c r="H2" s="853"/>
    </row>
    <row r="3" spans="1:8" ht="57" customHeight="1" x14ac:dyDescent="0.2">
      <c r="A3" s="2610" t="s">
        <v>1969</v>
      </c>
      <c r="B3" s="2611"/>
      <c r="C3" s="2611"/>
      <c r="D3" s="2611"/>
      <c r="E3" s="2611"/>
      <c r="F3" s="2612"/>
      <c r="G3" s="853"/>
      <c r="H3" s="853"/>
    </row>
    <row r="4" spans="1:8" ht="14.25" customHeight="1" x14ac:dyDescent="0.2">
      <c r="A4" s="261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17"/>
      <c r="C4" s="2617"/>
      <c r="D4" s="2617"/>
      <c r="E4" s="2617"/>
      <c r="F4" s="2618"/>
      <c r="G4" s="853"/>
      <c r="H4" s="853"/>
    </row>
    <row r="5" spans="1:8" ht="14.25" customHeight="1" x14ac:dyDescent="0.2">
      <c r="A5" s="261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20"/>
      <c r="C5" s="2620"/>
      <c r="D5" s="2620"/>
      <c r="E5" s="2620"/>
      <c r="F5" s="2621"/>
      <c r="G5" s="853"/>
      <c r="H5" s="853"/>
    </row>
    <row r="6" spans="1:8" s="854" customFormat="1" ht="41.25" customHeight="1" x14ac:dyDescent="0.2">
      <c r="A6" s="2613" t="s">
        <v>1670</v>
      </c>
      <c r="B6" s="2614"/>
      <c r="C6" s="2614"/>
      <c r="D6" s="2614"/>
      <c r="E6" s="2614"/>
      <c r="F6" s="261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43013155</v>
      </c>
      <c r="C8" s="1813">
        <f>'Acct Summary 7-8'!D8</f>
        <v>2928594</v>
      </c>
      <c r="D8" s="1813">
        <f>'Acct Summary 7-8'!F8</f>
        <v>2920629</v>
      </c>
      <c r="E8" s="1813">
        <f>'Acct Summary 7-8'!I8</f>
        <v>81503</v>
      </c>
      <c r="F8" s="1813">
        <f>SUM(B8:E8)</f>
        <v>48943881</v>
      </c>
    </row>
    <row r="9" spans="1:8" s="858" customFormat="1" ht="14.25" customHeight="1" thickBot="1" x14ac:dyDescent="0.25">
      <c r="A9" s="857" t="s">
        <v>1353</v>
      </c>
      <c r="B9" s="1814">
        <f>'Acct Summary 7-8'!C17</f>
        <v>42697556</v>
      </c>
      <c r="C9" s="1814">
        <f>'Acct Summary 7-8'!D17</f>
        <v>2652196</v>
      </c>
      <c r="D9" s="1814">
        <f>'Acct Summary 7-8'!F17</f>
        <v>2906976</v>
      </c>
      <c r="E9" s="1813"/>
      <c r="F9" s="1813">
        <f>SUM(B9:E9)</f>
        <v>48256728</v>
      </c>
    </row>
    <row r="10" spans="1:8" s="858" customFormat="1" ht="14.25" thickTop="1" thickBot="1" x14ac:dyDescent="0.25">
      <c r="A10" s="859" t="s">
        <v>1354</v>
      </c>
      <c r="B10" s="1815">
        <f>(B8-B9)</f>
        <v>315599</v>
      </c>
      <c r="C10" s="1815">
        <f>(C8-C9)</f>
        <v>276398</v>
      </c>
      <c r="D10" s="1815">
        <f>(D8-D9)</f>
        <v>13653</v>
      </c>
      <c r="E10" s="1814">
        <f>(E8-E9)</f>
        <v>81503</v>
      </c>
      <c r="F10" s="1816">
        <f>SUM(F8-F9)</f>
        <v>687153</v>
      </c>
    </row>
    <row r="11" spans="1:8" s="858" customFormat="1" ht="14.25" thickTop="1" thickBot="1" x14ac:dyDescent="0.25">
      <c r="A11" s="860" t="s">
        <v>1900</v>
      </c>
      <c r="B11" s="1817">
        <f>'Acct Summary 7-8'!C81</f>
        <v>6441263</v>
      </c>
      <c r="C11" s="1817">
        <f>'Acct Summary 7-8'!D81</f>
        <v>3770628</v>
      </c>
      <c r="D11" s="1817">
        <f>'Acct Summary 7-8'!F81</f>
        <v>4549321</v>
      </c>
      <c r="E11" s="1817">
        <f>'Acct Summary 7-8'!I81</f>
        <v>11960326</v>
      </c>
      <c r="F11" s="1818">
        <f>SUM(B11:E11)</f>
        <v>26721538</v>
      </c>
    </row>
    <row r="12" spans="1:8" ht="16.5" customHeight="1" thickTop="1" x14ac:dyDescent="0.2">
      <c r="A12" s="861"/>
      <c r="B12" s="862"/>
      <c r="C12" s="2601" t="str">
        <f>IF(AND(F10&lt;0,F11&gt;=0,ABS(F10*3)&gt;ABS(F11)),A16,IF(AND(F10&lt;0,F11&gt;0,ABS(F10*3)&lt;=ABS(F11)),A17,IF(AND(F10&lt;0,F11&lt;0),A16,IF(F11=0,A19,A18))))</f>
        <v>Balanced - no deficit reduction plan is required.</v>
      </c>
      <c r="D12" s="2602"/>
      <c r="E12" s="2602"/>
      <c r="F12" s="2603"/>
    </row>
    <row r="13" spans="1:8" ht="19.5" customHeight="1" x14ac:dyDescent="0.2">
      <c r="A13" s="863"/>
      <c r="B13" s="864"/>
      <c r="C13" s="2601"/>
      <c r="D13" s="2602"/>
      <c r="E13" s="2602"/>
      <c r="F13" s="2603"/>
      <c r="H13" s="853"/>
    </row>
    <row r="14" spans="1:8" ht="19.5" customHeight="1" x14ac:dyDescent="0.2">
      <c r="A14" s="863"/>
      <c r="B14" s="864"/>
      <c r="C14" s="2601"/>
      <c r="D14" s="2602"/>
      <c r="E14" s="2602"/>
      <c r="F14" s="2603"/>
      <c r="H14" s="853"/>
    </row>
    <row r="15" spans="1:8" ht="17.25" customHeight="1" x14ac:dyDescent="0.2">
      <c r="A15" s="863"/>
      <c r="B15" s="864"/>
      <c r="C15" s="2604"/>
      <c r="D15" s="2605"/>
      <c r="E15" s="2605"/>
      <c r="F15" s="2606"/>
      <c r="H15" s="853"/>
    </row>
    <row r="16" spans="1:8" s="288" customFormat="1" ht="51.75" hidden="1" customHeight="1" x14ac:dyDescent="0.2">
      <c r="A16" s="2600" t="s">
        <v>1666</v>
      </c>
      <c r="B16" s="2600"/>
      <c r="C16" s="2600"/>
      <c r="D16" s="2600"/>
      <c r="E16" s="260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G24" sqref="G2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622" t="s">
        <v>660</v>
      </c>
      <c r="B3" s="2623"/>
      <c r="C3" s="2623"/>
      <c r="D3" s="2624"/>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633" t="s">
        <v>1487</v>
      </c>
      <c r="D7" s="2634"/>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625" t="s">
        <v>1001</v>
      </c>
      <c r="B15" s="2626"/>
      <c r="C15" s="2626"/>
      <c r="D15" s="2627"/>
    </row>
    <row r="16" spans="1:4" s="542" customFormat="1" ht="24" customHeight="1" x14ac:dyDescent="0.2">
      <c r="A16" s="2628" t="s">
        <v>658</v>
      </c>
      <c r="B16" s="2629"/>
      <c r="C16" s="2629"/>
      <c r="D16" s="2630"/>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637" t="s">
        <v>311</v>
      </c>
      <c r="D21" s="2638"/>
    </row>
    <row r="22" spans="1:10" ht="12.75" x14ac:dyDescent="0.2">
      <c r="A22" s="918"/>
      <c r="B22" s="919">
        <v>2</v>
      </c>
      <c r="C22" s="2635" t="s">
        <v>1507</v>
      </c>
      <c r="D22" s="2636"/>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639" t="s">
        <v>533</v>
      </c>
      <c r="D43" s="264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631" t="s">
        <v>779</v>
      </c>
      <c r="D56" s="263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631" t="s">
        <v>1674</v>
      </c>
      <c r="D70" s="263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ENTER BUDGET DATA!</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f>COVER!A13</f>
        <v>50082187026</v>
      </c>
      <c r="E2" s="1542">
        <v>2020</v>
      </c>
      <c r="F2" s="1542">
        <v>1</v>
      </c>
      <c r="G2" s="1899">
        <v>101000300</v>
      </c>
    </row>
    <row r="3" spans="1:7" ht="15" x14ac:dyDescent="0.25">
      <c r="A3" t="s">
        <v>950</v>
      </c>
      <c r="B3" s="135" t="str">
        <f>COVER!A15</f>
        <v>ST. CLAIR</v>
      </c>
      <c r="E3" s="1830" t="s">
        <v>1968</v>
      </c>
      <c r="F3" s="1830" t="s">
        <v>1967</v>
      </c>
      <c r="G3" s="1899">
        <v>101000400</v>
      </c>
    </row>
    <row r="4" spans="1:7" ht="15" x14ac:dyDescent="0.25">
      <c r="A4" t="s">
        <v>1000</v>
      </c>
      <c r="B4" s="135" t="str">
        <f>COVER!A17</f>
        <v xml:space="preserve"> Cahokia USD 187</v>
      </c>
      <c r="E4" s="1828">
        <v>44119</v>
      </c>
      <c r="F4" s="1829">
        <v>44151</v>
      </c>
      <c r="G4" s="1899">
        <v>101000600</v>
      </c>
    </row>
    <row r="5" spans="1:7" ht="15" x14ac:dyDescent="0.25">
      <c r="A5" t="s">
        <v>699</v>
      </c>
      <c r="B5" s="135" t="str">
        <f>COVER!A38</f>
        <v>ARNETT HARVEY</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 xml:space="preserve">ACCRUAL </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Yes</v>
      </c>
      <c r="G14" s="1899">
        <v>402100300</v>
      </c>
    </row>
    <row r="15" spans="1:7" ht="15" x14ac:dyDescent="0.25">
      <c r="A15" t="s">
        <v>573</v>
      </c>
      <c r="B15" s="135" t="str">
        <f>COVER!T23</f>
        <v>065-26956</v>
      </c>
      <c r="G15" s="1899">
        <v>402100400</v>
      </c>
    </row>
    <row r="16" spans="1:7" ht="15" x14ac:dyDescent="0.25">
      <c r="A16" t="s">
        <v>419</v>
      </c>
      <c r="B16" s="135" t="str">
        <f>COVER!T13</f>
        <v>SCHEFFEL BOYLE</v>
      </c>
      <c r="G16" s="1899">
        <v>402100600</v>
      </c>
    </row>
    <row r="17" spans="1:7" ht="15" x14ac:dyDescent="0.25">
      <c r="A17" t="s">
        <v>878</v>
      </c>
      <c r="B17" s="135" t="str">
        <f>COVER!T15</f>
        <v>DALE HOLTMANN</v>
      </c>
      <c r="G17" s="1899">
        <v>402100800</v>
      </c>
    </row>
    <row r="18" spans="1:7" ht="15" x14ac:dyDescent="0.25">
      <c r="A18" t="s">
        <v>1140</v>
      </c>
      <c r="B18" s="135" t="str">
        <f>COVER!T17</f>
        <v>222 EAST MAIN STREET</v>
      </c>
      <c r="G18" s="1899">
        <v>102200300</v>
      </c>
    </row>
    <row r="19" spans="1:7" ht="15" x14ac:dyDescent="0.25">
      <c r="A19" t="s">
        <v>880</v>
      </c>
      <c r="B19" s="135" t="str">
        <f>COVER!T25</f>
        <v>dale.holtmann@scheffelboyle.com</v>
      </c>
      <c r="G19" s="1899">
        <v>102200400</v>
      </c>
    </row>
    <row r="20" spans="1:7" ht="15" x14ac:dyDescent="0.25">
      <c r="A20" t="s">
        <v>881</v>
      </c>
      <c r="B20" s="135" t="str">
        <f>COVER!T19</f>
        <v>BELLEVILLE</v>
      </c>
      <c r="G20" s="1899">
        <v>102200600</v>
      </c>
    </row>
    <row r="21" spans="1:7" ht="15" x14ac:dyDescent="0.25">
      <c r="A21" t="s">
        <v>476</v>
      </c>
      <c r="B21" s="135" t="str">
        <f>COVER!X19</f>
        <v>IL</v>
      </c>
      <c r="G21" s="1899">
        <v>102200800</v>
      </c>
    </row>
    <row r="22" spans="1:7" ht="15" x14ac:dyDescent="0.25">
      <c r="A22" t="s">
        <v>882</v>
      </c>
      <c r="B22" s="135">
        <f>COVER!Z19</f>
        <v>62220</v>
      </c>
      <c r="G22" s="1899">
        <v>102300300</v>
      </c>
    </row>
    <row r="23" spans="1:7" ht="15" x14ac:dyDescent="0.25">
      <c r="A23" t="s">
        <v>1142</v>
      </c>
      <c r="B23" s="135" t="str">
        <f>COVER!T21</f>
        <v>618-277-8100</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1229135</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79099</v>
      </c>
      <c r="D72" s="2" t="str">
        <f t="shared" si="0"/>
        <v>Error?</v>
      </c>
      <c r="G72" s="1899">
        <v>102560600</v>
      </c>
    </row>
    <row r="73" spans="1:7" ht="15" x14ac:dyDescent="0.25">
      <c r="A73" s="5">
        <v>12</v>
      </c>
      <c r="B73" s="1832">
        <f>'Assets-Liab 5-6'!C5</f>
        <v>13368</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9782279</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755680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1416829</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3341016</v>
      </c>
      <c r="C91" s="2" t="s">
        <v>569</v>
      </c>
      <c r="D91" s="2" t="str">
        <f t="shared" si="0"/>
        <v>Error?</v>
      </c>
      <c r="G91" s="1899">
        <v>102640400</v>
      </c>
    </row>
    <row r="92" spans="1:7" ht="15" x14ac:dyDescent="0.25">
      <c r="A92" s="5">
        <v>31</v>
      </c>
      <c r="B92" s="1832">
        <f>'Assets-Liab 5-6'!C39</f>
        <v>6441263</v>
      </c>
      <c r="D92" s="2" t="str">
        <f t="shared" si="0"/>
        <v>Error?</v>
      </c>
      <c r="G92" s="1899">
        <v>102640600</v>
      </c>
    </row>
    <row r="93" spans="1:7" ht="15" x14ac:dyDescent="0.25">
      <c r="A93" s="5">
        <v>32</v>
      </c>
      <c r="B93" s="1832">
        <f>'Assets-Liab 5-6'!C41</f>
        <v>9782279</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255446</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120243</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4170196</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305446</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399568</v>
      </c>
      <c r="C122" s="2" t="s">
        <v>569</v>
      </c>
      <c r="D122" s="2" t="str">
        <f t="shared" si="0"/>
        <v>Error?</v>
      </c>
      <c r="G122" s="1899">
        <v>203000300</v>
      </c>
    </row>
    <row r="123" spans="1:7" ht="15" x14ac:dyDescent="0.25">
      <c r="A123" s="5">
        <v>62</v>
      </c>
      <c r="B123" s="1832">
        <f>'Assets-Liab 5-6'!D39</f>
        <v>3770628</v>
      </c>
      <c r="D123" s="2" t="str">
        <f t="shared" si="0"/>
        <v>Error?</v>
      </c>
      <c r="G123" s="1899">
        <v>203000400</v>
      </c>
    </row>
    <row r="124" spans="1:7" ht="15" x14ac:dyDescent="0.25">
      <c r="A124" s="5">
        <v>63</v>
      </c>
      <c r="B124" s="1832">
        <f>'Assets-Liab 5-6'!D41</f>
        <v>4170196</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2832311</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2832311</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2832311</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3174290</v>
      </c>
      <c r="C139" s="2" t="s">
        <v>569</v>
      </c>
      <c r="D139" s="2" t="str">
        <f t="shared" si="1"/>
        <v>Error?</v>
      </c>
    </row>
    <row r="140" spans="1:7" x14ac:dyDescent="0.2">
      <c r="A140" s="5">
        <v>79</v>
      </c>
      <c r="B140" s="1832">
        <f>'Assets-Liab 5-6'!E39</f>
        <v>-341979</v>
      </c>
      <c r="D140" s="2" t="str">
        <f t="shared" si="1"/>
        <v>Error?</v>
      </c>
    </row>
    <row r="141" spans="1:7" x14ac:dyDescent="0.2">
      <c r="A141" s="5">
        <v>80</v>
      </c>
      <c r="B141" s="1832">
        <f>'Assets-Liab 5-6'!E41</f>
        <v>2832311</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136238</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4689914</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136238</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140593</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4689914</v>
      </c>
      <c r="C171" s="2" t="s">
        <v>569</v>
      </c>
      <c r="D171" s="2" t="str">
        <f t="shared" si="1"/>
        <v>Error?</v>
      </c>
    </row>
    <row r="172" spans="1:4" x14ac:dyDescent="0.2">
      <c r="A172" s="10">
        <v>111</v>
      </c>
      <c r="B172" s="1832"/>
      <c r="D172" s="2" t="str">
        <f t="shared" si="1"/>
        <v>OK</v>
      </c>
    </row>
    <row r="173" spans="1:4" x14ac:dyDescent="0.2">
      <c r="A173" s="5">
        <v>112</v>
      </c>
      <c r="B173" s="1832">
        <f>'Assets-Liab 5-6'!G6</f>
        <v>1726198</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2647462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1726198</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1777718</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2647462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1383460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74831</v>
      </c>
      <c r="C211" s="2" t="s">
        <v>569</v>
      </c>
      <c r="D211" s="2" t="str">
        <f t="shared" si="2"/>
        <v>Error?</v>
      </c>
    </row>
    <row r="212" spans="1:4" x14ac:dyDescent="0.2">
      <c r="A212" s="5">
        <v>151</v>
      </c>
      <c r="B212" s="1832">
        <f>'Assets-Liab 5-6'!H39</f>
        <v>1308629</v>
      </c>
      <c r="D212" s="2" t="str">
        <f t="shared" si="2"/>
        <v>Error?</v>
      </c>
    </row>
    <row r="213" spans="1:4" x14ac:dyDescent="0.2">
      <c r="A213" s="12">
        <v>152</v>
      </c>
      <c r="B213" s="1832">
        <f>'Assets-Liab 5-6'!H41</f>
        <v>1383460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530288</v>
      </c>
      <c r="D273" s="2" t="str">
        <f t="shared" si="3"/>
        <v>Error?</v>
      </c>
    </row>
    <row r="274" spans="1:4" x14ac:dyDescent="0.2">
      <c r="A274" s="5">
        <v>213</v>
      </c>
      <c r="B274" s="1832">
        <f>'Assets-Liab 5-6'!M17</f>
        <v>21164007</v>
      </c>
      <c r="D274" s="2" t="str">
        <f t="shared" si="3"/>
        <v>Error?</v>
      </c>
    </row>
    <row r="275" spans="1:4" x14ac:dyDescent="0.2">
      <c r="A275" s="5">
        <v>214</v>
      </c>
      <c r="B275" s="1832">
        <f>'Assets-Liab 5-6'!M18</f>
        <v>4866665</v>
      </c>
      <c r="D275" s="2" t="str">
        <f t="shared" si="3"/>
        <v>Error?</v>
      </c>
    </row>
    <row r="276" spans="1:4" x14ac:dyDescent="0.2">
      <c r="A276" s="5">
        <v>215</v>
      </c>
      <c r="B276" s="1832">
        <f>'Assets-Liab 5-6'!M19</f>
        <v>596755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27510482</v>
      </c>
      <c r="C279" s="2" t="s">
        <v>569</v>
      </c>
      <c r="D279" s="2" t="str">
        <f t="shared" si="3"/>
        <v>Error?</v>
      </c>
    </row>
    <row r="280" spans="1:4" x14ac:dyDescent="0.2">
      <c r="A280" s="5">
        <v>219</v>
      </c>
      <c r="B280" s="1832">
        <f>'Assets-Liab 5-6'!M40</f>
        <v>27510482</v>
      </c>
      <c r="D280" s="2" t="str">
        <f t="shared" si="3"/>
        <v>Error?</v>
      </c>
    </row>
    <row r="281" spans="1:4" x14ac:dyDescent="0.2">
      <c r="A281" s="5">
        <v>220</v>
      </c>
      <c r="B281" s="1832">
        <f>'Assets-Liab 5-6'!M41</f>
        <v>27510482</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22715000</v>
      </c>
      <c r="D283" s="2" t="str">
        <f t="shared" si="3"/>
        <v>Error?</v>
      </c>
    </row>
    <row r="284" spans="1:4" x14ac:dyDescent="0.2">
      <c r="A284" s="5">
        <v>223</v>
      </c>
      <c r="B284" s="1832">
        <f>'Assets-Liab 5-6'!N23</f>
        <v>22715000</v>
      </c>
      <c r="C284" s="2" t="s">
        <v>569</v>
      </c>
      <c r="D284" s="2" t="str">
        <f t="shared" si="3"/>
        <v>Error?</v>
      </c>
    </row>
    <row r="285" spans="1:4" x14ac:dyDescent="0.2">
      <c r="A285" s="5">
        <v>224</v>
      </c>
      <c r="B285" s="1832">
        <f>'Assets-Liab 5-6'!N36</f>
        <v>22715000</v>
      </c>
      <c r="D285" s="2" t="str">
        <f t="shared" si="3"/>
        <v>Error?</v>
      </c>
    </row>
    <row r="286" spans="1:4" x14ac:dyDescent="0.2">
      <c r="A286" s="10">
        <v>225</v>
      </c>
      <c r="B286" s="1832"/>
      <c r="D286" s="2" t="str">
        <f t="shared" si="3"/>
        <v>OK</v>
      </c>
    </row>
    <row r="287" spans="1:4" x14ac:dyDescent="0.2">
      <c r="A287" s="5">
        <v>226</v>
      </c>
      <c r="B287" s="1832">
        <f>'Assets-Liab 5-6'!N37</f>
        <v>22715000</v>
      </c>
      <c r="C287" s="2" t="s">
        <v>569</v>
      </c>
      <c r="D287" s="2" t="str">
        <f t="shared" si="3"/>
        <v>Error?</v>
      </c>
    </row>
    <row r="288" spans="1:4" x14ac:dyDescent="0.2">
      <c r="A288" s="5">
        <v>227</v>
      </c>
      <c r="B288" s="1832">
        <f>'Assets-Liab 5-6'!N41</f>
        <v>22715000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10920102</v>
      </c>
      <c r="D651" s="2" t="str">
        <f t="shared" si="9"/>
        <v>Error?</v>
      </c>
    </row>
    <row r="652" spans="1:4" x14ac:dyDescent="0.2">
      <c r="A652" s="5">
        <v>591</v>
      </c>
      <c r="B652" s="1832">
        <f>'Acct Summary 7-8'!I34</f>
        <v>2555845</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9747941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6168</v>
      </c>
      <c r="D717" s="2" t="str">
        <f t="shared" si="10"/>
        <v>Error?</v>
      </c>
    </row>
    <row r="718" spans="1:4" x14ac:dyDescent="0.2">
      <c r="A718" s="5">
        <v>657</v>
      </c>
      <c r="B718" s="1832">
        <f>'Expenditures 15-22'!C14</f>
        <v>361286</v>
      </c>
      <c r="D718" s="2" t="str">
        <f t="shared" si="10"/>
        <v>Error?</v>
      </c>
    </row>
    <row r="719" spans="1:4" x14ac:dyDescent="0.2">
      <c r="A719" s="5">
        <v>658</v>
      </c>
      <c r="B719" s="1832">
        <f>'Expenditures 15-22'!C15</f>
        <v>6120</v>
      </c>
      <c r="D719" s="2" t="str">
        <f t="shared" si="10"/>
        <v>Error?</v>
      </c>
    </row>
    <row r="720" spans="1:4" x14ac:dyDescent="0.2">
      <c r="A720" s="5">
        <v>659</v>
      </c>
      <c r="B720" s="1832">
        <f>'Expenditures 15-22'!C33</f>
        <v>15831193</v>
      </c>
      <c r="C720" s="2" t="s">
        <v>569</v>
      </c>
      <c r="D720" s="2" t="str">
        <f t="shared" si="10"/>
        <v>Error?</v>
      </c>
    </row>
    <row r="721" spans="1:4" x14ac:dyDescent="0.2">
      <c r="A721" s="5">
        <v>660</v>
      </c>
      <c r="B721" s="1832">
        <f>'Expenditures 15-22'!C36</f>
        <v>967755</v>
      </c>
      <c r="D721" s="2" t="str">
        <f t="shared" si="10"/>
        <v>Error?</v>
      </c>
    </row>
    <row r="722" spans="1:4" x14ac:dyDescent="0.2">
      <c r="A722" s="5">
        <v>661</v>
      </c>
      <c r="B722" s="1832">
        <f>'Expenditures 15-22'!C37</f>
        <v>203917</v>
      </c>
      <c r="D722" s="2" t="str">
        <f t="shared" si="10"/>
        <v>Error?</v>
      </c>
    </row>
    <row r="723" spans="1:4" x14ac:dyDescent="0.2">
      <c r="A723" s="5">
        <v>662</v>
      </c>
      <c r="B723" s="1832">
        <f>'Expenditures 15-22'!C38</f>
        <v>451057</v>
      </c>
      <c r="D723" s="2" t="str">
        <f t="shared" si="10"/>
        <v>Error?</v>
      </c>
    </row>
    <row r="724" spans="1:4" x14ac:dyDescent="0.2">
      <c r="A724" s="5">
        <v>663</v>
      </c>
      <c r="B724" s="1832">
        <f>'Expenditures 15-22'!C39</f>
        <v>332231</v>
      </c>
      <c r="D724" s="2" t="str">
        <f t="shared" si="10"/>
        <v>Error?</v>
      </c>
    </row>
    <row r="725" spans="1:4" x14ac:dyDescent="0.2">
      <c r="A725" s="5">
        <v>664</v>
      </c>
      <c r="B725" s="1832">
        <f>'Expenditures 15-22'!C40</f>
        <v>379411</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2334371</v>
      </c>
      <c r="C727" s="2" t="s">
        <v>569</v>
      </c>
      <c r="D727" s="2" t="str">
        <f t="shared" si="10"/>
        <v>Error?</v>
      </c>
    </row>
    <row r="728" spans="1:4" x14ac:dyDescent="0.2">
      <c r="A728" s="5">
        <v>667</v>
      </c>
      <c r="B728" s="1832">
        <f>'Expenditures 15-22'!C44</f>
        <v>1047351</v>
      </c>
      <c r="D728" s="2" t="str">
        <f t="shared" si="10"/>
        <v>Error?</v>
      </c>
    </row>
    <row r="729" spans="1:4" x14ac:dyDescent="0.2">
      <c r="A729" s="5">
        <v>668</v>
      </c>
      <c r="B729" s="1832">
        <f>'Expenditures 15-22'!C45</f>
        <v>2019</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1049370</v>
      </c>
      <c r="C731" s="2" t="s">
        <v>569</v>
      </c>
      <c r="D731" s="2" t="str">
        <f t="shared" si="10"/>
        <v>Error?</v>
      </c>
    </row>
    <row r="732" spans="1:4" x14ac:dyDescent="0.2">
      <c r="A732" s="5">
        <v>671</v>
      </c>
      <c r="B732" s="1832">
        <f>'Expenditures 15-22'!C49</f>
        <v>37650</v>
      </c>
      <c r="D732" s="2" t="str">
        <f t="shared" si="10"/>
        <v>Error?</v>
      </c>
    </row>
    <row r="733" spans="1:4" x14ac:dyDescent="0.2">
      <c r="A733" s="5">
        <v>672</v>
      </c>
      <c r="B733" s="1832">
        <f>'Expenditures 15-22'!C50</f>
        <v>327228</v>
      </c>
      <c r="D733" s="2" t="str">
        <f t="shared" si="10"/>
        <v>Error?</v>
      </c>
    </row>
    <row r="734" spans="1:4" x14ac:dyDescent="0.2">
      <c r="A734" s="5">
        <v>673</v>
      </c>
      <c r="B734" s="1832">
        <f>'Expenditures 15-22'!C53</f>
        <v>895463</v>
      </c>
      <c r="C734" s="2" t="s">
        <v>569</v>
      </c>
      <c r="D734" s="2" t="str">
        <f t="shared" si="10"/>
        <v>Error?</v>
      </c>
    </row>
    <row r="735" spans="1:4" x14ac:dyDescent="0.2">
      <c r="A735" s="5">
        <v>674</v>
      </c>
      <c r="B735" s="1832">
        <f>'Expenditures 15-22'!C55</f>
        <v>2571694</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2571694</v>
      </c>
      <c r="C737" s="2" t="s">
        <v>569</v>
      </c>
      <c r="D737" s="2" t="str">
        <f t="shared" si="10"/>
        <v>Error?</v>
      </c>
    </row>
    <row r="738" spans="1:4" x14ac:dyDescent="0.2">
      <c r="A738" s="5">
        <v>677</v>
      </c>
      <c r="B738" s="1832">
        <f>'Expenditures 15-22'!C59</f>
        <v>80500</v>
      </c>
      <c r="D738" s="2" t="str">
        <f t="shared" si="10"/>
        <v>Error?</v>
      </c>
    </row>
    <row r="739" spans="1:4" x14ac:dyDescent="0.2">
      <c r="A739" s="5">
        <v>678</v>
      </c>
      <c r="B739" s="1832">
        <f>'Expenditures 15-22'!C60</f>
        <v>354360</v>
      </c>
      <c r="D739" s="2" t="str">
        <f t="shared" si="10"/>
        <v>Error?</v>
      </c>
    </row>
    <row r="740" spans="1:4" x14ac:dyDescent="0.2">
      <c r="A740" s="5">
        <v>679</v>
      </c>
      <c r="B740" s="1832">
        <f>'Expenditures 15-22'!C61</f>
        <v>1407567</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538372</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2380799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479192</v>
      </c>
      <c r="D748" s="2" t="str">
        <f t="shared" si="10"/>
        <v>Error?</v>
      </c>
    </row>
    <row r="749" spans="1:4" x14ac:dyDescent="0.2">
      <c r="A749" s="5">
        <v>688</v>
      </c>
      <c r="B749" s="1832">
        <f>'Expenditures 15-22'!C70</f>
        <v>585931</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1065123</v>
      </c>
      <c r="C753" s="2" t="s">
        <v>569</v>
      </c>
      <c r="D753" s="2" t="str">
        <f t="shared" si="10"/>
        <v>Error?</v>
      </c>
    </row>
    <row r="754" spans="1:4" x14ac:dyDescent="0.2">
      <c r="A754" s="5">
        <v>693</v>
      </c>
      <c r="B754" s="1832">
        <f>'Expenditures 15-22'!C73</f>
        <v>677953</v>
      </c>
      <c r="D754" s="2" t="str">
        <f t="shared" si="10"/>
        <v>Error?</v>
      </c>
    </row>
    <row r="755" spans="1:4" x14ac:dyDescent="0.2">
      <c r="A755" s="5">
        <v>694</v>
      </c>
      <c r="B755" s="1832">
        <f>'Expenditures 15-22'!C74</f>
        <v>10974773</v>
      </c>
      <c r="C755" s="2" t="s">
        <v>569</v>
      </c>
      <c r="D755" s="2" t="str">
        <f t="shared" si="10"/>
        <v>Error?</v>
      </c>
    </row>
    <row r="756" spans="1:4" x14ac:dyDescent="0.2">
      <c r="A756" s="5">
        <v>695</v>
      </c>
      <c r="B756" s="1832">
        <f>'Expenditures 15-22'!C75</f>
        <v>346879</v>
      </c>
      <c r="D756" s="2" t="str">
        <f t="shared" si="10"/>
        <v>Error?</v>
      </c>
    </row>
    <row r="757" spans="1:4" x14ac:dyDescent="0.2">
      <c r="A757" s="5">
        <v>696</v>
      </c>
      <c r="B757" s="1832">
        <f>'Expenditures 15-22'!C114</f>
        <v>27152845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2783864</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40701</v>
      </c>
      <c r="D776" s="2" t="str">
        <f t="shared" si="11"/>
        <v>Error?</v>
      </c>
    </row>
    <row r="777" spans="1:4" x14ac:dyDescent="0.2">
      <c r="A777" s="5">
        <v>716</v>
      </c>
      <c r="B777" s="1832">
        <f>'Expenditures 15-22'!D15</f>
        <v>773</v>
      </c>
      <c r="D777" s="2" t="str">
        <f t="shared" si="11"/>
        <v>Error?</v>
      </c>
    </row>
    <row r="778" spans="1:4" x14ac:dyDescent="0.2">
      <c r="A778" s="5">
        <v>717</v>
      </c>
      <c r="B778" s="1832">
        <f>'Expenditures 15-22'!D33</f>
        <v>4527517</v>
      </c>
      <c r="C778" s="2" t="s">
        <v>569</v>
      </c>
      <c r="D778" s="2" t="str">
        <f t="shared" si="11"/>
        <v>Error?</v>
      </c>
    </row>
    <row r="779" spans="1:4" x14ac:dyDescent="0.2">
      <c r="A779" s="5">
        <v>718</v>
      </c>
      <c r="B779" s="1832">
        <f>'Expenditures 15-22'!D36</f>
        <v>241372</v>
      </c>
      <c r="D779" s="2" t="str">
        <f t="shared" si="11"/>
        <v>Error?</v>
      </c>
    </row>
    <row r="780" spans="1:4" x14ac:dyDescent="0.2">
      <c r="A780" s="5">
        <v>719</v>
      </c>
      <c r="B780" s="1832">
        <f>'Expenditures 15-22'!D37</f>
        <v>55112</v>
      </c>
      <c r="D780" s="2" t="str">
        <f t="shared" si="11"/>
        <v>Error?</v>
      </c>
    </row>
    <row r="781" spans="1:4" x14ac:dyDescent="0.2">
      <c r="A781" s="5">
        <v>720</v>
      </c>
      <c r="B781" s="1832">
        <f>'Expenditures 15-22'!D38</f>
        <v>78699</v>
      </c>
      <c r="D781" s="2" t="str">
        <f t="shared" si="11"/>
        <v>Error?</v>
      </c>
    </row>
    <row r="782" spans="1:4" x14ac:dyDescent="0.2">
      <c r="A782" s="5">
        <v>721</v>
      </c>
      <c r="B782" s="1832">
        <f>'Expenditures 15-22'!D39</f>
        <v>91139</v>
      </c>
      <c r="D782" s="2" t="str">
        <f t="shared" si="11"/>
        <v>Error?</v>
      </c>
    </row>
    <row r="783" spans="1:4" x14ac:dyDescent="0.2">
      <c r="A783" s="5">
        <v>722</v>
      </c>
      <c r="B783" s="1832">
        <f>'Expenditures 15-22'!D40</f>
        <v>113964</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580286</v>
      </c>
      <c r="C785" s="2" t="s">
        <v>569</v>
      </c>
      <c r="D785" s="2" t="str">
        <f t="shared" si="11"/>
        <v>Error?</v>
      </c>
    </row>
    <row r="786" spans="1:4" x14ac:dyDescent="0.2">
      <c r="A786" s="5">
        <v>725</v>
      </c>
      <c r="B786" s="1832">
        <f>'Expenditures 15-22'!D44</f>
        <v>266130</v>
      </c>
      <c r="D786" s="2" t="str">
        <f t="shared" si="11"/>
        <v>Error?</v>
      </c>
    </row>
    <row r="787" spans="1:4" x14ac:dyDescent="0.2">
      <c r="A787" s="5">
        <v>726</v>
      </c>
      <c r="B787" s="1832">
        <f>'Expenditures 15-22'!D45</f>
        <v>693</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266823</v>
      </c>
      <c r="C789" s="2" t="s">
        <v>569</v>
      </c>
      <c r="D789" s="2" t="str">
        <f t="shared" si="11"/>
        <v>Error?</v>
      </c>
    </row>
    <row r="790" spans="1:4" x14ac:dyDescent="0.2">
      <c r="A790" s="5">
        <v>729</v>
      </c>
      <c r="B790" s="1832">
        <f>'Expenditures 15-22'!D49</f>
        <v>17613</v>
      </c>
      <c r="D790" s="2" t="str">
        <f t="shared" si="11"/>
        <v>Error?</v>
      </c>
    </row>
    <row r="791" spans="1:4" x14ac:dyDescent="0.2">
      <c r="A791" s="5">
        <v>730</v>
      </c>
      <c r="B791" s="1832">
        <f>'Expenditures 15-22'!D50</f>
        <v>63728</v>
      </c>
      <c r="D791" s="2" t="str">
        <f t="shared" si="11"/>
        <v>Error?</v>
      </c>
    </row>
    <row r="792" spans="1:4" x14ac:dyDescent="0.2">
      <c r="A792" s="5">
        <v>731</v>
      </c>
      <c r="B792" s="1832">
        <f>'Expenditures 15-22'!D53</f>
        <v>215021</v>
      </c>
      <c r="C792" s="2" t="s">
        <v>569</v>
      </c>
      <c r="D792" s="2" t="str">
        <f t="shared" si="11"/>
        <v>Error?</v>
      </c>
    </row>
    <row r="793" spans="1:4" x14ac:dyDescent="0.2">
      <c r="A793" s="5">
        <v>732</v>
      </c>
      <c r="B793" s="1832">
        <f>'Expenditures 15-22'!D55</f>
        <v>547227</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547227</v>
      </c>
      <c r="C795" s="2" t="s">
        <v>569</v>
      </c>
      <c r="D795" s="2" t="str">
        <f t="shared" si="11"/>
        <v>Error?</v>
      </c>
    </row>
    <row r="796" spans="1:4" x14ac:dyDescent="0.2">
      <c r="A796" s="5">
        <v>735</v>
      </c>
      <c r="B796" s="1832">
        <f>'Expenditures 15-22'!D59</f>
        <v>8310</v>
      </c>
      <c r="D796" s="2" t="str">
        <f t="shared" si="11"/>
        <v>Error?</v>
      </c>
    </row>
    <row r="797" spans="1:4" x14ac:dyDescent="0.2">
      <c r="A797" s="5">
        <v>736</v>
      </c>
      <c r="B797" s="1832">
        <f>'Expenditures 15-22'!D60</f>
        <v>53153</v>
      </c>
      <c r="D797" s="2" t="str">
        <f t="shared" si="11"/>
        <v>Error?</v>
      </c>
    </row>
    <row r="798" spans="1:4" x14ac:dyDescent="0.2">
      <c r="A798" s="5">
        <v>737</v>
      </c>
      <c r="B798" s="1832">
        <f>'Expenditures 15-22'!D61</f>
        <v>287533</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69987</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418983</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69406</v>
      </c>
      <c r="D806" s="2" t="str">
        <f t="shared" si="11"/>
        <v>Error?</v>
      </c>
    </row>
    <row r="807" spans="1:4" x14ac:dyDescent="0.2">
      <c r="A807" s="5">
        <v>746</v>
      </c>
      <c r="B807" s="1832">
        <f>'Expenditures 15-22'!D70</f>
        <v>100458</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169864</v>
      </c>
      <c r="C811" s="2" t="s">
        <v>569</v>
      </c>
      <c r="D811" s="2" t="str">
        <f t="shared" si="11"/>
        <v>Error?</v>
      </c>
    </row>
    <row r="812" spans="1:4" x14ac:dyDescent="0.2">
      <c r="A812" s="5">
        <v>751</v>
      </c>
      <c r="B812" s="1832">
        <f>'Expenditures 15-22'!D73</f>
        <v>88617</v>
      </c>
      <c r="D812" s="2" t="str">
        <f t="shared" si="11"/>
        <v>Error?</v>
      </c>
    </row>
    <row r="813" spans="1:4" x14ac:dyDescent="0.2">
      <c r="A813" s="5">
        <v>752</v>
      </c>
      <c r="B813" s="1832">
        <f>'Expenditures 15-22'!D74</f>
        <v>2286821</v>
      </c>
      <c r="C813" s="2" t="s">
        <v>569</v>
      </c>
      <c r="D813" s="2" t="str">
        <f t="shared" si="11"/>
        <v>Error?</v>
      </c>
    </row>
    <row r="814" spans="1:4" x14ac:dyDescent="0.2">
      <c r="A814" s="5">
        <v>753</v>
      </c>
      <c r="B814" s="1832">
        <f>'Expenditures 15-22'!D75</f>
        <v>64184</v>
      </c>
      <c r="D814" s="2" t="str">
        <f t="shared" si="11"/>
        <v>Error?</v>
      </c>
    </row>
    <row r="815" spans="1:4" x14ac:dyDescent="0.2">
      <c r="A815" s="5">
        <v>754</v>
      </c>
      <c r="B815" s="1832">
        <f>'Expenditures 15-22'!D114</f>
        <v>6878522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431641</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92626</v>
      </c>
      <c r="D833" s="2" t="str">
        <f t="shared" si="12"/>
        <v>Error?</v>
      </c>
    </row>
    <row r="834" spans="1:4" x14ac:dyDescent="0.2">
      <c r="A834" s="5">
        <v>773</v>
      </c>
      <c r="B834" s="1832">
        <f>'Expenditures 15-22'!E14</f>
        <v>148571</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970093</v>
      </c>
      <c r="C836" s="2" t="s">
        <v>569</v>
      </c>
      <c r="D836" s="2" t="str">
        <f t="shared" si="12"/>
        <v>Error?</v>
      </c>
    </row>
    <row r="837" spans="1:4" x14ac:dyDescent="0.2">
      <c r="A837" s="5">
        <v>776</v>
      </c>
      <c r="B837" s="1832">
        <f>'Expenditures 15-22'!E36</f>
        <v>3160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94477</v>
      </c>
      <c r="D839" s="2" t="str">
        <f t="shared" si="12"/>
        <v>Error?</v>
      </c>
    </row>
    <row r="840" spans="1:4" x14ac:dyDescent="0.2">
      <c r="A840" s="5">
        <v>779</v>
      </c>
      <c r="B840" s="1832">
        <f>'Expenditures 15-22'!E39</f>
        <v>79686</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177323</v>
      </c>
      <c r="C843" s="2" t="s">
        <v>569</v>
      </c>
      <c r="D843" s="2" t="str">
        <f t="shared" si="12"/>
        <v>Error?</v>
      </c>
    </row>
    <row r="844" spans="1:4" x14ac:dyDescent="0.2">
      <c r="A844" s="5">
        <v>783</v>
      </c>
      <c r="B844" s="1832">
        <f>'Expenditures 15-22'!E44</f>
        <v>164787</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850</v>
      </c>
      <c r="D846" s="2" t="str">
        <f t="shared" si="12"/>
        <v>Error?</v>
      </c>
    </row>
    <row r="847" spans="1:4" x14ac:dyDescent="0.2">
      <c r="A847" s="5">
        <v>786</v>
      </c>
      <c r="B847" s="1832">
        <f>'Expenditures 15-22'!E47</f>
        <v>165637</v>
      </c>
      <c r="C847" s="2" t="s">
        <v>569</v>
      </c>
      <c r="D847" s="2" t="str">
        <f t="shared" si="12"/>
        <v>Error?</v>
      </c>
    </row>
    <row r="848" spans="1:4" x14ac:dyDescent="0.2">
      <c r="A848" s="5">
        <v>787</v>
      </c>
      <c r="B848" s="1832">
        <f>'Expenditures 15-22'!E49</f>
        <v>18919</v>
      </c>
      <c r="D848" s="2" t="str">
        <f t="shared" si="12"/>
        <v>Error?</v>
      </c>
    </row>
    <row r="849" spans="1:4" x14ac:dyDescent="0.2">
      <c r="A849" s="5">
        <v>788</v>
      </c>
      <c r="B849" s="1832">
        <f>'Expenditures 15-22'!E50</f>
        <v>2937</v>
      </c>
      <c r="D849" s="2" t="str">
        <f t="shared" si="12"/>
        <v>Error?</v>
      </c>
    </row>
    <row r="850" spans="1:4" x14ac:dyDescent="0.2">
      <c r="A850" s="5">
        <v>789</v>
      </c>
      <c r="B850" s="1832">
        <f>'Expenditures 15-22'!E53</f>
        <v>110366</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7747</v>
      </c>
      <c r="D854" s="2" t="str">
        <f t="shared" si="12"/>
        <v>Error?</v>
      </c>
    </row>
    <row r="855" spans="1:4" x14ac:dyDescent="0.2">
      <c r="A855" s="5">
        <v>794</v>
      </c>
      <c r="B855" s="1832">
        <f>'Expenditures 15-22'!E60</f>
        <v>40009</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92557</v>
      </c>
      <c r="D857" s="2" t="str">
        <f t="shared" si="12"/>
        <v>Error?</v>
      </c>
    </row>
    <row r="858" spans="1:4" x14ac:dyDescent="0.2">
      <c r="A858" s="5">
        <v>797</v>
      </c>
      <c r="B858" s="1832">
        <f>'Expenditures 15-22'!E63</f>
        <v>1383636</v>
      </c>
      <c r="D858" s="2" t="str">
        <f t="shared" si="12"/>
        <v>Error?</v>
      </c>
    </row>
    <row r="859" spans="1:4" x14ac:dyDescent="0.2">
      <c r="A859" s="5">
        <v>798</v>
      </c>
      <c r="B859" s="1832">
        <f>'Expenditures 15-22'!E64</f>
        <v>232126</v>
      </c>
      <c r="D859" s="2" t="str">
        <f t="shared" si="12"/>
        <v>Error?</v>
      </c>
    </row>
    <row r="860" spans="1:4" x14ac:dyDescent="0.2">
      <c r="A860" s="10">
        <v>799</v>
      </c>
      <c r="B860" s="1832"/>
      <c r="D860" s="2" t="str">
        <f t="shared" si="12"/>
        <v>OK</v>
      </c>
    </row>
    <row r="861" spans="1:4" x14ac:dyDescent="0.2">
      <c r="A861" s="5">
        <v>800</v>
      </c>
      <c r="B861" s="1832">
        <f>'Expenditures 15-22'!E65</f>
        <v>1756075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1048645</v>
      </c>
      <c r="D863" s="2" t="str">
        <f t="shared" si="12"/>
        <v>Error?</v>
      </c>
    </row>
    <row r="864" spans="1:4" x14ac:dyDescent="0.2">
      <c r="A864" s="5">
        <v>803</v>
      </c>
      <c r="B864" s="1832">
        <f>'Expenditures 15-22'!E69</f>
        <v>329653</v>
      </c>
      <c r="D864" s="2" t="str">
        <f t="shared" si="12"/>
        <v>Error?</v>
      </c>
    </row>
    <row r="865" spans="1:4" x14ac:dyDescent="0.2">
      <c r="A865" s="5">
        <v>804</v>
      </c>
      <c r="B865" s="1832">
        <f>'Expenditures 15-22'!E70</f>
        <v>8750</v>
      </c>
      <c r="D865" s="2" t="str">
        <f t="shared" si="12"/>
        <v>Error?</v>
      </c>
    </row>
    <row r="866" spans="1:4" x14ac:dyDescent="0.2">
      <c r="A866" s="10">
        <v>805</v>
      </c>
      <c r="B866" s="1832"/>
      <c r="D866" s="2" t="str">
        <f t="shared" si="12"/>
        <v>OK</v>
      </c>
    </row>
    <row r="867" spans="1:4" x14ac:dyDescent="0.2">
      <c r="A867" s="5">
        <v>806</v>
      </c>
      <c r="B867" s="1832">
        <f>'Expenditures 15-22'!E71</f>
        <v>2455</v>
      </c>
      <c r="D867" s="2" t="str">
        <f t="shared" si="12"/>
        <v>Error?</v>
      </c>
    </row>
    <row r="868" spans="1:4" x14ac:dyDescent="0.2">
      <c r="A868" s="10">
        <v>807</v>
      </c>
      <c r="B868" s="1832"/>
      <c r="D868" s="2" t="str">
        <f t="shared" si="12"/>
        <v>OK</v>
      </c>
    </row>
    <row r="869" spans="1:4" x14ac:dyDescent="0.2">
      <c r="A869" s="5">
        <v>808</v>
      </c>
      <c r="B869" s="1832">
        <f>'Expenditures 15-22'!E72</f>
        <v>1389503</v>
      </c>
      <c r="C869" s="2" t="s">
        <v>569</v>
      </c>
      <c r="D869" s="2" t="str">
        <f t="shared" si="12"/>
        <v>Error?</v>
      </c>
    </row>
    <row r="870" spans="1:4" x14ac:dyDescent="0.2">
      <c r="A870" s="5">
        <v>809</v>
      </c>
      <c r="B870" s="1832">
        <f>'Expenditures 15-22'!E73</f>
        <v>147763</v>
      </c>
      <c r="D870" s="2" t="str">
        <f t="shared" si="12"/>
        <v>Error?</v>
      </c>
    </row>
    <row r="871" spans="1:4" x14ac:dyDescent="0.2">
      <c r="A871" s="5">
        <v>810</v>
      </c>
      <c r="B871" s="1832">
        <f>'Expenditures 15-22'!E74</f>
        <v>3746667</v>
      </c>
      <c r="C871" s="2" t="s">
        <v>569</v>
      </c>
      <c r="D871" s="2" t="str">
        <f t="shared" si="12"/>
        <v>Error?</v>
      </c>
    </row>
    <row r="872" spans="1:4" x14ac:dyDescent="0.2">
      <c r="A872" s="5">
        <v>811</v>
      </c>
      <c r="B872" s="1832">
        <f>'Expenditures 15-22'!E75</f>
        <v>26746</v>
      </c>
      <c r="D872" s="2" t="str">
        <f t="shared" si="12"/>
        <v>Error?</v>
      </c>
    </row>
    <row r="873" spans="1:4" x14ac:dyDescent="0.2">
      <c r="A873" s="5">
        <v>812</v>
      </c>
      <c r="B873" s="1832">
        <f>'Expenditures 15-22'!E114</f>
        <v>4743506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136164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94473</v>
      </c>
      <c r="D891" s="2" t="str">
        <f t="shared" si="12"/>
        <v>Error?</v>
      </c>
    </row>
    <row r="892" spans="1:4" x14ac:dyDescent="0.2">
      <c r="A892" s="5">
        <v>831</v>
      </c>
      <c r="B892" s="1832">
        <f>'Expenditures 15-22'!F14</f>
        <v>145114</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934606</v>
      </c>
      <c r="C894" s="2" t="s">
        <v>569</v>
      </c>
      <c r="D894" s="2" t="str">
        <f t="shared" si="12"/>
        <v>Error?</v>
      </c>
    </row>
    <row r="895" spans="1:4" x14ac:dyDescent="0.2">
      <c r="A895" s="5">
        <v>834</v>
      </c>
      <c r="B895" s="1832">
        <f>'Expenditures 15-22'!F36</f>
        <v>3058</v>
      </c>
      <c r="D895" s="2" t="str">
        <f t="shared" ref="D895:D958" si="13">IF(ISBLANK(B895),"OK",IF(A895-B895=0,"OK","Error?"))</f>
        <v>Error?</v>
      </c>
    </row>
    <row r="896" spans="1:4" x14ac:dyDescent="0.2">
      <c r="A896" s="5">
        <v>835</v>
      </c>
      <c r="B896" s="1832">
        <f>'Expenditures 15-22'!F37</f>
        <v>16940</v>
      </c>
      <c r="D896" s="2" t="str">
        <f t="shared" si="13"/>
        <v>Error?</v>
      </c>
    </row>
    <row r="897" spans="1:4" x14ac:dyDescent="0.2">
      <c r="A897" s="5">
        <v>836</v>
      </c>
      <c r="B897" s="1832">
        <f>'Expenditures 15-22'!F38</f>
        <v>28844</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48842</v>
      </c>
      <c r="C901" s="2" t="s">
        <v>569</v>
      </c>
      <c r="D901" s="2" t="str">
        <f t="shared" si="13"/>
        <v>Error?</v>
      </c>
    </row>
    <row r="902" spans="1:4" x14ac:dyDescent="0.2">
      <c r="A902" s="5">
        <v>841</v>
      </c>
      <c r="B902" s="1832">
        <f>'Expenditures 15-22'!F44</f>
        <v>126984</v>
      </c>
      <c r="D902" s="2" t="str">
        <f t="shared" si="13"/>
        <v>Error?</v>
      </c>
    </row>
    <row r="903" spans="1:4" x14ac:dyDescent="0.2">
      <c r="A903" s="5">
        <v>842</v>
      </c>
      <c r="B903" s="1832">
        <f>'Expenditures 15-22'!F45</f>
        <v>2901</v>
      </c>
      <c r="D903" s="2" t="str">
        <f t="shared" si="13"/>
        <v>Error?</v>
      </c>
    </row>
    <row r="904" spans="1:4" x14ac:dyDescent="0.2">
      <c r="A904" s="5">
        <v>843</v>
      </c>
      <c r="B904" s="1832">
        <f>'Expenditures 15-22'!F46</f>
        <v>5881</v>
      </c>
      <c r="D904" s="2" t="str">
        <f t="shared" si="13"/>
        <v>Error?</v>
      </c>
    </row>
    <row r="905" spans="1:4" x14ac:dyDescent="0.2">
      <c r="A905" s="5">
        <v>844</v>
      </c>
      <c r="B905" s="1832">
        <f>'Expenditures 15-22'!F47</f>
        <v>135766</v>
      </c>
      <c r="C905" s="2" t="s">
        <v>569</v>
      </c>
      <c r="D905" s="2" t="str">
        <f t="shared" si="13"/>
        <v>Error?</v>
      </c>
    </row>
    <row r="906" spans="1:4" x14ac:dyDescent="0.2">
      <c r="A906" s="5">
        <v>845</v>
      </c>
      <c r="B906" s="1832">
        <f>'Expenditures 15-22'!F49</f>
        <v>12441</v>
      </c>
      <c r="D906" s="2" t="str">
        <f t="shared" si="13"/>
        <v>Error?</v>
      </c>
    </row>
    <row r="907" spans="1:4" x14ac:dyDescent="0.2">
      <c r="A907" s="5">
        <v>846</v>
      </c>
      <c r="B907" s="1832">
        <f>'Expenditures 15-22'!F50</f>
        <v>1307</v>
      </c>
      <c r="D907" s="2" t="str">
        <f t="shared" si="13"/>
        <v>Error?</v>
      </c>
    </row>
    <row r="908" spans="1:4" x14ac:dyDescent="0.2">
      <c r="A908" s="5">
        <v>847</v>
      </c>
      <c r="B908" s="1832">
        <f>'Expenditures 15-22'!F53</f>
        <v>33978</v>
      </c>
      <c r="C908" s="2" t="s">
        <v>569</v>
      </c>
      <c r="D908" s="2" t="str">
        <f t="shared" si="13"/>
        <v>Error?</v>
      </c>
    </row>
    <row r="909" spans="1:4" x14ac:dyDescent="0.2">
      <c r="A909" s="5">
        <v>848</v>
      </c>
      <c r="B909" s="1832">
        <f>'Expenditures 15-22'!F55</f>
        <v>47817</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47817</v>
      </c>
      <c r="C911" s="2" t="s">
        <v>569</v>
      </c>
      <c r="D911" s="2" t="str">
        <f t="shared" si="13"/>
        <v>Error?</v>
      </c>
    </row>
    <row r="912" spans="1:4" x14ac:dyDescent="0.2">
      <c r="A912" s="5">
        <v>851</v>
      </c>
      <c r="B912" s="1832">
        <f>'Expenditures 15-22'!F59</f>
        <v>1347</v>
      </c>
      <c r="D912" s="2" t="str">
        <f t="shared" si="13"/>
        <v>Error?</v>
      </c>
    </row>
    <row r="913" spans="1:4" x14ac:dyDescent="0.2">
      <c r="A913" s="5">
        <v>852</v>
      </c>
      <c r="B913" s="1832">
        <f>'Expenditures 15-22'!F60</f>
        <v>11067</v>
      </c>
      <c r="D913" s="2" t="str">
        <f t="shared" si="13"/>
        <v>Error?</v>
      </c>
    </row>
    <row r="914" spans="1:4" x14ac:dyDescent="0.2">
      <c r="A914" s="5">
        <v>853</v>
      </c>
      <c r="B914" s="1832">
        <f>'Expenditures 15-22'!F61</f>
        <v>2520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124869</v>
      </c>
      <c r="D916" s="2" t="str">
        <f t="shared" si="13"/>
        <v>Error?</v>
      </c>
    </row>
    <row r="917" spans="1:4" x14ac:dyDescent="0.2">
      <c r="A917" s="5">
        <v>856</v>
      </c>
      <c r="B917" s="1832">
        <f>'Expenditures 15-22'!F64</f>
        <v>614</v>
      </c>
      <c r="D917" s="2" t="str">
        <f t="shared" si="13"/>
        <v>Error?</v>
      </c>
    </row>
    <row r="918" spans="1:4" x14ac:dyDescent="0.2">
      <c r="A918" s="10">
        <v>857</v>
      </c>
      <c r="B918" s="1832"/>
      <c r="D918" s="2" t="str">
        <f t="shared" si="13"/>
        <v>OK</v>
      </c>
    </row>
    <row r="919" spans="1:4" x14ac:dyDescent="0.2">
      <c r="A919" s="5">
        <v>858</v>
      </c>
      <c r="B919" s="1832">
        <f>'Expenditures 15-22'!F65</f>
        <v>140417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269509</v>
      </c>
      <c r="D922" s="2" t="str">
        <f t="shared" si="13"/>
        <v>Error?</v>
      </c>
    </row>
    <row r="923" spans="1:4" x14ac:dyDescent="0.2">
      <c r="A923" s="5">
        <v>862</v>
      </c>
      <c r="B923" s="1832">
        <f>'Expenditures 15-22'!F70</f>
        <v>10679</v>
      </c>
      <c r="D923" s="2" t="str">
        <f t="shared" si="13"/>
        <v>Error?</v>
      </c>
    </row>
    <row r="924" spans="1:4" x14ac:dyDescent="0.2">
      <c r="A924" s="10">
        <v>863</v>
      </c>
      <c r="B924" s="1832"/>
      <c r="D924" s="2" t="str">
        <f t="shared" si="13"/>
        <v>OK</v>
      </c>
    </row>
    <row r="925" spans="1:4" x14ac:dyDescent="0.2">
      <c r="A925" s="5">
        <v>864</v>
      </c>
      <c r="B925" s="1832">
        <f>'Expenditures 15-22'!F71</f>
        <v>1888</v>
      </c>
      <c r="D925" s="2" t="str">
        <f t="shared" si="13"/>
        <v>Error?</v>
      </c>
    </row>
    <row r="926" spans="1:4" x14ac:dyDescent="0.2">
      <c r="A926" s="10">
        <v>865</v>
      </c>
      <c r="B926" s="1832"/>
      <c r="D926" s="2" t="str">
        <f t="shared" si="13"/>
        <v>OK</v>
      </c>
    </row>
    <row r="927" spans="1:4" x14ac:dyDescent="0.2">
      <c r="A927" s="5">
        <v>866</v>
      </c>
      <c r="B927" s="1832">
        <f>'Expenditures 15-22'!F72</f>
        <v>282076</v>
      </c>
      <c r="C927" s="2" t="s">
        <v>569</v>
      </c>
      <c r="D927" s="2" t="str">
        <f t="shared" si="13"/>
        <v>Error?</v>
      </c>
    </row>
    <row r="928" spans="1:4" x14ac:dyDescent="0.2">
      <c r="A928" s="5">
        <v>867</v>
      </c>
      <c r="B928" s="1832">
        <f>'Expenditures 15-22'!F73</f>
        <v>155808</v>
      </c>
      <c r="D928" s="2" t="str">
        <f t="shared" si="13"/>
        <v>Error?</v>
      </c>
    </row>
    <row r="929" spans="1:4" x14ac:dyDescent="0.2">
      <c r="A929" s="5">
        <v>868</v>
      </c>
      <c r="B929" s="1832">
        <f>'Expenditures 15-22'!F74</f>
        <v>844704</v>
      </c>
      <c r="C929" s="2" t="s">
        <v>569</v>
      </c>
      <c r="D929" s="2" t="str">
        <f t="shared" si="13"/>
        <v>Error?</v>
      </c>
    </row>
    <row r="930" spans="1:4" x14ac:dyDescent="0.2">
      <c r="A930" s="5">
        <v>869</v>
      </c>
      <c r="B930" s="1832">
        <f>'Expenditures 15-22'!F75</f>
        <v>92210</v>
      </c>
      <c r="D930" s="2" t="str">
        <f t="shared" si="13"/>
        <v>Error?</v>
      </c>
    </row>
    <row r="931" spans="1:4" x14ac:dyDescent="0.2">
      <c r="A931" s="5">
        <v>870</v>
      </c>
      <c r="B931" s="1832">
        <f>'Expenditures 15-22'!F114</f>
        <v>1871520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11501</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11501</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11501</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11501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39308</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1749315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790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790</v>
      </c>
      <c r="C1021" s="2" t="s">
        <v>569</v>
      </c>
      <c r="D1021" s="2" t="str">
        <f t="shared" si="14"/>
        <v>Error?</v>
      </c>
    </row>
    <row r="1022" spans="1:4" x14ac:dyDescent="0.2">
      <c r="A1022" s="5">
        <v>961</v>
      </c>
      <c r="B1022" s="1832">
        <f>'Expenditures 15-22'!H49</f>
        <v>52199</v>
      </c>
      <c r="D1022" s="2" t="str">
        <f t="shared" si="14"/>
        <v>Error?</v>
      </c>
    </row>
    <row r="1023" spans="1:4" x14ac:dyDescent="0.2">
      <c r="A1023" s="5">
        <v>962</v>
      </c>
      <c r="B1023" s="1832">
        <f>'Expenditures 15-22'!H50</f>
        <v>2323</v>
      </c>
      <c r="D1023" s="2" t="str">
        <f t="shared" ref="D1023:D1086" si="15">IF(ISBLANK(B1023),"OK",IF(A1023-B1023=0,"OK","Error?"))</f>
        <v>Error?</v>
      </c>
    </row>
    <row r="1024" spans="1:4" x14ac:dyDescent="0.2">
      <c r="A1024" s="5">
        <v>963</v>
      </c>
      <c r="B1024" s="1832">
        <f>'Expenditures 15-22'!H53</f>
        <v>59128</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2378</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2378</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415</v>
      </c>
      <c r="D1038" s="2" t="str">
        <f t="shared" si="15"/>
        <v>Error?</v>
      </c>
    </row>
    <row r="1039" spans="1:4" x14ac:dyDescent="0.2">
      <c r="A1039" s="5">
        <v>978</v>
      </c>
      <c r="B1039" s="1832">
        <f>'Expenditures 15-22'!H70</f>
        <v>6947</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7362</v>
      </c>
      <c r="C1043" s="2" t="s">
        <v>569</v>
      </c>
      <c r="D1043" s="2" t="str">
        <f t="shared" si="15"/>
        <v>Error?</v>
      </c>
    </row>
    <row r="1044" spans="1:5" x14ac:dyDescent="0.2">
      <c r="A1044" s="5">
        <v>983</v>
      </c>
      <c r="B1044" s="1832">
        <f>'Expenditures 15-22'!H73</f>
        <v>262</v>
      </c>
      <c r="D1044" s="2" t="str">
        <f t="shared" si="15"/>
        <v>Error?</v>
      </c>
    </row>
    <row r="1045" spans="1:5" x14ac:dyDescent="0.2">
      <c r="A1045" s="5">
        <v>984</v>
      </c>
      <c r="B1045" s="1832">
        <f>'Expenditures 15-22'!H74</f>
        <v>69920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71127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1890362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13103782</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195738</v>
      </c>
      <c r="C1105" s="2" t="s">
        <v>569</v>
      </c>
      <c r="D1105" s="2" t="str">
        <f t="shared" si="16"/>
        <v>Error?</v>
      </c>
    </row>
    <row r="1106" spans="1:4" x14ac:dyDescent="0.2">
      <c r="A1106" s="5">
        <v>1045</v>
      </c>
      <c r="B1106" s="1832">
        <f>'Expenditures 15-22'!K14</f>
        <v>734980</v>
      </c>
      <c r="C1106" s="2" t="s">
        <v>569</v>
      </c>
      <c r="D1106" s="2" t="str">
        <f t="shared" si="16"/>
        <v>Error?</v>
      </c>
    </row>
    <row r="1107" spans="1:4" x14ac:dyDescent="0.2">
      <c r="A1107" s="5">
        <v>1046</v>
      </c>
      <c r="B1107" s="1832">
        <f>'Expenditures 15-22'!K15</f>
        <v>6893</v>
      </c>
      <c r="C1107" s="2" t="s">
        <v>569</v>
      </c>
      <c r="D1107" s="2" t="str">
        <f t="shared" si="16"/>
        <v>Error?</v>
      </c>
    </row>
    <row r="1108" spans="1:4" x14ac:dyDescent="0.2">
      <c r="A1108" s="5">
        <v>1047</v>
      </c>
      <c r="B1108" s="1832">
        <f>'Expenditures 15-22'!K33</f>
        <v>24026145</v>
      </c>
      <c r="C1108" s="2" t="s">
        <v>569</v>
      </c>
      <c r="D1108" s="2" t="str">
        <f t="shared" si="16"/>
        <v>Error?</v>
      </c>
    </row>
    <row r="1109" spans="1:4" x14ac:dyDescent="0.2">
      <c r="A1109" s="5">
        <v>1048</v>
      </c>
      <c r="B1109" s="1832">
        <f>'Expenditures 15-22'!K36</f>
        <v>1215345</v>
      </c>
      <c r="C1109" s="2" t="s">
        <v>569</v>
      </c>
      <c r="D1109" s="2" t="str">
        <f t="shared" si="16"/>
        <v>Error?</v>
      </c>
    </row>
    <row r="1110" spans="1:4" x14ac:dyDescent="0.2">
      <c r="A1110" s="5">
        <v>1049</v>
      </c>
      <c r="B1110" s="1832">
        <f>'Expenditures 15-22'!K37</f>
        <v>279340</v>
      </c>
      <c r="C1110" s="2" t="s">
        <v>569</v>
      </c>
      <c r="D1110" s="2" t="str">
        <f t="shared" si="16"/>
        <v>Error?</v>
      </c>
    </row>
    <row r="1111" spans="1:4" x14ac:dyDescent="0.2">
      <c r="A1111" s="5">
        <v>1050</v>
      </c>
      <c r="B1111" s="1832">
        <f>'Expenditures 15-22'!K38</f>
        <v>658919</v>
      </c>
      <c r="C1111" s="2" t="s">
        <v>569</v>
      </c>
      <c r="D1111" s="2" t="str">
        <f t="shared" si="16"/>
        <v>Error?</v>
      </c>
    </row>
    <row r="1112" spans="1:4" x14ac:dyDescent="0.2">
      <c r="A1112" s="5">
        <v>1051</v>
      </c>
      <c r="B1112" s="1832">
        <f>'Expenditures 15-22'!K39</f>
        <v>503056</v>
      </c>
      <c r="C1112" s="2" t="s">
        <v>569</v>
      </c>
      <c r="D1112" s="2" t="str">
        <f t="shared" si="16"/>
        <v>Error?</v>
      </c>
    </row>
    <row r="1113" spans="1:4" x14ac:dyDescent="0.2">
      <c r="A1113" s="5">
        <v>1052</v>
      </c>
      <c r="B1113" s="1832">
        <f>'Expenditures 15-22'!K40</f>
        <v>493375</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3150035</v>
      </c>
      <c r="C1115" s="2" t="s">
        <v>569</v>
      </c>
      <c r="D1115" s="2" t="str">
        <f t="shared" si="16"/>
        <v>Error?</v>
      </c>
    </row>
    <row r="1116" spans="1:4" x14ac:dyDescent="0.2">
      <c r="A1116" s="5">
        <v>1055</v>
      </c>
      <c r="B1116" s="1832">
        <f>'Expenditures 15-22'!K44</f>
        <v>1606042</v>
      </c>
      <c r="C1116" s="2" t="s">
        <v>569</v>
      </c>
      <c r="D1116" s="2" t="str">
        <f t="shared" si="16"/>
        <v>Error?</v>
      </c>
    </row>
    <row r="1117" spans="1:4" x14ac:dyDescent="0.2">
      <c r="A1117" s="5">
        <v>1056</v>
      </c>
      <c r="B1117" s="1832">
        <f>'Expenditures 15-22'!K45</f>
        <v>5613</v>
      </c>
      <c r="C1117" s="2" t="s">
        <v>569</v>
      </c>
      <c r="D1117" s="2" t="str">
        <f t="shared" si="16"/>
        <v>Error?</v>
      </c>
    </row>
    <row r="1118" spans="1:4" x14ac:dyDescent="0.2">
      <c r="A1118" s="5">
        <v>1057</v>
      </c>
      <c r="B1118" s="1832">
        <f>'Expenditures 15-22'!K46</f>
        <v>6731</v>
      </c>
      <c r="C1118" s="2" t="s">
        <v>569</v>
      </c>
      <c r="D1118" s="2" t="str">
        <f t="shared" si="16"/>
        <v>Error?</v>
      </c>
    </row>
    <row r="1119" spans="1:4" x14ac:dyDescent="0.2">
      <c r="A1119" s="5">
        <v>1058</v>
      </c>
      <c r="B1119" s="1832">
        <f>'Expenditures 15-22'!K47</f>
        <v>1618386</v>
      </c>
      <c r="C1119" s="2" t="s">
        <v>569</v>
      </c>
      <c r="D1119" s="2" t="str">
        <f t="shared" si="16"/>
        <v>Error?</v>
      </c>
    </row>
    <row r="1120" spans="1:4" x14ac:dyDescent="0.2">
      <c r="A1120" s="5">
        <v>1059</v>
      </c>
      <c r="B1120" s="1832">
        <f>'Expenditures 15-22'!K49</f>
        <v>138822</v>
      </c>
      <c r="C1120" s="2" t="s">
        <v>569</v>
      </c>
      <c r="D1120" s="2" t="str">
        <f t="shared" si="16"/>
        <v>Error?</v>
      </c>
    </row>
    <row r="1121" spans="1:4" x14ac:dyDescent="0.2">
      <c r="A1121" s="5">
        <v>1060</v>
      </c>
      <c r="B1121" s="1832">
        <f>'Expenditures 15-22'!K50</f>
        <v>397523</v>
      </c>
      <c r="C1121" s="2" t="s">
        <v>569</v>
      </c>
      <c r="D1121" s="2" t="str">
        <f t="shared" si="16"/>
        <v>Error?</v>
      </c>
    </row>
    <row r="1122" spans="1:4" x14ac:dyDescent="0.2">
      <c r="A1122" s="5">
        <v>1061</v>
      </c>
      <c r="B1122" s="1832">
        <f>'Expenditures 15-22'!K53</f>
        <v>1317951</v>
      </c>
      <c r="C1122" s="2" t="s">
        <v>569</v>
      </c>
      <c r="D1122" s="2" t="str">
        <f t="shared" si="16"/>
        <v>Error?</v>
      </c>
    </row>
    <row r="1123" spans="1:4" x14ac:dyDescent="0.2">
      <c r="A1123" s="5">
        <v>1062</v>
      </c>
      <c r="B1123" s="1832">
        <f>'Expenditures 15-22'!K55</f>
        <v>3166738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3166738</v>
      </c>
      <c r="C1125" s="2" t="s">
        <v>569</v>
      </c>
      <c r="D1125" s="2" t="str">
        <f t="shared" si="16"/>
        <v>Error?</v>
      </c>
    </row>
    <row r="1126" spans="1:4" x14ac:dyDescent="0.2">
      <c r="A1126" s="5">
        <v>1065</v>
      </c>
      <c r="B1126" s="1832">
        <f>'Expenditures 15-22'!K59</f>
        <v>100282</v>
      </c>
      <c r="C1126" s="2" t="s">
        <v>569</v>
      </c>
      <c r="D1126" s="2" t="str">
        <f t="shared" si="16"/>
        <v>Error?</v>
      </c>
    </row>
    <row r="1127" spans="1:4" x14ac:dyDescent="0.2">
      <c r="A1127" s="5">
        <v>1066</v>
      </c>
      <c r="B1127" s="1832">
        <f>'Expenditures 15-22'!K60</f>
        <v>460469</v>
      </c>
      <c r="C1127" s="2" t="s">
        <v>569</v>
      </c>
      <c r="D1127" s="2" t="str">
        <f t="shared" si="16"/>
        <v>Error?</v>
      </c>
    </row>
    <row r="1128" spans="1:4" x14ac:dyDescent="0.2">
      <c r="A1128" s="5">
        <v>1067</v>
      </c>
      <c r="B1128" s="1832">
        <f>'Expenditures 15-22'!K61</f>
        <v>1720234</v>
      </c>
      <c r="C1128" s="2" t="s">
        <v>569</v>
      </c>
      <c r="D1128" s="2" t="str">
        <f t="shared" si="16"/>
        <v>Error?</v>
      </c>
    </row>
    <row r="1129" spans="1:4" x14ac:dyDescent="0.2">
      <c r="A1129" s="5">
        <v>1068</v>
      </c>
      <c r="B1129" s="1832">
        <f>'Expenditures 15-22'!K62</f>
        <v>92557</v>
      </c>
      <c r="C1129" s="2" t="s">
        <v>569</v>
      </c>
      <c r="D1129" s="2" t="str">
        <f t="shared" si="16"/>
        <v>Error?</v>
      </c>
    </row>
    <row r="1130" spans="1:4" x14ac:dyDescent="0.2">
      <c r="A1130" s="5">
        <v>1069</v>
      </c>
      <c r="B1130" s="1832">
        <f>'Expenditures 15-22'!K63</f>
        <v>2225460</v>
      </c>
      <c r="C1130" s="2" t="s">
        <v>569</v>
      </c>
      <c r="D1130" s="2" t="str">
        <f t="shared" si="16"/>
        <v>Error?</v>
      </c>
    </row>
    <row r="1131" spans="1:4" x14ac:dyDescent="0.2">
      <c r="A1131" s="5">
        <v>1070</v>
      </c>
      <c r="B1131" s="1832">
        <f>'Expenditures 15-22'!K64</f>
        <v>232740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4831742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1048645</v>
      </c>
      <c r="C1135" s="2" t="s">
        <v>569</v>
      </c>
      <c r="D1135" s="2" t="str">
        <f t="shared" si="16"/>
        <v>Error?</v>
      </c>
    </row>
    <row r="1136" spans="1:4" x14ac:dyDescent="0.2">
      <c r="A1136" s="5">
        <v>1075</v>
      </c>
      <c r="B1136" s="1832">
        <f>'Expenditures 15-22'!K69</f>
        <v>1148175</v>
      </c>
      <c r="C1136" s="2" t="s">
        <v>569</v>
      </c>
      <c r="D1136" s="2" t="str">
        <f t="shared" si="16"/>
        <v>Error?</v>
      </c>
    </row>
    <row r="1137" spans="1:4" x14ac:dyDescent="0.2">
      <c r="A1137" s="5">
        <v>1076</v>
      </c>
      <c r="B1137" s="1832">
        <f>'Expenditures 15-22'!K70</f>
        <v>712765</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4343</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2913928</v>
      </c>
      <c r="C1141" s="2" t="s">
        <v>569</v>
      </c>
      <c r="D1141" s="2" t="str">
        <f t="shared" si="16"/>
        <v>Error?</v>
      </c>
    </row>
    <row r="1142" spans="1:4" x14ac:dyDescent="0.2">
      <c r="A1142" s="5">
        <v>1081</v>
      </c>
      <c r="B1142" s="1832">
        <f>'Expenditures 15-22'!K73</f>
        <v>1070944</v>
      </c>
      <c r="C1142" s="2" t="s">
        <v>569</v>
      </c>
      <c r="D1142" s="2" t="str">
        <f t="shared" si="16"/>
        <v>Error?</v>
      </c>
    </row>
    <row r="1143" spans="1:4" x14ac:dyDescent="0.2">
      <c r="A1143" s="5">
        <v>1082</v>
      </c>
      <c r="B1143" s="1832">
        <f>'Expenditures 15-22'!K74</f>
        <v>18069724</v>
      </c>
      <c r="C1143" s="2" t="s">
        <v>569</v>
      </c>
      <c r="D1143" s="2" t="str">
        <f t="shared" si="16"/>
        <v>Error?</v>
      </c>
    </row>
    <row r="1144" spans="1:4" x14ac:dyDescent="0.2">
      <c r="A1144" s="5">
        <v>1083</v>
      </c>
      <c r="B1144" s="1832">
        <f>'Expenditures 15-22'!K75</f>
        <v>530560</v>
      </c>
      <c r="C1144" s="2" t="s">
        <v>569</v>
      </c>
      <c r="D1144" s="2" t="str">
        <f t="shared" si="16"/>
        <v>Error?</v>
      </c>
    </row>
    <row r="1145" spans="1:4" x14ac:dyDescent="0.2">
      <c r="A1145" s="5">
        <v>1084</v>
      </c>
      <c r="B1145" s="1832">
        <f>'Expenditures 15-22'!K102</f>
        <v>71127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42697556</v>
      </c>
      <c r="C1152" s="2" t="s">
        <v>569</v>
      </c>
      <c r="D1152" s="2" t="str">
        <f t="shared" si="17"/>
        <v>Error?</v>
      </c>
    </row>
    <row r="1153" spans="1:4" x14ac:dyDescent="0.2">
      <c r="A1153" s="5">
        <v>1092</v>
      </c>
      <c r="B1153" s="1832">
        <f>'Expenditures 15-22'!K115</f>
        <v>315599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1084502</v>
      </c>
      <c r="D1221" s="2" t="str">
        <f t="shared" si="18"/>
        <v>Error?</v>
      </c>
    </row>
    <row r="1222" spans="1:4" x14ac:dyDescent="0.2">
      <c r="A1222" s="10">
        <v>1161</v>
      </c>
      <c r="B1222" s="1832"/>
      <c r="D1222" s="2" t="str">
        <f t="shared" si="18"/>
        <v>OK</v>
      </c>
    </row>
    <row r="1223" spans="1:4" x14ac:dyDescent="0.2">
      <c r="A1223" s="5">
        <v>1162</v>
      </c>
      <c r="B1223" s="1832">
        <f>'Expenditures 15-22'!C127</f>
        <v>1084502</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1084502</v>
      </c>
      <c r="C1225" s="2" t="s">
        <v>569</v>
      </c>
      <c r="D1225" s="2" t="str">
        <f t="shared" si="18"/>
        <v>Error?</v>
      </c>
    </row>
    <row r="1226" spans="1:4" x14ac:dyDescent="0.2">
      <c r="A1226" s="5">
        <v>1165</v>
      </c>
      <c r="B1226" s="1832">
        <f>'Expenditures 15-22'!C151</f>
        <v>1084502</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230683</v>
      </c>
      <c r="D1229" s="2" t="str">
        <f t="shared" si="18"/>
        <v>Error?</v>
      </c>
    </row>
    <row r="1230" spans="1:4" x14ac:dyDescent="0.2">
      <c r="A1230" s="10">
        <v>1169</v>
      </c>
      <c r="B1230" s="1832"/>
      <c r="D1230" s="2" t="str">
        <f t="shared" si="18"/>
        <v>OK</v>
      </c>
    </row>
    <row r="1231" spans="1:4" x14ac:dyDescent="0.2">
      <c r="A1231" s="5">
        <v>1170</v>
      </c>
      <c r="B1231" s="1832">
        <f>'Expenditures 15-22'!D127</f>
        <v>230683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230683</v>
      </c>
      <c r="C1233" s="2" t="s">
        <v>569</v>
      </c>
      <c r="D1233" s="2" t="str">
        <f t="shared" si="18"/>
        <v>Error?</v>
      </c>
    </row>
    <row r="1234" spans="1:4" x14ac:dyDescent="0.2">
      <c r="A1234" s="5">
        <v>1173</v>
      </c>
      <c r="B1234" s="1832">
        <f>'Expenditures 15-22'!D151</f>
        <v>230683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444424</v>
      </c>
      <c r="D1237" s="2" t="str">
        <f t="shared" si="18"/>
        <v>Error?</v>
      </c>
    </row>
    <row r="1238" spans="1:4" x14ac:dyDescent="0.2">
      <c r="A1238" s="10">
        <v>1177</v>
      </c>
      <c r="B1238" s="1832"/>
      <c r="D1238" s="2" t="str">
        <f t="shared" si="18"/>
        <v>OK</v>
      </c>
    </row>
    <row r="1239" spans="1:4" x14ac:dyDescent="0.2">
      <c r="A1239" s="5">
        <v>1178</v>
      </c>
      <c r="B1239" s="1832">
        <f>'Expenditures 15-22'!E127</f>
        <v>444424</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444424</v>
      </c>
      <c r="C1241" s="2" t="s">
        <v>569</v>
      </c>
      <c r="D1241" s="2" t="str">
        <f t="shared" si="18"/>
        <v>Error?</v>
      </c>
    </row>
    <row r="1242" spans="1:4" x14ac:dyDescent="0.2">
      <c r="A1242" s="5">
        <v>1181</v>
      </c>
      <c r="B1242" s="1832">
        <f>'Expenditures 15-22'!E151</f>
        <v>444424</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892288</v>
      </c>
      <c r="D1245" s="2" t="str">
        <f t="shared" si="18"/>
        <v>Error?</v>
      </c>
    </row>
    <row r="1246" spans="1:4" x14ac:dyDescent="0.2">
      <c r="A1246" s="10">
        <v>1185</v>
      </c>
      <c r="B1246" s="1832"/>
      <c r="D1246" s="2" t="str">
        <f t="shared" si="18"/>
        <v>OK</v>
      </c>
    </row>
    <row r="1247" spans="1:4" x14ac:dyDescent="0.2">
      <c r="A1247" s="5">
        <v>1186</v>
      </c>
      <c r="B1247" s="1832">
        <f>'Expenditures 15-22'!F127</f>
        <v>892288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892288</v>
      </c>
      <c r="C1249" s="2" t="s">
        <v>569</v>
      </c>
      <c r="D1249" s="2" t="str">
        <f t="shared" si="18"/>
        <v>Error?</v>
      </c>
    </row>
    <row r="1250" spans="1:4" x14ac:dyDescent="0.2">
      <c r="A1250" s="5">
        <v>1189</v>
      </c>
      <c r="B1250" s="1832">
        <f>'Expenditures 15-22'!F151</f>
        <v>892288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2652196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2652196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2652196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2652196</v>
      </c>
      <c r="C1288" s="2" t="s">
        <v>569</v>
      </c>
      <c r="D1288" s="2" t="str">
        <f t="shared" si="19"/>
        <v>Error?</v>
      </c>
    </row>
    <row r="1289" spans="1:4" x14ac:dyDescent="0.2">
      <c r="A1289" s="5">
        <v>1228</v>
      </c>
      <c r="B1289" s="1832">
        <f>'Expenditures 15-22'!K152</f>
        <v>276398</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774540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2115000</v>
      </c>
      <c r="D1315" s="2" t="str">
        <f t="shared" si="19"/>
        <v>Error?</v>
      </c>
    </row>
    <row r="1316" spans="1:4" x14ac:dyDescent="0.2">
      <c r="A1316" s="5">
        <v>1255</v>
      </c>
      <c r="B1316" s="1832">
        <f>'Expenditures 15-22'!H171</f>
        <v>2277</v>
      </c>
      <c r="D1316" s="2" t="str">
        <f t="shared" si="19"/>
        <v>Error?</v>
      </c>
    </row>
    <row r="1317" spans="1:4" x14ac:dyDescent="0.2">
      <c r="A1317" s="5">
        <v>1256</v>
      </c>
      <c r="B1317" s="1832">
        <f>'Expenditures 15-22'!H172</f>
        <v>2891817</v>
      </c>
      <c r="C1317" s="2" t="s">
        <v>569</v>
      </c>
      <c r="D1317" s="2" t="str">
        <f t="shared" si="19"/>
        <v>Error?</v>
      </c>
    </row>
    <row r="1318" spans="1:4" x14ac:dyDescent="0.2">
      <c r="A1318" s="5">
        <v>1257</v>
      </c>
      <c r="B1318" s="1832">
        <f>'Expenditures 15-22'!H174</f>
        <v>2891817</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774540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2115000</v>
      </c>
      <c r="C1329" s="2" t="s">
        <v>569</v>
      </c>
      <c r="D1329" s="2" t="str">
        <f t="shared" si="19"/>
        <v>Error?</v>
      </c>
    </row>
    <row r="1330" spans="1:4" x14ac:dyDescent="0.2">
      <c r="A1330" s="5">
        <v>1269</v>
      </c>
      <c r="B1330" s="1832">
        <f>'Expenditures 15-22'!K171</f>
        <v>2277</v>
      </c>
      <c r="C1330" s="2" t="s">
        <v>569</v>
      </c>
      <c r="D1330" s="2" t="str">
        <f t="shared" si="19"/>
        <v>Error?</v>
      </c>
    </row>
    <row r="1331" spans="1:4" x14ac:dyDescent="0.2">
      <c r="A1331" s="5">
        <v>1270</v>
      </c>
      <c r="B1331" s="1832">
        <f>'Expenditures 15-22'!K172</f>
        <v>2891817</v>
      </c>
      <c r="C1331" s="2" t="s">
        <v>569</v>
      </c>
      <c r="D1331" s="2" t="str">
        <f t="shared" si="19"/>
        <v>Error?</v>
      </c>
    </row>
    <row r="1332" spans="1:4" x14ac:dyDescent="0.2">
      <c r="A1332" s="5">
        <v>1271</v>
      </c>
      <c r="B1332" s="1832">
        <f>'Expenditures 15-22'!K174</f>
        <v>2891817</v>
      </c>
      <c r="C1332" s="2" t="s">
        <v>569</v>
      </c>
      <c r="D1332" s="2" t="str">
        <f t="shared" si="19"/>
        <v>Error?</v>
      </c>
    </row>
    <row r="1333" spans="1:4" x14ac:dyDescent="0.2">
      <c r="A1333" s="5">
        <v>1272</v>
      </c>
      <c r="B1333" s="1832">
        <f>'Expenditures 15-22'!K175</f>
        <v>36739</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334345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334345</v>
      </c>
      <c r="C1339" s="2" t="s">
        <v>569</v>
      </c>
      <c r="D1339" s="2" t="str">
        <f t="shared" si="19"/>
        <v>Error?</v>
      </c>
    </row>
    <row r="1340" spans="1:4" x14ac:dyDescent="0.2">
      <c r="A1340" s="5">
        <v>1279</v>
      </c>
      <c r="B1340" s="1832">
        <f>'Expenditures 15-22'!C210</f>
        <v>334345</v>
      </c>
      <c r="C1340" s="2" t="s">
        <v>569</v>
      </c>
      <c r="D1340" s="2" t="str">
        <f t="shared" si="19"/>
        <v>Error?</v>
      </c>
    </row>
    <row r="1341" spans="1:4" x14ac:dyDescent="0.2">
      <c r="A1341" s="5">
        <v>1280</v>
      </c>
      <c r="B1341" s="1832">
        <f>'Expenditures 15-22'!D182</f>
        <v>141876</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141876</v>
      </c>
      <c r="C1345" s="2" t="s">
        <v>569</v>
      </c>
      <c r="D1345" s="2" t="str">
        <f t="shared" si="20"/>
        <v>Error?</v>
      </c>
    </row>
    <row r="1346" spans="1:4" x14ac:dyDescent="0.2">
      <c r="A1346" s="5">
        <v>1285</v>
      </c>
      <c r="B1346" s="1832">
        <f>'Expenditures 15-22'!D210</f>
        <v>141876</v>
      </c>
      <c r="C1346" s="2" t="s">
        <v>569</v>
      </c>
      <c r="D1346" s="2" t="str">
        <f t="shared" si="20"/>
        <v>Error?</v>
      </c>
    </row>
    <row r="1347" spans="1:4" x14ac:dyDescent="0.2">
      <c r="A1347" s="5">
        <v>1286</v>
      </c>
      <c r="B1347" s="1832">
        <f>'Expenditures 15-22'!E182</f>
        <v>2156846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2156846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2156846</v>
      </c>
      <c r="C1353" s="2" t="s">
        <v>569</v>
      </c>
      <c r="D1353" s="2" t="str">
        <f t="shared" si="20"/>
        <v>Error?</v>
      </c>
    </row>
    <row r="1354" spans="1:4" x14ac:dyDescent="0.2">
      <c r="A1354" s="5">
        <v>1293</v>
      </c>
      <c r="B1354" s="1832">
        <f>'Expenditures 15-22'!F182</f>
        <v>273909</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273909</v>
      </c>
      <c r="C1358" s="2" t="s">
        <v>569</v>
      </c>
      <c r="D1358" s="2" t="str">
        <f t="shared" si="20"/>
        <v>Error?</v>
      </c>
    </row>
    <row r="1359" spans="1:4" x14ac:dyDescent="0.2">
      <c r="A1359" s="5">
        <v>1298</v>
      </c>
      <c r="B1359" s="1832">
        <f>'Expenditures 15-22'!F210</f>
        <v>273909</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2906976</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2906976</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2906976</v>
      </c>
      <c r="C1388" s="2" t="s">
        <v>569</v>
      </c>
      <c r="D1388" s="2" t="str">
        <f t="shared" si="20"/>
        <v>Error?</v>
      </c>
    </row>
    <row r="1389" spans="1:4" x14ac:dyDescent="0.2">
      <c r="A1389" s="5">
        <v>1328</v>
      </c>
      <c r="B1389" s="1832">
        <f>'Expenditures 15-22'!K211</f>
        <v>13653</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33509</v>
      </c>
      <c r="D1408" s="2" t="str">
        <f t="shared" si="21"/>
        <v>Error?</v>
      </c>
    </row>
    <row r="1409" spans="1:4" x14ac:dyDescent="0.2">
      <c r="A1409" s="5">
        <v>1348</v>
      </c>
      <c r="B1409" s="1832">
        <f>'Expenditures 15-22'!D224</f>
        <v>89</v>
      </c>
      <c r="D1409" s="2" t="str">
        <f t="shared" si="21"/>
        <v>Error?</v>
      </c>
    </row>
    <row r="1410" spans="1:4" x14ac:dyDescent="0.2">
      <c r="A1410" s="5">
        <v>1349</v>
      </c>
      <c r="B1410" s="1832">
        <f>'Expenditures 15-22'!D229</f>
        <v>562078</v>
      </c>
      <c r="C1410" s="2" t="s">
        <v>569</v>
      </c>
      <c r="D1410" s="2" t="str">
        <f t="shared" si="21"/>
        <v>Error?</v>
      </c>
    </row>
    <row r="1411" spans="1:4" x14ac:dyDescent="0.2">
      <c r="A1411" s="5">
        <v>1350</v>
      </c>
      <c r="B1411" s="1832">
        <f>'Expenditures 15-22'!D232</f>
        <v>86701</v>
      </c>
      <c r="D1411" s="2" t="str">
        <f t="shared" si="21"/>
        <v>Error?</v>
      </c>
    </row>
    <row r="1412" spans="1:4" x14ac:dyDescent="0.2">
      <c r="A1412" s="5">
        <v>1351</v>
      </c>
      <c r="B1412" s="1832">
        <f>'Expenditures 15-22'!D233</f>
        <v>2877</v>
      </c>
      <c r="D1412" s="2" t="str">
        <f t="shared" si="21"/>
        <v>Error?</v>
      </c>
    </row>
    <row r="1413" spans="1:4" x14ac:dyDescent="0.2">
      <c r="A1413" s="5">
        <v>1352</v>
      </c>
      <c r="B1413" s="1832">
        <f>'Expenditures 15-22'!D234</f>
        <v>80296</v>
      </c>
      <c r="D1413" s="2" t="str">
        <f t="shared" si="21"/>
        <v>Error?</v>
      </c>
    </row>
    <row r="1414" spans="1:4" x14ac:dyDescent="0.2">
      <c r="A1414" s="5">
        <v>1353</v>
      </c>
      <c r="B1414" s="1832">
        <f>'Expenditures 15-22'!D235</f>
        <v>5229</v>
      </c>
      <c r="D1414" s="2" t="str">
        <f t="shared" si="21"/>
        <v>Error?</v>
      </c>
    </row>
    <row r="1415" spans="1:4" x14ac:dyDescent="0.2">
      <c r="A1415" s="5">
        <v>1354</v>
      </c>
      <c r="B1415" s="1832">
        <f>'Expenditures 15-22'!D236</f>
        <v>5345</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180448</v>
      </c>
      <c r="C1417" s="2" t="s">
        <v>569</v>
      </c>
      <c r="D1417" s="2" t="str">
        <f t="shared" si="21"/>
        <v>Error?</v>
      </c>
    </row>
    <row r="1418" spans="1:4" x14ac:dyDescent="0.2">
      <c r="A1418" s="5">
        <v>1357</v>
      </c>
      <c r="B1418" s="1832">
        <f>'Expenditures 15-22'!D240</f>
        <v>57131</v>
      </c>
      <c r="D1418" s="2" t="str">
        <f t="shared" si="21"/>
        <v>Error?</v>
      </c>
    </row>
    <row r="1419" spans="1:4" x14ac:dyDescent="0.2">
      <c r="A1419" s="5">
        <v>1358</v>
      </c>
      <c r="B1419" s="1832">
        <f>'Expenditures 15-22'!D241</f>
        <v>343</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57474</v>
      </c>
      <c r="C1421" s="2" t="s">
        <v>569</v>
      </c>
      <c r="D1421" s="2" t="str">
        <f t="shared" si="21"/>
        <v>Error?</v>
      </c>
    </row>
    <row r="1422" spans="1:4" x14ac:dyDescent="0.2">
      <c r="A1422" s="5">
        <v>1361</v>
      </c>
      <c r="B1422" s="1832">
        <f>'Expenditures 15-22'!D245</f>
        <v>1494</v>
      </c>
      <c r="D1422" s="2" t="str">
        <f t="shared" si="21"/>
        <v>Error?</v>
      </c>
    </row>
    <row r="1423" spans="1:4" x14ac:dyDescent="0.2">
      <c r="A1423" s="5">
        <v>1362</v>
      </c>
      <c r="B1423" s="1832">
        <f>'Expenditures 15-22'!D246</f>
        <v>22027</v>
      </c>
      <c r="D1423" s="2" t="str">
        <f t="shared" si="21"/>
        <v>Error?</v>
      </c>
    </row>
    <row r="1424" spans="1:4" x14ac:dyDescent="0.2">
      <c r="A1424" s="5">
        <v>1363</v>
      </c>
      <c r="B1424" s="1832">
        <f>'Expenditures 15-22'!D257</f>
        <v>175784</v>
      </c>
      <c r="C1424" s="2" t="s">
        <v>569</v>
      </c>
      <c r="D1424" s="2" t="str">
        <f t="shared" si="21"/>
        <v>Error?</v>
      </c>
    </row>
    <row r="1425" spans="1:4" x14ac:dyDescent="0.2">
      <c r="A1425" s="5">
        <v>1364</v>
      </c>
      <c r="B1425" s="1832">
        <f>'Expenditures 15-22'!D259</f>
        <v>164045</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164045</v>
      </c>
      <c r="C1427" s="2" t="s">
        <v>569</v>
      </c>
      <c r="D1427" s="2" t="str">
        <f t="shared" si="21"/>
        <v>Error?</v>
      </c>
    </row>
    <row r="1428" spans="1:4" x14ac:dyDescent="0.2">
      <c r="A1428" s="5">
        <v>1367</v>
      </c>
      <c r="B1428" s="1832">
        <f>'Expenditures 15-22'!D263</f>
        <v>14398</v>
      </c>
      <c r="D1428" s="2" t="str">
        <f t="shared" si="21"/>
        <v>Error?</v>
      </c>
    </row>
    <row r="1429" spans="1:4" x14ac:dyDescent="0.2">
      <c r="A1429" s="5">
        <v>1368</v>
      </c>
      <c r="B1429" s="1832">
        <f>'Expenditures 15-22'!D264</f>
        <v>62463</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426462</v>
      </c>
      <c r="D1431" s="2" t="str">
        <f t="shared" si="21"/>
        <v>Error?</v>
      </c>
    </row>
    <row r="1432" spans="1:4" x14ac:dyDescent="0.2">
      <c r="A1432" s="5">
        <v>1371</v>
      </c>
      <c r="B1432" s="1832">
        <f>'Expenditures 15-22'!D267</f>
        <v>57641</v>
      </c>
      <c r="D1432" s="2" t="str">
        <f t="shared" si="21"/>
        <v>Error?</v>
      </c>
    </row>
    <row r="1433" spans="1:4" x14ac:dyDescent="0.2">
      <c r="A1433" s="5">
        <v>1372</v>
      </c>
      <c r="B1433" s="1832">
        <f>'Expenditures 15-22'!D268</f>
        <v>62659</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623623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69536</v>
      </c>
      <c r="D1439" s="2" t="str">
        <f t="shared" si="21"/>
        <v>Error?</v>
      </c>
    </row>
    <row r="1440" spans="1:4" x14ac:dyDescent="0.2">
      <c r="A1440" s="5">
        <v>1379</v>
      </c>
      <c r="B1440" s="1832">
        <f>'Expenditures 15-22'!D275</f>
        <v>73459</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142995</v>
      </c>
      <c r="C1444" s="2" t="s">
        <v>569</v>
      </c>
      <c r="D1444" s="2" t="str">
        <f t="shared" si="21"/>
        <v>Error?</v>
      </c>
    </row>
    <row r="1445" spans="1:4" x14ac:dyDescent="0.2">
      <c r="A1445" s="5">
        <v>1384</v>
      </c>
      <c r="B1445" s="1832">
        <f>'Expenditures 15-22'!D278</f>
        <v>100704</v>
      </c>
      <c r="D1445" s="2" t="str">
        <f t="shared" si="21"/>
        <v>Error?</v>
      </c>
    </row>
    <row r="1446" spans="1:4" x14ac:dyDescent="0.2">
      <c r="A1446" s="5">
        <v>1385</v>
      </c>
      <c r="B1446" s="1832">
        <f>'Expenditures 15-22'!D279</f>
        <v>1445073</v>
      </c>
      <c r="C1446" s="2" t="s">
        <v>569</v>
      </c>
      <c r="D1446" s="2" t="str">
        <f t="shared" si="21"/>
        <v>Error?</v>
      </c>
    </row>
    <row r="1447" spans="1:4" x14ac:dyDescent="0.2">
      <c r="A1447" s="5">
        <v>1386</v>
      </c>
      <c r="B1447" s="1832">
        <f>'Expenditures 15-22'!D280</f>
        <v>62269</v>
      </c>
      <c r="D1447" s="2" t="str">
        <f t="shared" si="21"/>
        <v>Error?</v>
      </c>
    </row>
    <row r="1448" spans="1:4" x14ac:dyDescent="0.2">
      <c r="A1448" s="5">
        <v>1387</v>
      </c>
      <c r="B1448" s="1832">
        <f>'Expenditures 15-22'!D295</f>
        <v>2069420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33509</v>
      </c>
      <c r="C1472" s="2" t="s">
        <v>569</v>
      </c>
      <c r="D1472" s="2" t="str">
        <f t="shared" si="22"/>
        <v>Error?</v>
      </c>
    </row>
    <row r="1473" spans="1:4" x14ac:dyDescent="0.2">
      <c r="A1473" s="5">
        <v>1412</v>
      </c>
      <c r="B1473" s="1832">
        <f>'Expenditures 15-22'!K224</f>
        <v>89</v>
      </c>
      <c r="C1473" s="2" t="s">
        <v>569</v>
      </c>
      <c r="D1473" s="2" t="str">
        <f t="shared" si="22"/>
        <v>Error?</v>
      </c>
    </row>
    <row r="1474" spans="1:4" x14ac:dyDescent="0.2">
      <c r="A1474" s="5">
        <v>1413</v>
      </c>
      <c r="B1474" s="1832">
        <f>'Expenditures 15-22'!K229</f>
        <v>562078</v>
      </c>
      <c r="C1474" s="2" t="s">
        <v>569</v>
      </c>
      <c r="D1474" s="2" t="str">
        <f t="shared" si="22"/>
        <v>Error?</v>
      </c>
    </row>
    <row r="1475" spans="1:4" x14ac:dyDescent="0.2">
      <c r="A1475" s="5">
        <v>1414</v>
      </c>
      <c r="B1475" s="1832">
        <f>'Expenditures 15-22'!K232</f>
        <v>86701</v>
      </c>
      <c r="C1475" s="2" t="s">
        <v>569</v>
      </c>
      <c r="D1475" s="2" t="str">
        <f t="shared" si="22"/>
        <v>Error?</v>
      </c>
    </row>
    <row r="1476" spans="1:4" x14ac:dyDescent="0.2">
      <c r="A1476" s="5">
        <v>1415</v>
      </c>
      <c r="B1476" s="1832">
        <f>'Expenditures 15-22'!K233</f>
        <v>2877</v>
      </c>
      <c r="C1476" s="2" t="s">
        <v>569</v>
      </c>
      <c r="D1476" s="2" t="str">
        <f t="shared" si="22"/>
        <v>Error?</v>
      </c>
    </row>
    <row r="1477" spans="1:4" x14ac:dyDescent="0.2">
      <c r="A1477" s="5">
        <v>1416</v>
      </c>
      <c r="B1477" s="1832">
        <f>'Expenditures 15-22'!K234</f>
        <v>80296</v>
      </c>
      <c r="C1477" s="2" t="s">
        <v>569</v>
      </c>
      <c r="D1477" s="2" t="str">
        <f t="shared" si="22"/>
        <v>Error?</v>
      </c>
    </row>
    <row r="1478" spans="1:4" x14ac:dyDescent="0.2">
      <c r="A1478" s="5">
        <v>1417</v>
      </c>
      <c r="B1478" s="1832">
        <f>'Expenditures 15-22'!K235</f>
        <v>5229</v>
      </c>
      <c r="C1478" s="2" t="s">
        <v>569</v>
      </c>
      <c r="D1478" s="2" t="str">
        <f t="shared" si="22"/>
        <v>Error?</v>
      </c>
    </row>
    <row r="1479" spans="1:4" x14ac:dyDescent="0.2">
      <c r="A1479" s="5">
        <v>1418</v>
      </c>
      <c r="B1479" s="1832">
        <f>'Expenditures 15-22'!K236</f>
        <v>5345</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180448</v>
      </c>
      <c r="C1481" s="2" t="s">
        <v>569</v>
      </c>
      <c r="D1481" s="2" t="str">
        <f t="shared" si="22"/>
        <v>Error?</v>
      </c>
    </row>
    <row r="1482" spans="1:4" x14ac:dyDescent="0.2">
      <c r="A1482" s="5">
        <v>1421</v>
      </c>
      <c r="B1482" s="1832">
        <f>'Expenditures 15-22'!K240</f>
        <v>57131</v>
      </c>
      <c r="C1482" s="2" t="s">
        <v>569</v>
      </c>
      <c r="D1482" s="2" t="str">
        <f t="shared" si="22"/>
        <v>Error?</v>
      </c>
    </row>
    <row r="1483" spans="1:4" x14ac:dyDescent="0.2">
      <c r="A1483" s="5">
        <v>1422</v>
      </c>
      <c r="B1483" s="1832">
        <f>'Expenditures 15-22'!K241</f>
        <v>343</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57474</v>
      </c>
      <c r="C1485" s="2" t="s">
        <v>569</v>
      </c>
      <c r="D1485" s="2" t="str">
        <f t="shared" si="22"/>
        <v>Error?</v>
      </c>
    </row>
    <row r="1486" spans="1:4" x14ac:dyDescent="0.2">
      <c r="A1486" s="5">
        <v>1425</v>
      </c>
      <c r="B1486" s="1832">
        <f>'Expenditures 15-22'!K245</f>
        <v>1494</v>
      </c>
      <c r="C1486" s="2" t="s">
        <v>569</v>
      </c>
      <c r="D1486" s="2" t="str">
        <f t="shared" si="22"/>
        <v>Error?</v>
      </c>
    </row>
    <row r="1487" spans="1:4" x14ac:dyDescent="0.2">
      <c r="A1487" s="5">
        <v>1426</v>
      </c>
      <c r="B1487" s="1832">
        <f>'Expenditures 15-22'!K246</f>
        <v>22027</v>
      </c>
      <c r="C1487" s="2" t="s">
        <v>569</v>
      </c>
      <c r="D1487" s="2" t="str">
        <f t="shared" si="22"/>
        <v>Error?</v>
      </c>
    </row>
    <row r="1488" spans="1:4" x14ac:dyDescent="0.2">
      <c r="A1488" s="5">
        <v>1427</v>
      </c>
      <c r="B1488" s="1832">
        <f>'Expenditures 15-22'!K257</f>
        <v>175784</v>
      </c>
      <c r="C1488" s="2" t="s">
        <v>569</v>
      </c>
      <c r="D1488" s="2" t="str">
        <f t="shared" si="22"/>
        <v>Error?</v>
      </c>
    </row>
    <row r="1489" spans="1:4" x14ac:dyDescent="0.2">
      <c r="A1489" s="5">
        <v>1428</v>
      </c>
      <c r="B1489" s="1832">
        <f>'Expenditures 15-22'!K259</f>
        <v>164045</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164045</v>
      </c>
      <c r="C1491" s="2" t="s">
        <v>569</v>
      </c>
      <c r="D1491" s="2" t="str">
        <f t="shared" si="22"/>
        <v>Error?</v>
      </c>
    </row>
    <row r="1492" spans="1:4" x14ac:dyDescent="0.2">
      <c r="A1492" s="5">
        <v>1431</v>
      </c>
      <c r="B1492" s="1832">
        <f>'Expenditures 15-22'!K263</f>
        <v>14398</v>
      </c>
      <c r="C1492" s="2" t="s">
        <v>569</v>
      </c>
      <c r="D1492" s="2" t="str">
        <f t="shared" si="22"/>
        <v>Error?</v>
      </c>
    </row>
    <row r="1493" spans="1:4" x14ac:dyDescent="0.2">
      <c r="A1493" s="5">
        <v>1432</v>
      </c>
      <c r="B1493" s="1832">
        <f>'Expenditures 15-22'!K264</f>
        <v>62463</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426462</v>
      </c>
      <c r="C1495" s="2" t="s">
        <v>569</v>
      </c>
      <c r="D1495" s="2" t="str">
        <f t="shared" si="22"/>
        <v>Error?</v>
      </c>
    </row>
    <row r="1496" spans="1:4" x14ac:dyDescent="0.2">
      <c r="A1496" s="5">
        <v>1435</v>
      </c>
      <c r="B1496" s="1832">
        <f>'Expenditures 15-22'!K267</f>
        <v>57641</v>
      </c>
      <c r="C1496" s="2" t="s">
        <v>569</v>
      </c>
      <c r="D1496" s="2" t="str">
        <f t="shared" si="22"/>
        <v>Error?</v>
      </c>
    </row>
    <row r="1497" spans="1:4" x14ac:dyDescent="0.2">
      <c r="A1497" s="5">
        <v>1436</v>
      </c>
      <c r="B1497" s="1832">
        <f>'Expenditures 15-22'!K268</f>
        <v>62659</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623623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69536</v>
      </c>
      <c r="C1503" s="2" t="s">
        <v>569</v>
      </c>
      <c r="D1503" s="2" t="str">
        <f t="shared" si="22"/>
        <v>Error?</v>
      </c>
    </row>
    <row r="1504" spans="1:4" x14ac:dyDescent="0.2">
      <c r="A1504" s="5">
        <v>1443</v>
      </c>
      <c r="B1504" s="1832">
        <f>'Expenditures 15-22'!K275</f>
        <v>73459</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142995</v>
      </c>
      <c r="C1508" s="2" t="s">
        <v>569</v>
      </c>
      <c r="D1508" s="2" t="str">
        <f t="shared" si="22"/>
        <v>Error?</v>
      </c>
    </row>
    <row r="1509" spans="1:4" x14ac:dyDescent="0.2">
      <c r="A1509" s="5">
        <v>1448</v>
      </c>
      <c r="B1509" s="1832">
        <f>'Expenditures 15-22'!K278</f>
        <v>100704</v>
      </c>
      <c r="C1509" s="2" t="s">
        <v>569</v>
      </c>
      <c r="D1509" s="2" t="str">
        <f t="shared" si="22"/>
        <v>Error?</v>
      </c>
    </row>
    <row r="1510" spans="1:4" x14ac:dyDescent="0.2">
      <c r="A1510" s="5">
        <v>1449</v>
      </c>
      <c r="B1510" s="1832">
        <f>'Expenditures 15-22'!K279</f>
        <v>1445073</v>
      </c>
      <c r="C1510" s="2" t="s">
        <v>569</v>
      </c>
      <c r="D1510" s="2" t="str">
        <f t="shared" si="22"/>
        <v>Error?</v>
      </c>
    </row>
    <row r="1511" spans="1:4" x14ac:dyDescent="0.2">
      <c r="A1511" s="5">
        <v>1450</v>
      </c>
      <c r="B1511" s="1832">
        <f>'Expenditures 15-22'!K280</f>
        <v>62269</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2069420</v>
      </c>
      <c r="C1517" s="2" t="s">
        <v>569</v>
      </c>
      <c r="D1517" s="2" t="str">
        <f t="shared" si="22"/>
        <v>Error?</v>
      </c>
    </row>
    <row r="1518" spans="1:4" x14ac:dyDescent="0.2">
      <c r="A1518" s="5">
        <v>1457</v>
      </c>
      <c r="B1518" s="1832">
        <f>'Expenditures 15-22'!K296</f>
        <v>-135493</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315927</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315927</v>
      </c>
      <c r="C1535" s="2" t="s">
        <v>569</v>
      </c>
      <c r="D1535" s="2" t="str">
        <f t="shared" ref="D1535:D1598" si="23">IF(ISBLANK(B1535),"OK",IF(A1535-B1535=0,"OK","Error?"))</f>
        <v>Error?</v>
      </c>
    </row>
    <row r="1536" spans="1:4" x14ac:dyDescent="0.2">
      <c r="A1536" s="5">
        <v>1475</v>
      </c>
      <c r="B1536" s="1832">
        <f>'Expenditures 15-22'!E312</f>
        <v>315927</v>
      </c>
      <c r="C1536" s="2" t="s">
        <v>569</v>
      </c>
      <c r="D1536" s="2" t="str">
        <f t="shared" si="23"/>
        <v>Error?</v>
      </c>
    </row>
    <row r="1537" spans="1:4" x14ac:dyDescent="0.2">
      <c r="A1537" s="5">
        <v>1476</v>
      </c>
      <c r="B1537" s="1832">
        <f>'Expenditures 15-22'!F301</f>
        <v>86923</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86923</v>
      </c>
      <c r="C1541" s="2" t="s">
        <v>569</v>
      </c>
      <c r="D1541" s="2" t="str">
        <f t="shared" si="23"/>
        <v>Error?</v>
      </c>
    </row>
    <row r="1542" spans="1:4" x14ac:dyDescent="0.2">
      <c r="A1542" s="5">
        <v>1481</v>
      </c>
      <c r="B1542" s="1832">
        <f>'Expenditures 15-22'!F312</f>
        <v>86923</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402850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402850</v>
      </c>
      <c r="C1559" s="2" t="s">
        <v>569</v>
      </c>
      <c r="D1559" s="2" t="str">
        <f t="shared" si="23"/>
        <v>Error?</v>
      </c>
    </row>
    <row r="1560" spans="1:4" x14ac:dyDescent="0.2">
      <c r="A1560" s="5">
        <v>1499</v>
      </c>
      <c r="B1560" s="1832">
        <f>'Expenditures 15-22'!K312</f>
        <v>402850</v>
      </c>
      <c r="C1560" s="2" t="s">
        <v>569</v>
      </c>
      <c r="D1560" s="2" t="str">
        <f t="shared" si="23"/>
        <v>Error?</v>
      </c>
    </row>
    <row r="1561" spans="1:4" x14ac:dyDescent="0.2">
      <c r="A1561" s="5">
        <v>1500</v>
      </c>
      <c r="B1561" s="1832">
        <f>'Expenditures 15-22'!K313</f>
        <v>-393580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6125664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6441263</v>
      </c>
      <c r="C1630" s="2" t="s">
        <v>569</v>
      </c>
      <c r="D1630" s="2" t="str">
        <f t="shared" si="24"/>
        <v>Error?</v>
      </c>
    </row>
    <row r="1631" spans="1:4" x14ac:dyDescent="0.2">
      <c r="A1631" s="5">
        <v>1570</v>
      </c>
      <c r="B1631" s="1832">
        <f>'Acct Summary 7-8'!D79</f>
        <v>691781</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3770628</v>
      </c>
      <c r="C1644" s="2" t="s">
        <v>569</v>
      </c>
      <c r="D1644" s="2" t="str">
        <f t="shared" si="24"/>
        <v>Error?</v>
      </c>
    </row>
    <row r="1645" spans="1:4" x14ac:dyDescent="0.2">
      <c r="A1645" s="5">
        <v>1584</v>
      </c>
      <c r="B1645" s="1832">
        <f>'Acct Summary 7-8'!E79</f>
        <v>-378718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-341979</v>
      </c>
      <c r="C1658" s="2" t="s">
        <v>569</v>
      </c>
      <c r="D1658" s="2" t="str">
        <f t="shared" si="24"/>
        <v>Error?</v>
      </c>
    </row>
    <row r="1659" spans="1:4" x14ac:dyDescent="0.2">
      <c r="A1659" s="5">
        <v>1598</v>
      </c>
      <c r="B1659" s="1832">
        <f>'Acct Summary 7-8'!F79</f>
        <v>3145668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4549321</v>
      </c>
      <c r="C1672" s="2" t="s">
        <v>569</v>
      </c>
      <c r="D1672" s="2" t="str">
        <f t="shared" si="25"/>
        <v>Error?</v>
      </c>
    </row>
    <row r="1673" spans="1:4" x14ac:dyDescent="0.2">
      <c r="A1673" s="5">
        <v>1612</v>
      </c>
      <c r="B1673" s="1832">
        <f>'Acct Summary 7-8'!G79</f>
        <v>1005237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869744</v>
      </c>
      <c r="C1686" s="2" t="s">
        <v>569</v>
      </c>
      <c r="D1686" s="2" t="str">
        <f t="shared" si="25"/>
        <v>Error?</v>
      </c>
    </row>
    <row r="1687" spans="1:4" x14ac:dyDescent="0.2">
      <c r="A1687" s="5">
        <v>1626</v>
      </c>
      <c r="B1687" s="1832">
        <f>'Acct Summary 7-8'!H79</f>
        <v>951219</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1308629</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1779474</v>
      </c>
      <c r="C1744" s="2" t="s">
        <v>569</v>
      </c>
      <c r="D1744" s="2" t="str">
        <f t="shared" si="26"/>
        <v>Error?</v>
      </c>
    </row>
    <row r="1745" spans="1:5" x14ac:dyDescent="0.2">
      <c r="A1745" s="5">
        <v>1684</v>
      </c>
      <c r="B1745" s="1832">
        <f>'Tax Sched 23'!B5</f>
        <v>258647</v>
      </c>
      <c r="C1745" s="2" t="s">
        <v>569</v>
      </c>
      <c r="D1745" s="2" t="str">
        <f t="shared" si="26"/>
        <v>Error?</v>
      </c>
    </row>
    <row r="1746" spans="1:5" x14ac:dyDescent="0.2">
      <c r="A1746" s="5">
        <v>1685</v>
      </c>
      <c r="B1746" s="1832">
        <f>'Tax Sched 23'!B6</f>
        <v>2285257</v>
      </c>
      <c r="C1746" s="2" t="s">
        <v>569</v>
      </c>
      <c r="D1746" s="2" t="str">
        <f t="shared" si="26"/>
        <v>Error?</v>
      </c>
    </row>
    <row r="1747" spans="1:5" x14ac:dyDescent="0.2">
      <c r="A1747" s="5">
        <v>1686</v>
      </c>
      <c r="B1747" s="1832">
        <f>'Tax Sched 23'!B7</f>
        <v>137942</v>
      </c>
      <c r="C1747" s="2" t="s">
        <v>569</v>
      </c>
      <c r="D1747" s="2" t="str">
        <f t="shared" si="26"/>
        <v>Error?</v>
      </c>
    </row>
    <row r="1748" spans="1:5" x14ac:dyDescent="0.2">
      <c r="A1748" s="5">
        <v>1687</v>
      </c>
      <c r="B1748" s="1832">
        <f>'Tax Sched 23'!B8</f>
        <v>749589</v>
      </c>
      <c r="C1748" s="2" t="s">
        <v>569</v>
      </c>
      <c r="D1748" s="2" t="str">
        <f t="shared" si="26"/>
        <v>Error?</v>
      </c>
    </row>
    <row r="1749" spans="1:5" x14ac:dyDescent="0.2">
      <c r="A1749" s="5">
        <v>1688</v>
      </c>
      <c r="B1749" s="1832">
        <f>'Tax Sched 23'!B10</f>
        <v>34490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2852625</v>
      </c>
      <c r="C1752" s="2" t="s">
        <v>569</v>
      </c>
      <c r="D1752" s="2" t="str">
        <f t="shared" si="26"/>
        <v>Error?</v>
      </c>
    </row>
    <row r="1753" spans="1:5" x14ac:dyDescent="0.2">
      <c r="A1753" s="5">
        <v>1692</v>
      </c>
      <c r="B1753" s="1832">
        <f>'Tax Sched 23'!B12</f>
        <v>34490</v>
      </c>
      <c r="C1753" s="2" t="s">
        <v>569</v>
      </c>
      <c r="D1753" s="2" t="str">
        <f t="shared" si="26"/>
        <v>Error?</v>
      </c>
    </row>
    <row r="1754" spans="1:5" x14ac:dyDescent="0.2">
      <c r="A1754" s="5">
        <v>1693</v>
      </c>
      <c r="B1754" s="1832">
        <f>'Tax Sched 23'!B14</f>
        <v>27585</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8740438</v>
      </c>
      <c r="C1759" s="2" t="s">
        <v>569</v>
      </c>
      <c r="D1759" s="2" t="str">
        <f t="shared" si="26"/>
        <v>Error?</v>
      </c>
    </row>
    <row r="1760" spans="1:5" x14ac:dyDescent="0.2">
      <c r="A1760" s="5">
        <v>1699</v>
      </c>
      <c r="B1760" s="1832">
        <f>'Tax Sched 23'!D4</f>
        <v>1779474</v>
      </c>
      <c r="C1760" s="2" t="s">
        <v>569</v>
      </c>
      <c r="D1760" s="2" t="str">
        <f t="shared" si="26"/>
        <v>Error?</v>
      </c>
    </row>
    <row r="1761" spans="1:7" x14ac:dyDescent="0.2">
      <c r="A1761" s="5">
        <v>1700</v>
      </c>
      <c r="B1761" s="1832">
        <f>'Tax Sched 23'!D5</f>
        <v>258647</v>
      </c>
      <c r="C1761" s="2" t="s">
        <v>569</v>
      </c>
      <c r="D1761" s="2" t="str">
        <f t="shared" si="26"/>
        <v>Error?</v>
      </c>
    </row>
    <row r="1762" spans="1:7" s="8" customFormat="1" x14ac:dyDescent="0.2">
      <c r="A1762" s="5">
        <v>1701</v>
      </c>
      <c r="B1762" s="1832">
        <f>'Tax Sched 23'!D6</f>
        <v>2285257</v>
      </c>
      <c r="C1762" s="2" t="s">
        <v>569</v>
      </c>
      <c r="D1762" s="2" t="str">
        <f t="shared" si="26"/>
        <v>Error?</v>
      </c>
      <c r="E1762" s="9"/>
      <c r="G1762"/>
    </row>
    <row r="1763" spans="1:7" x14ac:dyDescent="0.2">
      <c r="A1763" s="5">
        <v>1702</v>
      </c>
      <c r="B1763" s="1832">
        <f>'Tax Sched 23'!D7</f>
        <v>137942</v>
      </c>
      <c r="C1763" s="2" t="s">
        <v>569</v>
      </c>
      <c r="D1763" s="2" t="str">
        <f t="shared" si="26"/>
        <v>Error?</v>
      </c>
    </row>
    <row r="1764" spans="1:7" x14ac:dyDescent="0.2">
      <c r="A1764" s="5">
        <v>1703</v>
      </c>
      <c r="B1764" s="1832">
        <f>'Tax Sched 23'!D8</f>
        <v>749589</v>
      </c>
      <c r="C1764" s="2" t="s">
        <v>569</v>
      </c>
      <c r="D1764" s="2" t="str">
        <f t="shared" si="26"/>
        <v>Error?</v>
      </c>
    </row>
    <row r="1765" spans="1:7" x14ac:dyDescent="0.2">
      <c r="A1765" s="5">
        <v>1704</v>
      </c>
      <c r="B1765" s="1832">
        <f>'Tax Sched 23'!D10</f>
        <v>34490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2852625</v>
      </c>
      <c r="C1768" s="2" t="s">
        <v>569</v>
      </c>
      <c r="D1768" s="2" t="str">
        <f t="shared" si="26"/>
        <v>Error?</v>
      </c>
    </row>
    <row r="1769" spans="1:7" x14ac:dyDescent="0.2">
      <c r="A1769" s="5">
        <v>1708</v>
      </c>
      <c r="B1769" s="1832">
        <f>'Tax Sched 23'!D12</f>
        <v>34490</v>
      </c>
      <c r="C1769" s="2" t="s">
        <v>569</v>
      </c>
      <c r="D1769" s="2" t="str">
        <f t="shared" si="26"/>
        <v>Error?</v>
      </c>
    </row>
    <row r="1770" spans="1:7" x14ac:dyDescent="0.2">
      <c r="A1770" s="5">
        <v>1709</v>
      </c>
      <c r="B1770" s="1832">
        <f>'Tax Sched 23'!D14</f>
        <v>27585</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8740438</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1256428</v>
      </c>
      <c r="C1792" s="2" t="s">
        <v>569</v>
      </c>
      <c r="D1792" s="2" t="str">
        <f t="shared" si="27"/>
        <v>Error?</v>
      </c>
    </row>
    <row r="1793" spans="1:4" x14ac:dyDescent="0.2">
      <c r="A1793" s="5">
        <v>1732</v>
      </c>
      <c r="B1793" s="1832">
        <f>'Tax Sched 23'!F5</f>
        <v>274825</v>
      </c>
      <c r="C1793" s="2" t="s">
        <v>569</v>
      </c>
      <c r="D1793" s="2" t="str">
        <f t="shared" si="27"/>
        <v>Error?</v>
      </c>
    </row>
    <row r="1794" spans="1:4" x14ac:dyDescent="0.2">
      <c r="A1794" s="5">
        <v>1733</v>
      </c>
      <c r="B1794" s="1832">
        <f>'Tax Sched 23'!F6</f>
        <v>3047191</v>
      </c>
      <c r="C1794" s="2" t="s">
        <v>569</v>
      </c>
      <c r="D1794" s="2" t="str">
        <f t="shared" si="27"/>
        <v>Error?</v>
      </c>
    </row>
    <row r="1795" spans="1:4" x14ac:dyDescent="0.2">
      <c r="A1795" s="5">
        <v>1734</v>
      </c>
      <c r="B1795" s="1832">
        <f>'Tax Sched 23'!F7</f>
        <v>146574</v>
      </c>
      <c r="C1795" s="2" t="s">
        <v>569</v>
      </c>
      <c r="D1795" s="2" t="str">
        <f t="shared" si="27"/>
        <v>Error?</v>
      </c>
    </row>
    <row r="1796" spans="1:4" x14ac:dyDescent="0.2">
      <c r="A1796" s="5">
        <v>1735</v>
      </c>
      <c r="B1796" s="1832">
        <f>'Tax Sched 23'!F8</f>
        <v>1247634</v>
      </c>
      <c r="C1796" s="2" t="s">
        <v>569</v>
      </c>
      <c r="D1796" s="2" t="str">
        <f t="shared" si="27"/>
        <v>Error?</v>
      </c>
    </row>
    <row r="1797" spans="1:4" x14ac:dyDescent="0.2">
      <c r="A1797" s="5">
        <v>1736</v>
      </c>
      <c r="B1797" s="1832">
        <f>'Tax Sched 23'!F10</f>
        <v>36643</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2565770</v>
      </c>
      <c r="C1800" s="2" t="s">
        <v>569</v>
      </c>
      <c r="D1800" s="2" t="str">
        <f t="shared" si="27"/>
        <v>Error?</v>
      </c>
    </row>
    <row r="1801" spans="1:4" x14ac:dyDescent="0.2">
      <c r="A1801" s="5">
        <v>1740</v>
      </c>
      <c r="B1801" s="1832">
        <f>'Tax Sched 23'!F12</f>
        <v>36643</v>
      </c>
      <c r="C1801" s="2" t="s">
        <v>569</v>
      </c>
      <c r="D1801" s="2" t="str">
        <f t="shared" si="27"/>
        <v>Error?</v>
      </c>
    </row>
    <row r="1802" spans="1:4" x14ac:dyDescent="0.2">
      <c r="A1802" s="5">
        <v>1741</v>
      </c>
      <c r="B1802" s="1832">
        <f>'Tax Sched 23'!F14</f>
        <v>29315</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9287193</v>
      </c>
      <c r="C1807" s="2" t="s">
        <v>569</v>
      </c>
      <c r="D1807" s="2" t="str">
        <f t="shared" si="27"/>
        <v>Error?</v>
      </c>
    </row>
    <row r="1808" spans="1:4" x14ac:dyDescent="0.2">
      <c r="A1808" s="5">
        <v>1747</v>
      </c>
      <c r="B1808" s="1832">
        <f>'Tax Sched 23'!E4</f>
        <v>1256428</v>
      </c>
      <c r="D1808" s="2" t="str">
        <f t="shared" si="27"/>
        <v>Error?</v>
      </c>
    </row>
    <row r="1809" spans="1:4" x14ac:dyDescent="0.2">
      <c r="A1809" s="5">
        <v>1748</v>
      </c>
      <c r="B1809" s="1832">
        <f>'Tax Sched 23'!E5</f>
        <v>274825</v>
      </c>
      <c r="D1809" s="2" t="str">
        <f t="shared" si="27"/>
        <v>Error?</v>
      </c>
    </row>
    <row r="1810" spans="1:4" x14ac:dyDescent="0.2">
      <c r="A1810" s="5">
        <v>1749</v>
      </c>
      <c r="B1810" s="1832">
        <f>'Tax Sched 23'!E6</f>
        <v>3047191</v>
      </c>
      <c r="D1810" s="2" t="str">
        <f t="shared" si="27"/>
        <v>Error?</v>
      </c>
    </row>
    <row r="1811" spans="1:4" x14ac:dyDescent="0.2">
      <c r="A1811" s="5">
        <v>1750</v>
      </c>
      <c r="B1811" s="1832">
        <f>'Tax Sched 23'!E7</f>
        <v>146574</v>
      </c>
      <c r="D1811" s="2" t="str">
        <f t="shared" si="27"/>
        <v>Error?</v>
      </c>
    </row>
    <row r="1812" spans="1:4" x14ac:dyDescent="0.2">
      <c r="A1812" s="5">
        <v>1751</v>
      </c>
      <c r="B1812" s="1832">
        <f>'Tax Sched 23'!E8</f>
        <v>1247634</v>
      </c>
      <c r="D1812" s="2" t="str">
        <f t="shared" si="27"/>
        <v>Error?</v>
      </c>
    </row>
    <row r="1813" spans="1:4" x14ac:dyDescent="0.2">
      <c r="A1813" s="5">
        <v>1752</v>
      </c>
      <c r="B1813" s="1832">
        <f>'Tax Sched 23'!E10</f>
        <v>36643</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2565770</v>
      </c>
      <c r="D1816" s="2" t="str">
        <f t="shared" si="27"/>
        <v>Error?</v>
      </c>
    </row>
    <row r="1817" spans="1:4" x14ac:dyDescent="0.2">
      <c r="A1817" s="5">
        <v>1756</v>
      </c>
      <c r="B1817" s="1832">
        <f>'Tax Sched 23'!E12</f>
        <v>36643</v>
      </c>
      <c r="D1817" s="2" t="str">
        <f t="shared" si="27"/>
        <v>Error?</v>
      </c>
    </row>
    <row r="1818" spans="1:4" x14ac:dyDescent="0.2">
      <c r="A1818" s="5">
        <v>1757</v>
      </c>
      <c r="B1818" s="1832">
        <f>'Tax Sched 23'!E14</f>
        <v>29315</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9287193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7320531</v>
      </c>
      <c r="C1939" s="2" t="s">
        <v>569</v>
      </c>
      <c r="D1939" s="2" t="str">
        <f t="shared" si="29"/>
        <v>Error?</v>
      </c>
    </row>
    <row r="1940" spans="1:5" x14ac:dyDescent="0.2">
      <c r="A1940" s="5">
        <v>1879</v>
      </c>
      <c r="B1940" s="1832">
        <f>'Short-Term Long-Term Debt 24'!F49</f>
        <v>24830000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27585</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27585</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27585</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530288</v>
      </c>
      <c r="D2008" s="2" t="str">
        <f t="shared" si="30"/>
        <v>Error?</v>
      </c>
    </row>
    <row r="2009" spans="1:4" x14ac:dyDescent="0.2">
      <c r="A2009" s="5">
        <v>1948</v>
      </c>
      <c r="B2009" s="1832">
        <f>'Cap Outlay Deprec 26'!C8</f>
        <v>30672323</v>
      </c>
      <c r="D2009" s="2" t="str">
        <f t="shared" si="30"/>
        <v>Error?</v>
      </c>
    </row>
    <row r="2010" spans="1:4" x14ac:dyDescent="0.2">
      <c r="A2010" s="5">
        <v>1949</v>
      </c>
      <c r="B2010" s="1832">
        <f>'Cap Outlay Deprec 26'!C10</f>
        <v>8235729</v>
      </c>
      <c r="D2010" s="2" t="str">
        <f t="shared" si="30"/>
        <v>Error?</v>
      </c>
    </row>
    <row r="2011" spans="1:4" x14ac:dyDescent="0.2">
      <c r="A2011" s="5">
        <v>1950</v>
      </c>
      <c r="B2011" s="1832">
        <f>'Cap Outlay Deprec 26'!C12</f>
        <v>1433684</v>
      </c>
      <c r="D2011" s="2" t="str">
        <f t="shared" si="30"/>
        <v>Error?</v>
      </c>
    </row>
    <row r="2012" spans="1:4" x14ac:dyDescent="0.2">
      <c r="A2012" s="5">
        <v>1951</v>
      </c>
      <c r="B2012" s="1832">
        <f>'Cap Outlay Deprec 26'!C13</f>
        <v>148905</v>
      </c>
      <c r="D2012" s="2" t="str">
        <f t="shared" si="30"/>
        <v>Error?</v>
      </c>
    </row>
    <row r="2013" spans="1:4" x14ac:dyDescent="0.2">
      <c r="A2013" s="5">
        <v>1952</v>
      </c>
      <c r="B2013" s="1832">
        <f>'Cap Outlay Deprec 26'!C16</f>
        <v>41020929</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520074</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11501</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884342</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530288</v>
      </c>
      <c r="C2026" s="2" t="s">
        <v>569</v>
      </c>
      <c r="D2026" s="2" t="str">
        <f t="shared" si="30"/>
        <v>Error?</v>
      </c>
    </row>
    <row r="2027" spans="1:4" x14ac:dyDescent="0.2">
      <c r="A2027" s="5">
        <v>1966</v>
      </c>
      <c r="B2027" s="1832">
        <f>'Cap Outlay Deprec 26'!F8</f>
        <v>31192397</v>
      </c>
      <c r="C2027" s="2" t="s">
        <v>569</v>
      </c>
      <c r="D2027" s="2" t="str">
        <f t="shared" si="30"/>
        <v>Error?</v>
      </c>
    </row>
    <row r="2028" spans="1:4" x14ac:dyDescent="0.2">
      <c r="A2028" s="5">
        <v>1967</v>
      </c>
      <c r="B2028" s="1832">
        <f>'Cap Outlay Deprec 26'!F10</f>
        <v>8235729</v>
      </c>
      <c r="C2028" s="2" t="s">
        <v>569</v>
      </c>
      <c r="D2028" s="2" t="str">
        <f t="shared" si="30"/>
        <v>Error?</v>
      </c>
    </row>
    <row r="2029" spans="1:4" x14ac:dyDescent="0.2">
      <c r="A2029" s="5">
        <v>1968</v>
      </c>
      <c r="B2029" s="1832">
        <f>'Cap Outlay Deprec 26'!F12</f>
        <v>1445185</v>
      </c>
      <c r="C2029" s="2" t="s">
        <v>569</v>
      </c>
      <c r="D2029" s="2" t="str">
        <f t="shared" si="30"/>
        <v>Error?</v>
      </c>
    </row>
    <row r="2030" spans="1:4" x14ac:dyDescent="0.2">
      <c r="A2030" s="5">
        <v>1969</v>
      </c>
      <c r="B2030" s="1832">
        <f>'Cap Outlay Deprec 26'!F13</f>
        <v>148905</v>
      </c>
      <c r="C2030" s="2" t="s">
        <v>569</v>
      </c>
      <c r="D2030" s="2" t="str">
        <f t="shared" si="30"/>
        <v>Error?</v>
      </c>
    </row>
    <row r="2031" spans="1:4" x14ac:dyDescent="0.2">
      <c r="A2031" s="5">
        <v>1970</v>
      </c>
      <c r="B2031" s="1832">
        <f>'Cap Outlay Deprec 26'!F16</f>
        <v>41905271</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9665823</v>
      </c>
      <c r="D2033" s="2" t="str">
        <f t="shared" si="30"/>
        <v>Error?</v>
      </c>
    </row>
    <row r="2034" spans="1:4" x14ac:dyDescent="0.2">
      <c r="A2034" s="5">
        <v>1973</v>
      </c>
      <c r="B2034" s="1832">
        <f>'Cap Outlay Deprec 26'!H10</f>
        <v>3115982</v>
      </c>
      <c r="D2034" s="2" t="str">
        <f t="shared" si="30"/>
        <v>Error?</v>
      </c>
    </row>
    <row r="2035" spans="1:4" x14ac:dyDescent="0.2">
      <c r="A2035" s="5">
        <v>1974</v>
      </c>
      <c r="B2035" s="1832">
        <f>'Cap Outlay Deprec 26'!H12</f>
        <v>806538</v>
      </c>
      <c r="D2035" s="2" t="str">
        <f t="shared" si="30"/>
        <v>Error?</v>
      </c>
    </row>
    <row r="2036" spans="1:4" x14ac:dyDescent="0.2">
      <c r="A2036" s="5">
        <v>1975</v>
      </c>
      <c r="B2036" s="1832">
        <f>'Cap Outlay Deprec 26'!H13</f>
        <v>88958</v>
      </c>
      <c r="D2036" s="2" t="str">
        <f t="shared" si="30"/>
        <v>Error?</v>
      </c>
    </row>
    <row r="2037" spans="1:4" x14ac:dyDescent="0.2">
      <c r="A2037" s="5">
        <v>1976</v>
      </c>
      <c r="B2037" s="1832">
        <f>'Cap Outlay Deprec 26'!H16</f>
        <v>13677301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402626</v>
      </c>
      <c r="D2039" s="2" t="str">
        <f t="shared" si="30"/>
        <v>Error?</v>
      </c>
    </row>
    <row r="2040" spans="1:4" x14ac:dyDescent="0.2">
      <c r="A2040" s="5">
        <v>1979</v>
      </c>
      <c r="B2040" s="1832">
        <f>'Cap Outlay Deprec 26'!I10</f>
        <v>213023</v>
      </c>
      <c r="D2040" s="2" t="str">
        <f t="shared" si="30"/>
        <v>Error?</v>
      </c>
    </row>
    <row r="2041" spans="1:4" x14ac:dyDescent="0.2">
      <c r="A2041" s="5">
        <v>1980</v>
      </c>
      <c r="B2041" s="1832">
        <f>'Cap Outlay Deprec 26'!I12</f>
        <v>79810</v>
      </c>
      <c r="D2041" s="2" t="str">
        <f t="shared" si="30"/>
        <v>Error?</v>
      </c>
    </row>
    <row r="2042" spans="1:4" x14ac:dyDescent="0.2">
      <c r="A2042" s="5">
        <v>1981</v>
      </c>
      <c r="B2042" s="1832">
        <f>'Cap Outlay Deprec 26'!I13</f>
        <v>22029</v>
      </c>
      <c r="D2042" s="2" t="str">
        <f t="shared" si="30"/>
        <v>Error?</v>
      </c>
    </row>
    <row r="2043" spans="1:4" x14ac:dyDescent="0.2">
      <c r="A2043" s="5">
        <v>1982</v>
      </c>
      <c r="B2043" s="1832">
        <f>'Cap Outlay Deprec 26'!I16</f>
        <v>717488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10068449</v>
      </c>
      <c r="C2051" s="2" t="s">
        <v>569</v>
      </c>
      <c r="D2051" s="2" t="str">
        <f t="shared" si="31"/>
        <v>Error?</v>
      </c>
    </row>
    <row r="2052" spans="1:4" x14ac:dyDescent="0.2">
      <c r="A2052" s="5">
        <v>1991</v>
      </c>
      <c r="B2052" s="1832">
        <f>'Cap Outlay Deprec 26'!K10</f>
        <v>3329005</v>
      </c>
      <c r="C2052" s="2" t="s">
        <v>569</v>
      </c>
      <c r="D2052" s="2" t="str">
        <f t="shared" si="31"/>
        <v>Error?</v>
      </c>
    </row>
    <row r="2053" spans="1:4" x14ac:dyDescent="0.2">
      <c r="A2053" s="5">
        <v>1992</v>
      </c>
      <c r="B2053" s="1832">
        <f>'Cap Outlay Deprec 26'!K12</f>
        <v>886348</v>
      </c>
      <c r="C2053" s="2" t="s">
        <v>569</v>
      </c>
      <c r="D2053" s="2" t="str">
        <f t="shared" si="31"/>
        <v>Error?</v>
      </c>
    </row>
    <row r="2054" spans="1:4" x14ac:dyDescent="0.2">
      <c r="A2054" s="5">
        <v>1993</v>
      </c>
      <c r="B2054" s="1832">
        <f>'Cap Outlay Deprec 26'!K13</f>
        <v>110987</v>
      </c>
      <c r="C2054" s="2" t="s">
        <v>569</v>
      </c>
      <c r="D2054" s="2" t="str">
        <f t="shared" si="31"/>
        <v>Error?</v>
      </c>
    </row>
    <row r="2055" spans="1:4" x14ac:dyDescent="0.2">
      <c r="A2055" s="5">
        <v>1994</v>
      </c>
      <c r="B2055" s="1832">
        <f>'Cap Outlay Deprec 26'!K16</f>
        <v>14394789</v>
      </c>
      <c r="C2055" s="2" t="s">
        <v>569</v>
      </c>
      <c r="D2055" s="2" t="str">
        <f t="shared" si="31"/>
        <v>Error?</v>
      </c>
    </row>
    <row r="2056" spans="1:4" x14ac:dyDescent="0.2">
      <c r="A2056" s="5">
        <v>1995</v>
      </c>
      <c r="B2056" s="1832">
        <f>'Cap Outlay Deprec 26'!L5</f>
        <v>530288</v>
      </c>
      <c r="C2056" s="2" t="s">
        <v>569</v>
      </c>
      <c r="D2056" s="2" t="str">
        <f t="shared" si="31"/>
        <v>Error?</v>
      </c>
    </row>
    <row r="2057" spans="1:4" x14ac:dyDescent="0.2">
      <c r="A2057" s="5">
        <v>1996</v>
      </c>
      <c r="B2057" s="1832">
        <f>'Cap Outlay Deprec 26'!L8</f>
        <v>21123948</v>
      </c>
      <c r="C2057" s="2" t="s">
        <v>569</v>
      </c>
      <c r="D2057" s="2" t="str">
        <f t="shared" si="31"/>
        <v>Error?</v>
      </c>
    </row>
    <row r="2058" spans="1:4" x14ac:dyDescent="0.2">
      <c r="A2058" s="5">
        <v>1997</v>
      </c>
      <c r="B2058" s="1832">
        <f>'Cap Outlay Deprec 26'!L10</f>
        <v>4906724</v>
      </c>
      <c r="C2058" s="2" t="s">
        <v>569</v>
      </c>
      <c r="D2058" s="2" t="str">
        <f t="shared" si="31"/>
        <v>Error?</v>
      </c>
    </row>
    <row r="2059" spans="1:4" x14ac:dyDescent="0.2">
      <c r="A2059" s="5">
        <v>1998</v>
      </c>
      <c r="B2059" s="1832">
        <f>'Cap Outlay Deprec 26'!L12</f>
        <v>558837</v>
      </c>
      <c r="C2059" s="2" t="s">
        <v>569</v>
      </c>
      <c r="D2059" s="2" t="str">
        <f t="shared" si="31"/>
        <v>Error?</v>
      </c>
    </row>
    <row r="2060" spans="1:4" x14ac:dyDescent="0.2">
      <c r="A2060" s="5">
        <v>1999</v>
      </c>
      <c r="B2060" s="1832">
        <f>'Cap Outlay Deprec 26'!L13</f>
        <v>37918</v>
      </c>
      <c r="C2060" s="2" t="s">
        <v>569</v>
      </c>
      <c r="D2060" s="2" t="str">
        <f t="shared" si="31"/>
        <v>Error?</v>
      </c>
    </row>
    <row r="2061" spans="1:4" x14ac:dyDescent="0.2">
      <c r="A2061" s="5">
        <v>2000</v>
      </c>
      <c r="B2061" s="1832">
        <f>'Cap Outlay Deprec 26'!L16</f>
        <v>27510482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71127</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71127</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4943439</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4549321</v>
      </c>
      <c r="D2475" s="2" t="str">
        <f t="shared" si="37"/>
        <v>Error?</v>
      </c>
    </row>
    <row r="2476" spans="1:4" x14ac:dyDescent="0.2">
      <c r="A2476" s="10">
        <v>2415</v>
      </c>
      <c r="B2476" s="1832"/>
      <c r="D2476" s="2" t="str">
        <f t="shared" si="37"/>
        <v>OK</v>
      </c>
    </row>
    <row r="2477" spans="1:4" x14ac:dyDescent="0.2">
      <c r="A2477" s="5">
        <v>2416</v>
      </c>
      <c r="B2477" s="1832">
        <f>'Assets-Liab 5-6'!G38</f>
        <v>869744</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4051546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29508835</v>
      </c>
      <c r="C2553" s="2" t="s">
        <v>569</v>
      </c>
      <c r="D2553" s="2" t="str">
        <f t="shared" si="38"/>
        <v>Error?</v>
      </c>
    </row>
    <row r="2554" spans="1:4" x14ac:dyDescent="0.2">
      <c r="A2554" s="5">
        <v>2493</v>
      </c>
      <c r="B2554" s="1832">
        <f>'Acct Summary 7-8'!C7</f>
        <v>9452774</v>
      </c>
      <c r="C2554" s="2" t="s">
        <v>569</v>
      </c>
      <c r="D2554" s="2" t="str">
        <f t="shared" si="38"/>
        <v>Error?</v>
      </c>
    </row>
    <row r="2555" spans="1:4" x14ac:dyDescent="0.2">
      <c r="A2555" s="5">
        <v>2494</v>
      </c>
      <c r="B2555" s="1832">
        <f>'Acct Summary 7-8'!C8</f>
        <v>43013155</v>
      </c>
      <c r="C2555" s="2" t="s">
        <v>569</v>
      </c>
      <c r="D2555" s="2" t="str">
        <f t="shared" si="38"/>
        <v>Error?</v>
      </c>
    </row>
    <row r="2556" spans="1:4" x14ac:dyDescent="0.2">
      <c r="A2556" s="5">
        <v>2495</v>
      </c>
      <c r="B2556" s="1832">
        <f>'Acct Summary 7-8'!C12</f>
        <v>24026145</v>
      </c>
      <c r="C2556" s="2" t="s">
        <v>569</v>
      </c>
      <c r="D2556" s="2" t="str">
        <f t="shared" si="38"/>
        <v>Error?</v>
      </c>
    </row>
    <row r="2557" spans="1:4" x14ac:dyDescent="0.2">
      <c r="A2557" s="5">
        <v>2496</v>
      </c>
      <c r="B2557" s="1832">
        <f>'Acct Summary 7-8'!C13</f>
        <v>18069724</v>
      </c>
      <c r="C2557" s="2" t="s">
        <v>569</v>
      </c>
      <c r="D2557" s="2" t="str">
        <f t="shared" si="38"/>
        <v>Error?</v>
      </c>
    </row>
    <row r="2558" spans="1:4" x14ac:dyDescent="0.2">
      <c r="A2558" s="5">
        <v>2497</v>
      </c>
      <c r="B2558" s="1832">
        <f>'Acct Summary 7-8'!C14</f>
        <v>530560</v>
      </c>
      <c r="C2558" s="2" t="s">
        <v>569</v>
      </c>
      <c r="D2558" s="2" t="str">
        <f t="shared" si="38"/>
        <v>Error?</v>
      </c>
    </row>
    <row r="2559" spans="1:4" x14ac:dyDescent="0.2">
      <c r="A2559" s="5">
        <v>2498</v>
      </c>
      <c r="B2559" s="1832">
        <f>'Acct Summary 7-8'!C15</f>
        <v>71127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42697556</v>
      </c>
      <c r="C2561" s="2" t="s">
        <v>569</v>
      </c>
      <c r="D2561" s="2" t="str">
        <f t="shared" si="39"/>
        <v>Error?</v>
      </c>
    </row>
    <row r="2562" spans="1:4" x14ac:dyDescent="0.2">
      <c r="A2562" s="5">
        <v>2501</v>
      </c>
      <c r="B2562" s="1832">
        <f>'Acct Summary 7-8'!C20</f>
        <v>315599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278594</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2650000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2928594</v>
      </c>
      <c r="C2568" s="2" t="s">
        <v>569</v>
      </c>
      <c r="D2568" s="2" t="str">
        <f t="shared" si="39"/>
        <v>Error?</v>
      </c>
    </row>
    <row r="2569" spans="1:4" x14ac:dyDescent="0.2">
      <c r="A2569" s="5">
        <v>2508</v>
      </c>
      <c r="B2569" s="1832">
        <f>'Acct Summary 7-8'!D13</f>
        <v>2652196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2652196</v>
      </c>
      <c r="C2573" s="2" t="s">
        <v>569</v>
      </c>
      <c r="D2573" s="2" t="str">
        <f t="shared" si="39"/>
        <v>Error?</v>
      </c>
    </row>
    <row r="2574" spans="1:4" x14ac:dyDescent="0.2">
      <c r="A2574" s="5">
        <v>2513</v>
      </c>
      <c r="B2574" s="1832">
        <f>'Acct Summary 7-8'!D20</f>
        <v>276398</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326384</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2594245</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2920629</v>
      </c>
      <c r="C2595" s="2" t="s">
        <v>569</v>
      </c>
      <c r="D2595" s="2" t="str">
        <f t="shared" si="39"/>
        <v>Error?</v>
      </c>
    </row>
    <row r="2596" spans="1:4" x14ac:dyDescent="0.2">
      <c r="A2596" s="5">
        <v>2535</v>
      </c>
      <c r="B2596" s="1832">
        <f>'Acct Summary 7-8'!F13</f>
        <v>2906976</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2906976</v>
      </c>
      <c r="C2600" s="2" t="s">
        <v>569</v>
      </c>
      <c r="D2600" s="2" t="str">
        <f t="shared" si="39"/>
        <v>Error?</v>
      </c>
    </row>
    <row r="2601" spans="1:4" x14ac:dyDescent="0.2">
      <c r="A2601" s="5">
        <v>2540</v>
      </c>
      <c r="B2601" s="1832">
        <f>'Acct Summary 7-8'!F20</f>
        <v>13653</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1643674</v>
      </c>
      <c r="C2603" s="2" t="s">
        <v>569</v>
      </c>
      <c r="D2603" s="2" t="str">
        <f t="shared" si="39"/>
        <v>Error?</v>
      </c>
    </row>
    <row r="2604" spans="1:4" x14ac:dyDescent="0.2">
      <c r="A2604" s="5">
        <v>2543</v>
      </c>
      <c r="B2604" s="1832">
        <f>'Acct Summary 7-8'!G6</f>
        <v>28254</v>
      </c>
      <c r="C2604" s="2" t="s">
        <v>569</v>
      </c>
      <c r="D2604" s="2" t="str">
        <f t="shared" si="39"/>
        <v>Error?</v>
      </c>
    </row>
    <row r="2605" spans="1:4" x14ac:dyDescent="0.2">
      <c r="A2605" s="5">
        <v>2544</v>
      </c>
      <c r="B2605" s="1832">
        <f>'Acct Summary 7-8'!G7</f>
        <v>261999</v>
      </c>
      <c r="C2605" s="2" t="s">
        <v>569</v>
      </c>
      <c r="D2605" s="2" t="str">
        <f t="shared" si="39"/>
        <v>Error?</v>
      </c>
    </row>
    <row r="2606" spans="1:4" x14ac:dyDescent="0.2">
      <c r="A2606" s="5">
        <v>2545</v>
      </c>
      <c r="B2606" s="1832">
        <f>'Acct Summary 7-8'!G8</f>
        <v>1933927</v>
      </c>
      <c r="C2606" s="2" t="s">
        <v>569</v>
      </c>
      <c r="D2606" s="2" t="str">
        <f t="shared" si="39"/>
        <v>Error?</v>
      </c>
    </row>
    <row r="2607" spans="1:4" x14ac:dyDescent="0.2">
      <c r="A2607" s="5">
        <v>2546</v>
      </c>
      <c r="B2607" s="1832">
        <f>'Acct Summary 7-8'!G12</f>
        <v>562078</v>
      </c>
      <c r="C2607" s="2" t="s">
        <v>569</v>
      </c>
      <c r="D2607" s="2" t="str">
        <f t="shared" si="39"/>
        <v>Error?</v>
      </c>
    </row>
    <row r="2608" spans="1:4" x14ac:dyDescent="0.2">
      <c r="A2608" s="5">
        <v>2547</v>
      </c>
      <c r="B2608" s="1832">
        <f>'Acct Summary 7-8'!G13</f>
        <v>1445073</v>
      </c>
      <c r="C2608" s="2" t="s">
        <v>569</v>
      </c>
      <c r="D2608" s="2" t="str">
        <f t="shared" si="39"/>
        <v>Error?</v>
      </c>
    </row>
    <row r="2609" spans="1:4" x14ac:dyDescent="0.2">
      <c r="A2609" s="5">
        <v>2548</v>
      </c>
      <c r="B2609" s="1832">
        <f>'Acct Summary 7-8'!G14</f>
        <v>62269</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2069420</v>
      </c>
      <c r="C2612" s="2" t="s">
        <v>569</v>
      </c>
      <c r="D2612" s="2" t="str">
        <f t="shared" si="39"/>
        <v>Error?</v>
      </c>
    </row>
    <row r="2613" spans="1:4" x14ac:dyDescent="0.2">
      <c r="A2613" s="5">
        <v>2552</v>
      </c>
      <c r="B2613" s="1832">
        <f>'Acct Summary 7-8'!G20</f>
        <v>-135493</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2297370</v>
      </c>
      <c r="C2630" s="2" t="s">
        <v>569</v>
      </c>
      <c r="D2630" s="2" t="str">
        <f t="shared" si="40"/>
        <v>Error?</v>
      </c>
    </row>
    <row r="2631" spans="1:4" x14ac:dyDescent="0.2">
      <c r="A2631" s="5">
        <v>2570</v>
      </c>
      <c r="B2631" s="1832">
        <f>'Acct Summary 7-8'!E6</f>
        <v>631186</v>
      </c>
      <c r="C2631" s="2" t="s">
        <v>569</v>
      </c>
      <c r="D2631" s="2" t="str">
        <f t="shared" si="40"/>
        <v>Error?</v>
      </c>
    </row>
    <row r="2632" spans="1:4" x14ac:dyDescent="0.2">
      <c r="A2632" s="5">
        <v>2571</v>
      </c>
      <c r="B2632" s="1832">
        <f>'Acct Summary 7-8'!E8</f>
        <v>2928556</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2891817</v>
      </c>
      <c r="C2634" s="2" t="s">
        <v>569</v>
      </c>
      <c r="D2634" s="2" t="str">
        <f t="shared" si="40"/>
        <v>Error?</v>
      </c>
    </row>
    <row r="2635" spans="1:4" x14ac:dyDescent="0.2">
      <c r="A2635" s="5">
        <v>2574</v>
      </c>
      <c r="B2635" s="1832">
        <f>'Acct Summary 7-8'!E17</f>
        <v>2891817</v>
      </c>
      <c r="C2635" s="2" t="s">
        <v>569</v>
      </c>
      <c r="D2635" s="2" t="str">
        <f t="shared" si="40"/>
        <v>Error?</v>
      </c>
    </row>
    <row r="2636" spans="1:4" x14ac:dyDescent="0.2">
      <c r="A2636" s="5">
        <v>2575</v>
      </c>
      <c r="B2636" s="1832">
        <f>'Acct Summary 7-8'!E20</f>
        <v>36739</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9270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9270</v>
      </c>
      <c r="C2658" s="2" t="s">
        <v>569</v>
      </c>
      <c r="D2658" s="2" t="str">
        <f t="shared" si="40"/>
        <v>Error?</v>
      </c>
    </row>
    <row r="2659" spans="1:4" x14ac:dyDescent="0.2">
      <c r="A2659" s="5">
        <v>2598</v>
      </c>
      <c r="B2659" s="1832">
        <f>'Acct Summary 7-8'!H13</f>
        <v>402850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402850</v>
      </c>
      <c r="C2661" s="2" t="s">
        <v>569</v>
      </c>
      <c r="D2661" s="2" t="str">
        <f t="shared" si="40"/>
        <v>Error?</v>
      </c>
    </row>
    <row r="2662" spans="1:4" x14ac:dyDescent="0.2">
      <c r="A2662" s="5">
        <v>2601</v>
      </c>
      <c r="B2662" s="1832">
        <f>'Acct Summary 7-8'!H20</f>
        <v>-393580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530585</v>
      </c>
      <c r="D2718" s="2" t="str">
        <f t="shared" si="41"/>
        <v>Error?</v>
      </c>
    </row>
    <row r="2719" spans="1:4" x14ac:dyDescent="0.2">
      <c r="A2719" s="5">
        <v>2658</v>
      </c>
      <c r="B2719" s="1832">
        <f>'Expenditures 15-22'!D51</f>
        <v>133680</v>
      </c>
      <c r="D2719" s="2" t="str">
        <f t="shared" si="41"/>
        <v>Error?</v>
      </c>
    </row>
    <row r="2720" spans="1:4" x14ac:dyDescent="0.2">
      <c r="A2720" s="5">
        <v>2659</v>
      </c>
      <c r="B2720" s="1832">
        <f>'Expenditures 15-22'!E51</f>
        <v>88510</v>
      </c>
      <c r="D2720" s="2" t="str">
        <f t="shared" si="41"/>
        <v>Error?</v>
      </c>
    </row>
    <row r="2721" spans="1:4" x14ac:dyDescent="0.2">
      <c r="A2721" s="5">
        <v>2660</v>
      </c>
      <c r="B2721" s="1832">
        <f>'Expenditures 15-22'!F51</f>
        <v>20230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4606</v>
      </c>
      <c r="D2723" s="2" t="str">
        <f t="shared" si="41"/>
        <v>Error?</v>
      </c>
    </row>
    <row r="2724" spans="1:4" x14ac:dyDescent="0.2">
      <c r="A2724" s="5">
        <v>2663</v>
      </c>
      <c r="B2724" s="1832">
        <f>'Expenditures 15-22'!K51</f>
        <v>781606</v>
      </c>
      <c r="C2724" s="2" t="s">
        <v>569</v>
      </c>
      <c r="D2724" s="2" t="str">
        <f t="shared" si="41"/>
        <v>Error?</v>
      </c>
    </row>
    <row r="2725" spans="1:4" x14ac:dyDescent="0.2">
      <c r="A2725" s="5">
        <v>2664</v>
      </c>
      <c r="B2725" s="1832">
        <f>'Expenditures 15-22'!D247</f>
        <v>27535</v>
      </c>
      <c r="D2725" s="2" t="str">
        <f t="shared" si="41"/>
        <v>Error?</v>
      </c>
    </row>
    <row r="2726" spans="1:4" x14ac:dyDescent="0.2">
      <c r="A2726" s="5">
        <v>2665</v>
      </c>
      <c r="B2726" s="1832">
        <f>'Expenditures 15-22'!K247</f>
        <v>27535</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352767</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34059</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3246</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11994385</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236846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34059</v>
      </c>
      <c r="D2908" s="2" t="str">
        <f t="shared" si="44"/>
        <v>Error?</v>
      </c>
    </row>
    <row r="2909" spans="1:4" x14ac:dyDescent="0.2">
      <c r="A2909" s="10">
        <v>2848</v>
      </c>
      <c r="B2909" s="1832"/>
      <c r="D2909" s="2" t="str">
        <f t="shared" si="44"/>
        <v>OK</v>
      </c>
    </row>
    <row r="2910" spans="1:4" x14ac:dyDescent="0.2">
      <c r="A2910" s="5">
        <v>2849</v>
      </c>
      <c r="B2910" s="1832">
        <f>'Assets-Liab 5-6'!I34</f>
        <v>34059</v>
      </c>
      <c r="C2910" s="2" t="s">
        <v>569</v>
      </c>
      <c r="D2910" s="2" t="str">
        <f t="shared" si="44"/>
        <v>Error?</v>
      </c>
    </row>
    <row r="2911" spans="1:4" x14ac:dyDescent="0.2">
      <c r="A2911" s="5">
        <v>2850</v>
      </c>
      <c r="B2911" s="1832">
        <f>'Assets-Liab 5-6'!I38</f>
        <v>11960326</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11994385</v>
      </c>
      <c r="C2913" s="2" t="s">
        <v>569</v>
      </c>
      <c r="D2913" s="2" t="str">
        <f t="shared" si="44"/>
        <v>Error?</v>
      </c>
    </row>
    <row r="2914" spans="1:4" x14ac:dyDescent="0.2">
      <c r="A2914" s="5">
        <v>2853</v>
      </c>
      <c r="B2914" s="1832">
        <f>'Assets-Liab 5-6'!L33</f>
        <v>236846</v>
      </c>
      <c r="D2914" s="2" t="str">
        <f t="shared" si="44"/>
        <v>Error?</v>
      </c>
    </row>
    <row r="2915" spans="1:4" x14ac:dyDescent="0.2">
      <c r="A2915" s="10">
        <v>2854</v>
      </c>
      <c r="B2915" s="1832"/>
      <c r="D2915" s="2" t="str">
        <f t="shared" si="44"/>
        <v>OK</v>
      </c>
    </row>
    <row r="2916" spans="1:4" x14ac:dyDescent="0.2">
      <c r="A2916" s="5">
        <v>2855</v>
      </c>
      <c r="B2916" s="1832">
        <f>'Assets-Liab 5-6'!L34</f>
        <v>236846</v>
      </c>
      <c r="C2916" s="2" t="s">
        <v>569</v>
      </c>
      <c r="D2916" s="2" t="str">
        <f t="shared" si="44"/>
        <v>Error?</v>
      </c>
    </row>
    <row r="2917" spans="1:4" x14ac:dyDescent="0.2">
      <c r="A2917" s="5">
        <v>2856</v>
      </c>
      <c r="B2917" s="1832">
        <f>'Assets-Liab 5-6'!L41</f>
        <v>236846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71127</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71127</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1308671</v>
      </c>
      <c r="D3055" s="2" t="str">
        <f t="shared" si="46"/>
        <v>Error?</v>
      </c>
    </row>
    <row r="3056" spans="1:4" x14ac:dyDescent="0.2">
      <c r="A3056" s="5">
        <v>2995</v>
      </c>
      <c r="B3056" s="1832">
        <f>'Expenditures 15-22'!D10</f>
        <v>376242</v>
      </c>
      <c r="D3056" s="2" t="str">
        <f t="shared" si="46"/>
        <v>Error?</v>
      </c>
    </row>
    <row r="3057" spans="1:4" x14ac:dyDescent="0.2">
      <c r="A3057" s="5">
        <v>2996</v>
      </c>
      <c r="B3057" s="1832">
        <f>'Expenditures 15-22'!E10</f>
        <v>267334</v>
      </c>
      <c r="D3057" s="2" t="str">
        <f t="shared" si="46"/>
        <v>Error?</v>
      </c>
    </row>
    <row r="3058" spans="1:4" x14ac:dyDescent="0.2">
      <c r="A3058" s="5">
        <v>2997</v>
      </c>
      <c r="B3058" s="1832">
        <f>'Expenditures 15-22'!F10</f>
        <v>480624</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2437365</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84445</v>
      </c>
      <c r="D3064" s="2" t="str">
        <f t="shared" si="46"/>
        <v>Error?</v>
      </c>
    </row>
    <row r="3065" spans="1:4" x14ac:dyDescent="0.2">
      <c r="A3065" s="5">
        <v>3004</v>
      </c>
      <c r="B3065" s="1832">
        <f>'Expenditures 15-22'!K219</f>
        <v>84445</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9834898</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81503</v>
      </c>
      <c r="C3225" s="2" t="s">
        <v>569</v>
      </c>
      <c r="D3225" s="2" t="str">
        <f t="shared" si="49"/>
        <v>Error?</v>
      </c>
    </row>
    <row r="3226" spans="1:4" x14ac:dyDescent="0.2">
      <c r="A3226" s="5">
        <v>3165</v>
      </c>
      <c r="B3226" s="1832">
        <f>'Acct Summary 7-8'!I8</f>
        <v>81503</v>
      </c>
      <c r="C3226" s="2" t="s">
        <v>569</v>
      </c>
      <c r="D3226" s="2" t="str">
        <f t="shared" si="49"/>
        <v>Error?</v>
      </c>
    </row>
    <row r="3227" spans="1:4" x14ac:dyDescent="0.2">
      <c r="A3227" s="5">
        <v>3166</v>
      </c>
      <c r="B3227" s="1832">
        <f>'Acct Summary 7-8'!I20</f>
        <v>81503</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315599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2802449</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2802449</v>
      </c>
      <c r="C3238" s="2" t="s">
        <v>569</v>
      </c>
      <c r="D3238" s="2" t="str">
        <f t="shared" si="49"/>
        <v>Error?</v>
      </c>
    </row>
    <row r="3239" spans="1:4" x14ac:dyDescent="0.2">
      <c r="A3239" s="5">
        <v>3178</v>
      </c>
      <c r="B3239" s="1832">
        <f>'Acct Summary 7-8'!D78</f>
        <v>3078847</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1390000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1390000</v>
      </c>
      <c r="C3255" s="2" t="s">
        <v>569</v>
      </c>
      <c r="D3255" s="2" t="str">
        <f t="shared" si="49"/>
        <v>Error?</v>
      </c>
    </row>
    <row r="3256" spans="1:4" x14ac:dyDescent="0.2">
      <c r="A3256" s="5">
        <v>3195</v>
      </c>
      <c r="B3256" s="1832">
        <f>'Acct Summary 7-8'!F78</f>
        <v>1403653</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-135493</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9834898</v>
      </c>
      <c r="C3274" s="2" t="s">
        <v>569</v>
      </c>
      <c r="D3274" s="2" t="str">
        <f t="shared" si="50"/>
        <v>Error?</v>
      </c>
    </row>
    <row r="3275" spans="1:4" x14ac:dyDescent="0.2">
      <c r="A3275" s="5">
        <v>3214</v>
      </c>
      <c r="B3275" s="1832">
        <f>'Acct Summary 7-8'!E75</f>
        <v>9834898</v>
      </c>
      <c r="D3275" s="2" t="str">
        <f t="shared" si="50"/>
        <v>Error?</v>
      </c>
    </row>
    <row r="3276" spans="1:4" x14ac:dyDescent="0.2">
      <c r="A3276" s="5">
        <v>3215</v>
      </c>
      <c r="B3276" s="1832">
        <f>'Acct Summary 7-8'!E76</f>
        <v>9834898</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36739</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750990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750990</v>
      </c>
      <c r="C3299" s="2" t="s">
        <v>569</v>
      </c>
      <c r="D3299" s="2" t="str">
        <f t="shared" si="50"/>
        <v>Error?</v>
      </c>
    </row>
    <row r="3300" spans="1:4" x14ac:dyDescent="0.2">
      <c r="A3300" s="5">
        <v>3239</v>
      </c>
      <c r="B3300" s="1832">
        <f>'Acct Summary 7-8'!H78</f>
        <v>357410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13475947</v>
      </c>
      <c r="C3317" s="2" t="s">
        <v>569</v>
      </c>
      <c r="D3317" s="2" t="str">
        <f t="shared" si="50"/>
        <v>Error?</v>
      </c>
    </row>
    <row r="3318" spans="1:4" x14ac:dyDescent="0.2">
      <c r="A3318" s="5">
        <v>3257</v>
      </c>
      <c r="B3318" s="1832">
        <f>'Acct Summary 7-8'!I76</f>
        <v>5805435</v>
      </c>
      <c r="C3318" s="2" t="s">
        <v>569</v>
      </c>
      <c r="D3318" s="2" t="str">
        <f t="shared" si="50"/>
        <v>Error?</v>
      </c>
    </row>
    <row r="3319" spans="1:4" x14ac:dyDescent="0.2">
      <c r="A3319" s="5">
        <v>3258</v>
      </c>
      <c r="B3319" s="1832">
        <f>'Acct Summary 7-8'!I77</f>
        <v>7670512</v>
      </c>
      <c r="C3319" s="2" t="s">
        <v>569</v>
      </c>
      <c r="D3319" s="2" t="str">
        <f t="shared" si="50"/>
        <v>Error?</v>
      </c>
    </row>
    <row r="3320" spans="1:4" x14ac:dyDescent="0.2">
      <c r="A3320" s="5">
        <v>3259</v>
      </c>
      <c r="B3320" s="1832">
        <f>'Acct Summary 7-8'!I78</f>
        <v>7752015</v>
      </c>
      <c r="C3320" s="2" t="s">
        <v>569</v>
      </c>
      <c r="D3320" s="2" t="str">
        <f t="shared" si="50"/>
        <v>Error?</v>
      </c>
    </row>
    <row r="3321" spans="1:4" x14ac:dyDescent="0.2">
      <c r="A3321" s="5">
        <v>3260</v>
      </c>
      <c r="B3321" s="1832">
        <f>'Acct Summary 7-8'!I79</f>
        <v>4208311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11960326</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3986299</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1210223</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24368</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65810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5288984</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208471</v>
      </c>
      <c r="D3387" s="2" t="str">
        <f t="shared" si="51"/>
        <v>Error?</v>
      </c>
    </row>
    <row r="3388" spans="1:4" x14ac:dyDescent="0.2">
      <c r="A3388" s="5">
        <v>3327</v>
      </c>
      <c r="B3388" s="1832">
        <f>'Expenditures 15-22'!D217</f>
        <v>206312</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208471</v>
      </c>
      <c r="C3390" s="2" t="s">
        <v>569</v>
      </c>
      <c r="D3390" s="2" t="str">
        <f t="shared" si="51"/>
        <v>Error?</v>
      </c>
    </row>
    <row r="3391" spans="1:4" x14ac:dyDescent="0.2">
      <c r="A3391" s="5">
        <v>3330</v>
      </c>
      <c r="B3391" s="1832">
        <f>'Expenditures 15-22'!K217</f>
        <v>206312</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6377748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3794507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4051836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921264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1363710</v>
      </c>
      <c r="D3425" s="2" t="str">
        <f t="shared" si="52"/>
        <v>Error?</v>
      </c>
    </row>
    <row r="3426" spans="1:4" x14ac:dyDescent="0.2">
      <c r="A3426" s="10">
        <v>3365</v>
      </c>
      <c r="B3426" s="1832"/>
      <c r="D3426" s="2" t="str">
        <f t="shared" si="52"/>
        <v>OK</v>
      </c>
    </row>
    <row r="3427" spans="1:4" x14ac:dyDescent="0.2">
      <c r="A3427" s="5">
        <v>3366</v>
      </c>
      <c r="B3427" s="1832">
        <f>'Assets-Liab 5-6'!I4</f>
        <v>11957080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236846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545849</v>
      </c>
      <c r="C3446" s="2" t="s">
        <v>569</v>
      </c>
      <c r="D3446" s="2" t="str">
        <f t="shared" si="52"/>
        <v>Error?</v>
      </c>
    </row>
    <row r="3447" spans="1:4" x14ac:dyDescent="0.2">
      <c r="A3447" s="5">
        <v>3386</v>
      </c>
      <c r="B3447" s="1832">
        <f>'Tax Sched 23'!D16</f>
        <v>545849</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609527</v>
      </c>
      <c r="C3449" s="2" t="s">
        <v>569</v>
      </c>
      <c r="D3449" s="2" t="str">
        <f t="shared" si="52"/>
        <v>Error?</v>
      </c>
    </row>
    <row r="3450" spans="1:4" x14ac:dyDescent="0.2">
      <c r="A3450" s="5">
        <v>3389</v>
      </c>
      <c r="B3450" s="1832">
        <f>'Tax Sched 23'!E16</f>
        <v>609527</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352767</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352767</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352767</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3875743</v>
      </c>
      <c r="D3546" s="2" t="str">
        <f t="shared" si="54"/>
        <v>Error?</v>
      </c>
    </row>
    <row r="3547" spans="1:4" x14ac:dyDescent="0.2">
      <c r="A3547" s="10">
        <v>3486</v>
      </c>
      <c r="B3547" s="1832"/>
      <c r="D3547" s="2" t="str">
        <f t="shared" si="54"/>
        <v>OK</v>
      </c>
    </row>
    <row r="3548" spans="1:4" x14ac:dyDescent="0.2">
      <c r="A3548" s="5">
        <v>3487</v>
      </c>
      <c r="B3548" s="1832">
        <f>'Assets-Liab 5-6'!K6</f>
        <v>34059</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3909802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34059</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130143</v>
      </c>
      <c r="C3565" s="2" t="s">
        <v>569</v>
      </c>
      <c r="D3565" s="2" t="str">
        <f t="shared" si="54"/>
        <v>Error?</v>
      </c>
    </row>
    <row r="3566" spans="1:4" x14ac:dyDescent="0.2">
      <c r="A3566" s="5">
        <v>3505</v>
      </c>
      <c r="B3566" s="1832">
        <f>'Assets-Liab 5-6'!K38</f>
        <v>3779659</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3909802</v>
      </c>
      <c r="C3568" s="2" t="s">
        <v>569</v>
      </c>
      <c r="D3568" s="2" t="str">
        <f t="shared" si="54"/>
        <v>Error?</v>
      </c>
    </row>
    <row r="3569" spans="1:4" x14ac:dyDescent="0.2">
      <c r="A3569" s="5">
        <v>3508</v>
      </c>
      <c r="B3569" s="1832">
        <f>'Acct Summary 7-8'!K4</f>
        <v>73319</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73319</v>
      </c>
      <c r="C3571" s="2" t="s">
        <v>569</v>
      </c>
      <c r="D3571" s="2" t="str">
        <f t="shared" si="54"/>
        <v>Error?</v>
      </c>
    </row>
    <row r="3572" spans="1:4" x14ac:dyDescent="0.2">
      <c r="A3572" s="5">
        <v>3511</v>
      </c>
      <c r="B3572" s="1832">
        <f>'Acct Summary 7-8'!K13</f>
        <v>2241392</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2241392</v>
      </c>
      <c r="C3575" s="2" t="s">
        <v>569</v>
      </c>
      <c r="D3575" s="2" t="str">
        <f t="shared" si="54"/>
        <v>Error?</v>
      </c>
    </row>
    <row r="3576" spans="1:4" x14ac:dyDescent="0.2">
      <c r="A3576" s="5">
        <v>3515</v>
      </c>
      <c r="B3576" s="1832">
        <f>'Acct Summary 7-8'!K20</f>
        <v>-2168073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4075000</v>
      </c>
      <c r="D3579" s="2" t="str">
        <f t="shared" si="54"/>
        <v>Error?</v>
      </c>
    </row>
    <row r="3580" spans="1:4" x14ac:dyDescent="0.2">
      <c r="A3580" s="5">
        <v>3519</v>
      </c>
      <c r="B3580" s="1832">
        <f>'Acct Summary 7-8'!K34</f>
        <v>1090451</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5165451</v>
      </c>
      <c r="C3584" s="2" t="s">
        <v>569</v>
      </c>
      <c r="D3584" s="2" t="str">
        <f t="shared" si="55"/>
        <v>Error?</v>
      </c>
    </row>
    <row r="3585" spans="1:4" x14ac:dyDescent="0.2">
      <c r="A3585" s="12">
        <v>3524</v>
      </c>
      <c r="B3585" s="1832">
        <f>'Acct Summary 7-8'!K75</f>
        <v>165451</v>
      </c>
      <c r="D3585" s="2" t="str">
        <f t="shared" si="55"/>
        <v>Error?</v>
      </c>
    </row>
    <row r="3586" spans="1:4" x14ac:dyDescent="0.2">
      <c r="A3586" s="5">
        <v>3525</v>
      </c>
      <c r="B3586" s="1832">
        <f>'Acct Summary 7-8'!K76</f>
        <v>165451</v>
      </c>
      <c r="C3586" s="2" t="s">
        <v>569</v>
      </c>
      <c r="D3586" s="2" t="str">
        <f t="shared" si="55"/>
        <v>Error?</v>
      </c>
    </row>
    <row r="3587" spans="1:4" x14ac:dyDescent="0.2">
      <c r="A3587" s="5">
        <v>3526</v>
      </c>
      <c r="B3587" s="1832">
        <f>'Acct Summary 7-8'!K77</f>
        <v>5000000</v>
      </c>
      <c r="C3587" s="2" t="s">
        <v>569</v>
      </c>
      <c r="D3587" s="2" t="str">
        <f t="shared" si="55"/>
        <v>Error?</v>
      </c>
    </row>
    <row r="3588" spans="1:4" x14ac:dyDescent="0.2">
      <c r="A3588" s="5">
        <v>3527</v>
      </c>
      <c r="B3588" s="1832">
        <f>'Acct Summary 7-8'!K78</f>
        <v>2831927</v>
      </c>
      <c r="C3588" s="2" t="s">
        <v>569</v>
      </c>
      <c r="D3588" s="2" t="str">
        <f t="shared" si="55"/>
        <v>Error?</v>
      </c>
    </row>
    <row r="3589" spans="1:4" x14ac:dyDescent="0.2">
      <c r="A3589" s="5">
        <v>3528</v>
      </c>
      <c r="B3589" s="1832">
        <f>'Acct Summary 7-8'!K79</f>
        <v>947732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3779659</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1368551</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1368551</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1368551</v>
      </c>
      <c r="C3635" s="2" t="s">
        <v>569</v>
      </c>
      <c r="D3635" s="2" t="str">
        <f t="shared" si="55"/>
        <v>Error?</v>
      </c>
    </row>
    <row r="3636" spans="1:4" x14ac:dyDescent="0.2">
      <c r="A3636" s="5">
        <v>3575</v>
      </c>
      <c r="B3636" s="1832">
        <f>'Expenditures 15-22'!E367</f>
        <v>1368551</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872841</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872841</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872841</v>
      </c>
      <c r="C3649" s="2" t="s">
        <v>569</v>
      </c>
      <c r="D3649" s="2" t="str">
        <f t="shared" si="56"/>
        <v>Error?</v>
      </c>
    </row>
    <row r="3650" spans="1:4" x14ac:dyDescent="0.2">
      <c r="A3650" s="5">
        <v>3589</v>
      </c>
      <c r="B3650" s="1832">
        <f>'Expenditures 15-22'!G367</f>
        <v>872841</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2241392</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2241392</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2241392</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2241392</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-2168073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34490</v>
      </c>
      <c r="C3725" s="2" t="s">
        <v>569</v>
      </c>
      <c r="D3725" s="2" t="str">
        <f t="shared" si="57"/>
        <v>Error?</v>
      </c>
    </row>
    <row r="3726" spans="1:4" x14ac:dyDescent="0.2">
      <c r="A3726" s="5">
        <v>3665</v>
      </c>
      <c r="B3726" s="1832">
        <f>'Tax Sched 23'!D13</f>
        <v>34490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36643</v>
      </c>
      <c r="C3728" s="2" t="s">
        <v>569</v>
      </c>
      <c r="D3728" s="2" t="str">
        <f t="shared" si="57"/>
        <v>Error?</v>
      </c>
    </row>
    <row r="3729" spans="1:4" x14ac:dyDescent="0.2">
      <c r="A3729" s="5">
        <v>3668</v>
      </c>
      <c r="B3729" s="1832">
        <f>'Tax Sched 23'!E13</f>
        <v>36643</v>
      </c>
      <c r="D3729" s="2" t="str">
        <f t="shared" si="57"/>
        <v>Error?</v>
      </c>
    </row>
    <row r="3730" spans="1:4" x14ac:dyDescent="0.2">
      <c r="A3730" s="5">
        <v>3669</v>
      </c>
      <c r="B3730" s="1832">
        <f>'ICR Computation 30'!E10</f>
        <v>1508505</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15496159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58509314</v>
      </c>
      <c r="C4122" s="2" t="s">
        <v>569</v>
      </c>
      <c r="D4122" s="2" t="str">
        <f t="shared" si="63"/>
        <v>Error?</v>
      </c>
    </row>
    <row r="4123" spans="1:4" x14ac:dyDescent="0.2">
      <c r="A4123" s="5">
        <v>4062</v>
      </c>
      <c r="B4123" s="1832">
        <f>'Acct Summary 7-8'!D10</f>
        <v>2928594</v>
      </c>
      <c r="C4123" s="2" t="s">
        <v>569</v>
      </c>
      <c r="D4123" s="2" t="str">
        <f t="shared" si="63"/>
        <v>Error?</v>
      </c>
    </row>
    <row r="4124" spans="1:4" x14ac:dyDescent="0.2">
      <c r="A4124" s="5">
        <v>4063</v>
      </c>
      <c r="B4124" s="1832">
        <f>'Acct Summary 7-8'!E10</f>
        <v>2928556</v>
      </c>
      <c r="C4124" s="2" t="s">
        <v>569</v>
      </c>
      <c r="D4124" s="2" t="str">
        <f t="shared" si="63"/>
        <v>Error?</v>
      </c>
    </row>
    <row r="4125" spans="1:4" x14ac:dyDescent="0.2">
      <c r="A4125" s="5">
        <v>4064</v>
      </c>
      <c r="B4125" s="1832">
        <f>'Acct Summary 7-8'!F10</f>
        <v>2920629</v>
      </c>
      <c r="C4125" s="2" t="s">
        <v>569</v>
      </c>
      <c r="D4125" s="2" t="str">
        <f t="shared" si="63"/>
        <v>Error?</v>
      </c>
    </row>
    <row r="4126" spans="1:4" x14ac:dyDescent="0.2">
      <c r="A4126" s="5">
        <v>4065</v>
      </c>
      <c r="B4126" s="1832">
        <f>'Acct Summary 7-8'!G10</f>
        <v>1933927</v>
      </c>
      <c r="C4126" s="2" t="s">
        <v>569</v>
      </c>
      <c r="D4126" s="2" t="str">
        <f t="shared" si="63"/>
        <v>Error?</v>
      </c>
    </row>
    <row r="4127" spans="1:4" x14ac:dyDescent="0.2">
      <c r="A4127" s="5">
        <v>4066</v>
      </c>
      <c r="B4127" s="1832">
        <f>'Acct Summary 7-8'!H10</f>
        <v>9270</v>
      </c>
      <c r="C4127" s="2" t="s">
        <v>569</v>
      </c>
      <c r="D4127" s="2" t="str">
        <f t="shared" si="63"/>
        <v>Error?</v>
      </c>
    </row>
    <row r="4128" spans="1:4" x14ac:dyDescent="0.2">
      <c r="A4128" s="5">
        <v>4067</v>
      </c>
      <c r="B4128" s="1832">
        <f>'Acct Summary 7-8'!I10</f>
        <v>81503</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73319</v>
      </c>
      <c r="C4130" s="2" t="s">
        <v>569</v>
      </c>
      <c r="D4130" s="2" t="str">
        <f t="shared" si="63"/>
        <v>Error?</v>
      </c>
    </row>
    <row r="4131" spans="1:4" x14ac:dyDescent="0.2">
      <c r="A4131" s="5">
        <v>4070</v>
      </c>
      <c r="B4131" s="1832">
        <f>'Acct Summary 7-8'!C18</f>
        <v>15496159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58193715</v>
      </c>
      <c r="C4136" s="2" t="s">
        <v>569</v>
      </c>
      <c r="D4136" s="2" t="str">
        <f t="shared" si="63"/>
        <v>Error?</v>
      </c>
    </row>
    <row r="4137" spans="1:4" x14ac:dyDescent="0.2">
      <c r="A4137" s="5">
        <v>4076</v>
      </c>
      <c r="B4137" s="1832">
        <f>'Acct Summary 7-8'!D19</f>
        <v>2652196</v>
      </c>
      <c r="C4137" s="2" t="s">
        <v>569</v>
      </c>
      <c r="D4137" s="2" t="str">
        <f t="shared" si="63"/>
        <v>Error?</v>
      </c>
    </row>
    <row r="4138" spans="1:4" x14ac:dyDescent="0.2">
      <c r="A4138" s="5">
        <v>4077</v>
      </c>
      <c r="B4138" s="1832">
        <f>'Acct Summary 7-8'!E19</f>
        <v>2891817</v>
      </c>
      <c r="C4138" s="2" t="s">
        <v>569</v>
      </c>
      <c r="D4138" s="2" t="str">
        <f t="shared" si="63"/>
        <v>Error?</v>
      </c>
    </row>
    <row r="4139" spans="1:4" x14ac:dyDescent="0.2">
      <c r="A4139" s="5">
        <v>4078</v>
      </c>
      <c r="B4139" s="1832">
        <f>'Acct Summary 7-8'!F19</f>
        <v>2906976</v>
      </c>
      <c r="C4139" s="2" t="s">
        <v>569</v>
      </c>
      <c r="D4139" s="2" t="str">
        <f t="shared" si="63"/>
        <v>Error?</v>
      </c>
    </row>
    <row r="4140" spans="1:4" x14ac:dyDescent="0.2">
      <c r="A4140" s="5">
        <v>4079</v>
      </c>
      <c r="B4140" s="1832">
        <f>'Acct Summary 7-8'!G19</f>
        <v>2069420</v>
      </c>
      <c r="C4140" s="2" t="s">
        <v>569</v>
      </c>
      <c r="D4140" s="2" t="str">
        <f t="shared" si="63"/>
        <v>Error?</v>
      </c>
    </row>
    <row r="4141" spans="1:4" x14ac:dyDescent="0.2">
      <c r="A4141" s="5">
        <v>4080</v>
      </c>
      <c r="B4141" s="1832">
        <f>'Acct Summary 7-8'!H19</f>
        <v>402850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2241392</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22715000</v>
      </c>
      <c r="C4171" s="2" t="s">
        <v>569</v>
      </c>
      <c r="D4171" s="2" t="str">
        <f t="shared" si="64"/>
        <v>Error?</v>
      </c>
    </row>
    <row r="4172" spans="1:4" x14ac:dyDescent="0.2">
      <c r="A4172" s="5">
        <v>4111</v>
      </c>
      <c r="B4172" s="1832">
        <f>'Short-Term Long-Term Debt 24'!J49</f>
        <v>22715000</v>
      </c>
      <c r="C4172" s="2" t="s">
        <v>569</v>
      </c>
      <c r="D4172" s="2" t="str">
        <f t="shared" si="64"/>
        <v>Error?</v>
      </c>
    </row>
    <row r="4173" spans="1:4" x14ac:dyDescent="0.2">
      <c r="A4173" s="5">
        <v>4112</v>
      </c>
      <c r="B4173" s="1832">
        <f>'Short-Term Long-Term Debt 24'!H49</f>
        <v>2115000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-7320531</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1714.3999999999999</v>
      </c>
      <c r="C4265" s="2" t="s">
        <v>569</v>
      </c>
      <c r="D4265" s="2" t="str">
        <f t="shared" si="65"/>
        <v>Error?</v>
      </c>
      <c r="E4265" s="125"/>
    </row>
    <row r="4266" spans="1:5" x14ac:dyDescent="0.2">
      <c r="A4266" s="12">
        <v>4205</v>
      </c>
      <c r="B4266" s="1832">
        <f>('FP Info 3'!F10)*100000</f>
        <v>375</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2289</v>
      </c>
      <c r="C4268" s="2" t="s">
        <v>569</v>
      </c>
      <c r="D4268" s="2" t="str">
        <f t="shared" si="65"/>
        <v>Error?</v>
      </c>
    </row>
    <row r="4269" spans="1:5" x14ac:dyDescent="0.2">
      <c r="A4269" s="12">
        <v>4208</v>
      </c>
      <c r="B4269" s="1832">
        <f>'FP Info 3'!J16</f>
        <v>26721538</v>
      </c>
      <c r="C4269" s="2" t="s">
        <v>569</v>
      </c>
      <c r="D4269" s="2" t="str">
        <f t="shared" si="65"/>
        <v>Error?</v>
      </c>
    </row>
    <row r="4270" spans="1:5" x14ac:dyDescent="0.2">
      <c r="A4270" s="12">
        <v>4209</v>
      </c>
      <c r="B4270" s="1832">
        <f>'FP Info 3'!D24</f>
        <v>1110326</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1202693</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1553</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9950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193068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177580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788234</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21419</v>
      </c>
      <c r="D4410" s="2" t="str">
        <f t="shared" si="67"/>
        <v>Error?</v>
      </c>
    </row>
    <row r="4411" spans="1:5" x14ac:dyDescent="0.2">
      <c r="A4411" s="5">
        <v>4350</v>
      </c>
      <c r="B4411" s="1832">
        <f>'Revenues 9-14'!C209</f>
        <v>988386</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22596</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299426</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2730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69657</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351186</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108327</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73286776</v>
      </c>
      <c r="D4995" s="2" t="str">
        <f t="shared" si="77"/>
        <v>Error?</v>
      </c>
    </row>
    <row r="4996" spans="1:4" x14ac:dyDescent="0.2">
      <c r="A4996" s="12">
        <v>4935</v>
      </c>
      <c r="B4996" s="1832">
        <f>'FP Info 3'!H31</f>
        <v>10113575.088000001</v>
      </c>
      <c r="D4996" s="2" t="str">
        <f t="shared" si="77"/>
        <v>Error?</v>
      </c>
    </row>
    <row r="4997" spans="1:4" x14ac:dyDescent="0.2">
      <c r="A4997" s="12">
        <v>4936</v>
      </c>
      <c r="B4997" s="1832">
        <f>'FP Info 3'!H37</f>
        <v>22715000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34490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1779474</v>
      </c>
      <c r="D5061" s="2" t="str">
        <f t="shared" si="78"/>
        <v>Error?</v>
      </c>
    </row>
    <row r="5062" spans="1:4" x14ac:dyDescent="0.2">
      <c r="A5062" s="10">
        <v>5001</v>
      </c>
      <c r="B5062" s="1832"/>
      <c r="D5062" s="2" t="str">
        <f t="shared" si="78"/>
        <v>OK</v>
      </c>
    </row>
    <row r="5063" spans="1:4" x14ac:dyDescent="0.2">
      <c r="A5063" s="5">
        <v>5002</v>
      </c>
      <c r="B5063" s="1832">
        <f>'Revenues 9-14'!C7</f>
        <v>27585</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1841549</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1739433</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1739433</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76010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76010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3963</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3963</v>
      </c>
      <c r="C5096" s="2" t="s">
        <v>569</v>
      </c>
      <c r="D5096" s="2" t="str">
        <f t="shared" si="78"/>
        <v>Error?</v>
      </c>
    </row>
    <row r="5097" spans="1:4" x14ac:dyDescent="0.2">
      <c r="A5097" s="5">
        <v>5036</v>
      </c>
      <c r="B5097" s="1832">
        <f>'Revenues 9-14'!C77</f>
        <v>14809</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14809</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113778</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259754</v>
      </c>
      <c r="D5119" s="2" t="str">
        <f t="shared" ref="D5119:D5182" si="79">IF(ISBLANK(B5119),"OK",IF(A5119-B5119=0,"OK","Error?"))</f>
        <v>Error?</v>
      </c>
    </row>
    <row r="5120" spans="1:4" x14ac:dyDescent="0.2">
      <c r="A5120" s="5">
        <v>5059</v>
      </c>
      <c r="B5120" s="1832">
        <f>'Revenues 9-14'!C108</f>
        <v>375782</v>
      </c>
      <c r="C5120" s="2" t="s">
        <v>569</v>
      </c>
      <c r="D5120" s="2" t="str">
        <f t="shared" si="79"/>
        <v>Error?</v>
      </c>
    </row>
    <row r="5121" spans="1:4" x14ac:dyDescent="0.2">
      <c r="A5121" s="5">
        <v>5060</v>
      </c>
      <c r="B5121" s="1832">
        <f>'Revenues 9-14'!C109</f>
        <v>4051546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27495816</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27604143</v>
      </c>
      <c r="C5132" s="2" t="s">
        <v>569</v>
      </c>
      <c r="D5132" s="2" t="str">
        <f t="shared" si="79"/>
        <v>Error?</v>
      </c>
    </row>
    <row r="5133" spans="1:4" x14ac:dyDescent="0.2">
      <c r="A5133" s="5">
        <v>5072</v>
      </c>
      <c r="B5133" s="1832">
        <f>'Revenues 9-14'!C125</f>
        <v>597260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260493</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857753</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23887</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24111</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29203</v>
      </c>
      <c r="D5167" s="2" t="str">
        <f t="shared" si="79"/>
        <v>Error?</v>
      </c>
    </row>
    <row r="5168" spans="1:4" x14ac:dyDescent="0.2">
      <c r="A5168" s="5">
        <v>5107</v>
      </c>
      <c r="B5168" s="1832">
        <f>'Revenues 9-14'!C148</f>
        <v>26629</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85498</v>
      </c>
      <c r="D5194" s="2" t="str">
        <f t="shared" si="80"/>
        <v>Error?</v>
      </c>
    </row>
    <row r="5195" spans="1:5" x14ac:dyDescent="0.2">
      <c r="A5195" s="10">
        <v>5134</v>
      </c>
      <c r="B5195" s="1832"/>
      <c r="D5195" s="2" t="str">
        <f t="shared" si="80"/>
        <v>OK</v>
      </c>
    </row>
    <row r="5196" spans="1:5" x14ac:dyDescent="0.2">
      <c r="A5196" s="5">
        <v>5135</v>
      </c>
      <c r="B5196" s="1832">
        <f>'Revenues 9-14'!C159</f>
        <v>811841</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1904692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29508835</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1174303</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495911</v>
      </c>
      <c r="D5241" s="2" t="str">
        <f t="shared" si="80"/>
        <v>Error?</v>
      </c>
    </row>
    <row r="5242" spans="1:4" x14ac:dyDescent="0.2">
      <c r="A5242" s="5">
        <v>5181</v>
      </c>
      <c r="B5242" s="1832">
        <f>'Revenues 9-14'!C194</f>
        <v>194401</v>
      </c>
      <c r="D5242" s="2" t="str">
        <f t="shared" si="80"/>
        <v>Error?</v>
      </c>
    </row>
    <row r="5243" spans="1:4" x14ac:dyDescent="0.2">
      <c r="A5243" s="5">
        <v>5182</v>
      </c>
      <c r="B5243" s="1832">
        <f>'Revenues 9-14'!C195</f>
        <v>137792</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2066037</v>
      </c>
      <c r="C5246" s="2" t="s">
        <v>569</v>
      </c>
      <c r="D5246" s="2" t="str">
        <f t="shared" si="80"/>
        <v>Error?</v>
      </c>
    </row>
    <row r="5247" spans="1:4" x14ac:dyDescent="0.2">
      <c r="A5247" s="5">
        <v>5186</v>
      </c>
      <c r="B5247" s="1832">
        <f>'Revenues 9-14'!C200</f>
        <v>3122943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200152</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4325636</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28939</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863452</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892391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99613</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109563</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9452774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9452774</v>
      </c>
      <c r="C5326" s="2" t="s">
        <v>569</v>
      </c>
      <c r="D5326" s="2" t="str">
        <f t="shared" si="82"/>
        <v>Error?</v>
      </c>
    </row>
    <row r="5327" spans="1:5" x14ac:dyDescent="0.2">
      <c r="A5327" s="5">
        <v>5266</v>
      </c>
      <c r="B5327" s="1832">
        <f>'Revenues 9-14'!C268</f>
        <v>43013155</v>
      </c>
      <c r="C5327" s="2" t="s">
        <v>569</v>
      </c>
      <c r="D5327" s="2" t="str">
        <f t="shared" si="82"/>
        <v>Error?</v>
      </c>
    </row>
    <row r="5328" spans="1:5" x14ac:dyDescent="0.2">
      <c r="A5328" s="5">
        <v>5267</v>
      </c>
      <c r="B5328" s="1832">
        <f>'Revenues 9-14'!D5</f>
        <v>258647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258647</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18690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18690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1257</v>
      </c>
      <c r="D5354" s="2" t="str">
        <f t="shared" si="82"/>
        <v>Error?</v>
      </c>
    </row>
    <row r="5355" spans="1:4" x14ac:dyDescent="0.2">
      <c r="A5355" s="5">
        <v>5294</v>
      </c>
      <c r="B5355" s="1832">
        <f>'Revenues 9-14'!D108</f>
        <v>1257</v>
      </c>
      <c r="C5355" s="2" t="s">
        <v>569</v>
      </c>
      <c r="D5355" s="2" t="str">
        <f t="shared" si="82"/>
        <v>Error?</v>
      </c>
    </row>
    <row r="5356" spans="1:4" x14ac:dyDescent="0.2">
      <c r="A5356" s="5">
        <v>5295</v>
      </c>
      <c r="B5356" s="1832">
        <f>'Revenues 9-14'!D109</f>
        <v>278594</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2650000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2650000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2650000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2928594</v>
      </c>
      <c r="C5508" s="2" t="s">
        <v>569</v>
      </c>
      <c r="D5508" s="2" t="str">
        <f t="shared" si="85"/>
        <v>Error?</v>
      </c>
    </row>
    <row r="5509" spans="1:4" x14ac:dyDescent="0.2">
      <c r="A5509" s="5">
        <v>5448</v>
      </c>
      <c r="B5509" s="1832">
        <f>'Revenues 9-14'!E5</f>
        <v>2285257</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2285257</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12113</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12113</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2297370</v>
      </c>
      <c r="C5527" s="2" t="s">
        <v>569</v>
      </c>
      <c r="D5527" s="2" t="str">
        <f t="shared" si="85"/>
        <v>Error?</v>
      </c>
    </row>
    <row r="5528" spans="1:4" x14ac:dyDescent="0.2">
      <c r="A5528" s="5">
        <v>5467</v>
      </c>
      <c r="B5528" s="1832">
        <f>'Revenues 9-14'!E117</f>
        <v>631186</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631186</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631186</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2928556</v>
      </c>
      <c r="C5552" s="2" t="s">
        <v>569</v>
      </c>
      <c r="D5552" s="2" t="str">
        <f t="shared" si="85"/>
        <v>Error?</v>
      </c>
    </row>
    <row r="5553" spans="1:4" x14ac:dyDescent="0.2">
      <c r="A5553" s="5">
        <v>5492</v>
      </c>
      <c r="B5553" s="1832">
        <f>'Revenues 9-14'!F5</f>
        <v>137942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137942</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40508</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40508</v>
      </c>
      <c r="C5579" s="2" t="s">
        <v>569</v>
      </c>
      <c r="D5579" s="2" t="str">
        <f t="shared" si="86"/>
        <v>Error?</v>
      </c>
    </row>
    <row r="5580" spans="1:4" x14ac:dyDescent="0.2">
      <c r="A5580" s="5">
        <v>5519</v>
      </c>
      <c r="B5580" s="1832">
        <f>'Revenues 9-14'!F65</f>
        <v>38621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38621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109313</v>
      </c>
      <c r="D5586" s="2" t="str">
        <f t="shared" si="86"/>
        <v>Error?</v>
      </c>
    </row>
    <row r="5587" spans="1:4" x14ac:dyDescent="0.2">
      <c r="A5587" s="5">
        <v>5526</v>
      </c>
      <c r="B5587" s="1832">
        <f>'Revenues 9-14'!F108</f>
        <v>109313</v>
      </c>
      <c r="C5587" s="2" t="s">
        <v>569</v>
      </c>
      <c r="D5587" s="2" t="str">
        <f t="shared" si="86"/>
        <v>Error?</v>
      </c>
    </row>
    <row r="5588" spans="1:4" x14ac:dyDescent="0.2">
      <c r="A5588" s="5">
        <v>5527</v>
      </c>
      <c r="B5588" s="1832">
        <f>'Revenues 9-14'!F109</f>
        <v>326384</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590000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590000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1272364</v>
      </c>
      <c r="D5615" s="2" t="str">
        <f t="shared" si="86"/>
        <v>Error?</v>
      </c>
    </row>
    <row r="5616" spans="1:4" x14ac:dyDescent="0.2">
      <c r="A5616" s="10">
        <v>5555</v>
      </c>
      <c r="B5616" s="1832"/>
      <c r="D5616" s="2" t="str">
        <f t="shared" si="86"/>
        <v>OK</v>
      </c>
    </row>
    <row r="5617" spans="1:5" x14ac:dyDescent="0.2">
      <c r="A5617" s="5">
        <v>5556</v>
      </c>
      <c r="B5617" s="1832">
        <f>'Revenues 9-14'!F153</f>
        <v>731881</v>
      </c>
      <c r="D5617" s="2" t="str">
        <f t="shared" si="86"/>
        <v>Error?</v>
      </c>
    </row>
    <row r="5618" spans="1:5" x14ac:dyDescent="0.2">
      <c r="A5618" s="5">
        <v>5557</v>
      </c>
      <c r="B5618" s="1832">
        <f>'Revenues 9-14'!F155</f>
        <v>2004245</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2004245</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2594245</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2920629</v>
      </c>
      <c r="C5720" s="2" t="s">
        <v>569</v>
      </c>
      <c r="D5720" s="2" t="str">
        <f t="shared" si="88"/>
        <v>Error?</v>
      </c>
    </row>
    <row r="5721" spans="1:4" x14ac:dyDescent="0.2">
      <c r="A5721" s="5">
        <v>5660</v>
      </c>
      <c r="B5721" s="1832">
        <f>'Revenues 9-14'!G5</f>
        <v>749589</v>
      </c>
      <c r="D5721" s="2" t="str">
        <f t="shared" si="88"/>
        <v>Error?</v>
      </c>
    </row>
    <row r="5722" spans="1:4" x14ac:dyDescent="0.2">
      <c r="A5722" s="5">
        <v>5661</v>
      </c>
      <c r="B5722" s="1832">
        <f>'Revenues 9-14'!G7</f>
        <v>0</v>
      </c>
      <c r="D5722" s="2" t="str">
        <f t="shared" si="88"/>
        <v>Error?</v>
      </c>
    </row>
    <row r="5723" spans="1:4" x14ac:dyDescent="0.2">
      <c r="A5723" s="5">
        <v>5662</v>
      </c>
      <c r="B5723" s="1832">
        <f>'Revenues 9-14'!G8</f>
        <v>545849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1295438</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338623</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338623</v>
      </c>
      <c r="C5730" s="2" t="s">
        <v>569</v>
      </c>
      <c r="D5730" s="2" t="str">
        <f t="shared" si="88"/>
        <v>Error?</v>
      </c>
    </row>
    <row r="5731" spans="1:4" x14ac:dyDescent="0.2">
      <c r="A5731" s="5">
        <v>5670</v>
      </c>
      <c r="B5731" s="1832">
        <f>'Revenues 9-14'!G65</f>
        <v>9613</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9613</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28254</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28254</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28254</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156551</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1177</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158104</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3810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74759</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78569</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261999</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261999</v>
      </c>
      <c r="C5869" s="2" t="s">
        <v>569</v>
      </c>
      <c r="D5869" s="2" t="str">
        <f t="shared" si="90"/>
        <v>Error?</v>
      </c>
    </row>
    <row r="5870" spans="1:4" x14ac:dyDescent="0.2">
      <c r="A5870" s="5">
        <v>5809</v>
      </c>
      <c r="B5870" s="1832">
        <f>'Revenues 9-14'!G268</f>
        <v>1933927</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9270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9270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9270</v>
      </c>
      <c r="C5915" s="2" t="s">
        <v>569</v>
      </c>
      <c r="D5915" s="2" t="str">
        <f t="shared" si="91"/>
        <v>Error?</v>
      </c>
    </row>
    <row r="5916" spans="1:4" x14ac:dyDescent="0.2">
      <c r="A5916" s="5">
        <v>5855</v>
      </c>
      <c r="B5916" s="1832">
        <f>'Revenues 9-14'!I5</f>
        <v>34490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34490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47013</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47013</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81503</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34490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34490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38829</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38829</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73319</v>
      </c>
      <c r="C6023" s="2" t="s">
        <v>569</v>
      </c>
      <c r="D6023" s="2" t="str">
        <f t="shared" si="93"/>
        <v>Error?</v>
      </c>
    </row>
    <row r="6024" spans="1:5" x14ac:dyDescent="0.2">
      <c r="A6024" s="5">
        <v>5963</v>
      </c>
      <c r="B6024" s="1832">
        <f>'Revenues 9-14'!G109</f>
        <v>1643674</v>
      </c>
      <c r="C6024" s="2" t="s">
        <v>569</v>
      </c>
      <c r="D6024" s="2" t="str">
        <f t="shared" si="93"/>
        <v>Error?</v>
      </c>
    </row>
    <row r="6025" spans="1:5" x14ac:dyDescent="0.2">
      <c r="A6025" s="5">
        <v>5964</v>
      </c>
      <c r="B6025" s="1832">
        <f>'Revenues 9-14'!H109</f>
        <v>9270</v>
      </c>
      <c r="C6025" s="2" t="s">
        <v>569</v>
      </c>
      <c r="D6025" s="2" t="str">
        <f t="shared" si="93"/>
        <v>Error?</v>
      </c>
    </row>
    <row r="6026" spans="1:5" x14ac:dyDescent="0.2">
      <c r="A6026" s="5">
        <v>5965</v>
      </c>
      <c r="B6026" s="1832">
        <f>'Revenues 9-14'!I109</f>
        <v>81503</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73319</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166834</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2928.2</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1550005</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439679</v>
      </c>
      <c r="D6078" s="2" t="str">
        <f t="shared" si="93"/>
        <v>Error?</v>
      </c>
      <c r="E6078" s="2" t="s">
        <v>924</v>
      </c>
    </row>
    <row r="6079" spans="1:5" x14ac:dyDescent="0.2">
      <c r="A6079">
        <v>6018</v>
      </c>
      <c r="B6079" s="1832">
        <f>'Short-Term Long-Term Debt 24'!F27</f>
        <v>1110326</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341979</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1740950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501840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19750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18875</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3643685</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341979</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62806</v>
      </c>
      <c r="D6142" s="2" t="str">
        <f t="shared" si="94"/>
        <v>Error?</v>
      </c>
      <c r="E6142" s="2" t="s">
        <v>189</v>
      </c>
    </row>
    <row r="6143" spans="1:5" x14ac:dyDescent="0.2">
      <c r="A6143">
        <v>6082</v>
      </c>
      <c r="B6143" s="1832">
        <f>'Assets-Liab 5-6'!D27</f>
        <v>94122</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4355</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74831</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8751</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96084</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1105701</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51520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4949</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2384839</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2398539</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1245146</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3643685</v>
      </c>
      <c r="D6216" s="2" t="str">
        <f t="shared" si="96"/>
        <v>Error?</v>
      </c>
      <c r="E6216" s="2" t="s">
        <v>189</v>
      </c>
    </row>
    <row r="6217" spans="1:5" x14ac:dyDescent="0.2">
      <c r="A6217">
        <v>6156</v>
      </c>
      <c r="B6217" s="1832">
        <f>'Assets-Liab 5-6'!J4</f>
        <v>1239971</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2384839</v>
      </c>
      <c r="D6219" s="2" t="str">
        <f t="shared" si="96"/>
        <v>Error?</v>
      </c>
      <c r="E6219" s="2" t="s">
        <v>189</v>
      </c>
    </row>
    <row r="6220" spans="1:5" x14ac:dyDescent="0.2">
      <c r="A6220">
        <v>6159</v>
      </c>
      <c r="B6220" s="1832">
        <f>'Acct Summary 7-8'!J4</f>
        <v>2947585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2947585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2947585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2219271</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2219271</v>
      </c>
      <c r="D6229" s="2" t="str">
        <f t="shared" si="96"/>
        <v>Error?</v>
      </c>
      <c r="E6229" s="2" t="s">
        <v>189</v>
      </c>
    </row>
    <row r="6230" spans="1:5" x14ac:dyDescent="0.2">
      <c r="A6230">
        <v>6169</v>
      </c>
      <c r="B6230" s="1832">
        <f>'Acct Summary 7-8'!J20</f>
        <v>728314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861996</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728314</v>
      </c>
      <c r="D6263" s="2" t="str">
        <f t="shared" si="96"/>
        <v>Error?</v>
      </c>
      <c r="E6263" s="2" t="s">
        <v>189</v>
      </c>
    </row>
    <row r="6264" spans="1:5" x14ac:dyDescent="0.2">
      <c r="A6264">
        <v>6203</v>
      </c>
      <c r="B6264" s="1832">
        <f>'Acct Summary 7-8'!J79</f>
        <v>516832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1245146</v>
      </c>
      <c r="D6266" s="2" t="str">
        <f t="shared" si="96"/>
        <v>Error?</v>
      </c>
      <c r="E6266" s="2" t="s">
        <v>189</v>
      </c>
    </row>
    <row r="6267" spans="1:5" x14ac:dyDescent="0.2">
      <c r="A6267">
        <v>6206</v>
      </c>
      <c r="B6267" s="1832">
        <f>'Acct Summary 7-8'!C82</f>
        <v>315599</v>
      </c>
      <c r="D6267" s="2" t="str">
        <f t="shared" si="96"/>
        <v>Error?</v>
      </c>
      <c r="E6267" s="2" t="s">
        <v>189</v>
      </c>
    </row>
    <row r="6268" spans="1:5" x14ac:dyDescent="0.2">
      <c r="A6268">
        <v>6207</v>
      </c>
      <c r="B6268" s="1832">
        <f>'Acct Summary 7-8'!D82</f>
        <v>3078847</v>
      </c>
      <c r="D6268" s="2" t="str">
        <f t="shared" si="96"/>
        <v>Error?</v>
      </c>
      <c r="E6268" s="2" t="s">
        <v>189</v>
      </c>
    </row>
    <row r="6269" spans="1:5" x14ac:dyDescent="0.2">
      <c r="A6269">
        <v>6208</v>
      </c>
      <c r="B6269" s="1832">
        <f>'Acct Summary 7-8'!E82</f>
        <v>36739</v>
      </c>
      <c r="D6269" s="2" t="str">
        <f t="shared" si="96"/>
        <v>Error?</v>
      </c>
      <c r="E6269" s="2" t="s">
        <v>189</v>
      </c>
    </row>
    <row r="6270" spans="1:5" x14ac:dyDescent="0.2">
      <c r="A6270">
        <v>6209</v>
      </c>
      <c r="B6270" s="1832">
        <f>'Acct Summary 7-8'!F82</f>
        <v>1403653</v>
      </c>
      <c r="D6270" s="2" t="str">
        <f t="shared" si="96"/>
        <v>Error?</v>
      </c>
      <c r="E6270" s="2" t="s">
        <v>189</v>
      </c>
    </row>
    <row r="6271" spans="1:5" x14ac:dyDescent="0.2">
      <c r="A6271">
        <v>6210</v>
      </c>
      <c r="B6271" s="1832">
        <f>'Acct Summary 7-8'!G82</f>
        <v>-135493</v>
      </c>
      <c r="D6271" s="2" t="str">
        <f t="shared" ref="D6271:D6334" si="97">IF(ISBLANK(B6271),"OK",IF(A6271-B6271=0,"OK","Error?"))</f>
        <v>Error?</v>
      </c>
      <c r="E6271" s="2" t="s">
        <v>189</v>
      </c>
    </row>
    <row r="6272" spans="1:5" x14ac:dyDescent="0.2">
      <c r="A6272">
        <v>6211</v>
      </c>
      <c r="B6272" s="1832">
        <f>'Acct Summary 7-8'!H82</f>
        <v>357410</v>
      </c>
      <c r="D6272" s="2" t="str">
        <f t="shared" si="97"/>
        <v>Error?</v>
      </c>
      <c r="E6272" s="2" t="s">
        <v>189</v>
      </c>
    </row>
    <row r="6273" spans="1:5" x14ac:dyDescent="0.2">
      <c r="A6273">
        <v>6212</v>
      </c>
      <c r="B6273" s="1832">
        <f>'Acct Summary 7-8'!I82</f>
        <v>7752015</v>
      </c>
      <c r="D6273" s="2" t="str">
        <f t="shared" si="97"/>
        <v>Error?</v>
      </c>
      <c r="E6273" s="2" t="s">
        <v>189</v>
      </c>
    </row>
    <row r="6274" spans="1:5" x14ac:dyDescent="0.2">
      <c r="A6274">
        <v>6213</v>
      </c>
      <c r="B6274" s="1832">
        <f>'Acct Summary 7-8'!J82</f>
        <v>728314</v>
      </c>
      <c r="D6274" s="2" t="str">
        <f t="shared" si="97"/>
        <v>Error?</v>
      </c>
      <c r="E6274" s="2" t="s">
        <v>189</v>
      </c>
    </row>
    <row r="6275" spans="1:5" x14ac:dyDescent="0.2">
      <c r="A6275">
        <v>6214</v>
      </c>
      <c r="B6275" s="1832">
        <f>'Acct Summary 7-8'!K82</f>
        <v>2831927</v>
      </c>
      <c r="D6275" s="2" t="str">
        <f t="shared" si="97"/>
        <v>Error?</v>
      </c>
      <c r="E6275" s="2" t="s">
        <v>189</v>
      </c>
    </row>
    <row r="6276" spans="1:5" x14ac:dyDescent="0.2">
      <c r="A6276">
        <v>6215</v>
      </c>
      <c r="B6276" s="1832">
        <f>'Acct Summary 7-8'!C83</f>
        <v>4.8996446814856029E-2</v>
      </c>
      <c r="D6276" s="2" t="str">
        <f t="shared" si="97"/>
        <v>Error?</v>
      </c>
      <c r="E6276" s="2" t="s">
        <v>189</v>
      </c>
    </row>
    <row r="6277" spans="1:5" x14ac:dyDescent="0.2">
      <c r="A6277">
        <v>6216</v>
      </c>
      <c r="B6277" s="1832">
        <f>'Acct Summary 7-8'!D83</f>
        <v>0.81653427492714736</v>
      </c>
      <c r="D6277" s="2" t="str">
        <f t="shared" si="97"/>
        <v>Error?</v>
      </c>
      <c r="E6277" s="2" t="s">
        <v>189</v>
      </c>
    </row>
    <row r="6278" spans="1:5" x14ac:dyDescent="0.2">
      <c r="A6278">
        <v>6217</v>
      </c>
      <c r="B6278" s="1832">
        <f>'Acct Summary 7-8'!E83</f>
        <v>-0.10743057322233236</v>
      </c>
      <c r="D6278" s="2" t="str">
        <f t="shared" si="97"/>
        <v>Error?</v>
      </c>
      <c r="E6278" s="2" t="s">
        <v>189</v>
      </c>
    </row>
    <row r="6279" spans="1:5" x14ac:dyDescent="0.2">
      <c r="A6279">
        <v>6218</v>
      </c>
      <c r="B6279" s="1832">
        <f>'Acct Summary 7-8'!F83</f>
        <v>0.30854120867707513</v>
      </c>
      <c r="D6279" s="2" t="str">
        <f t="shared" si="97"/>
        <v>Error?</v>
      </c>
      <c r="E6279" s="2" t="s">
        <v>189</v>
      </c>
    </row>
    <row r="6280" spans="1:5" x14ac:dyDescent="0.2">
      <c r="A6280">
        <v>6219</v>
      </c>
      <c r="B6280" s="1832">
        <f>'Acct Summary 7-8'!G83</f>
        <v>-0.15578492062032046</v>
      </c>
      <c r="D6280" s="2" t="str">
        <f t="shared" si="97"/>
        <v>Error?</v>
      </c>
      <c r="E6280" s="2" t="s">
        <v>189</v>
      </c>
    </row>
    <row r="6281" spans="1:5" x14ac:dyDescent="0.2">
      <c r="A6281">
        <v>6220</v>
      </c>
      <c r="B6281" s="1832">
        <f>'Acct Summary 7-8'!H83</f>
        <v>0.27311789666895658</v>
      </c>
      <c r="D6281" s="2" t="str">
        <f t="shared" si="97"/>
        <v>Error?</v>
      </c>
      <c r="E6281" s="2" t="s">
        <v>189</v>
      </c>
    </row>
    <row r="6282" spans="1:5" x14ac:dyDescent="0.2">
      <c r="A6282">
        <v>6221</v>
      </c>
      <c r="B6282" s="1832">
        <f>'Acct Summary 7-8'!I83</f>
        <v>0.64814412249298226</v>
      </c>
      <c r="D6282" s="2" t="str">
        <f t="shared" si="97"/>
        <v>Error?</v>
      </c>
      <c r="E6282" s="2" t="s">
        <v>189</v>
      </c>
    </row>
    <row r="6283" spans="1:5" x14ac:dyDescent="0.2">
      <c r="A6283">
        <v>6222</v>
      </c>
      <c r="B6283" s="1832">
        <f>'Acct Summary 7-8'!J83</f>
        <v>0.58492257132898473</v>
      </c>
      <c r="D6283" s="2" t="str">
        <f t="shared" si="97"/>
        <v>Error?</v>
      </c>
      <c r="E6283" s="2" t="s">
        <v>189</v>
      </c>
    </row>
    <row r="6284" spans="1:5" x14ac:dyDescent="0.2">
      <c r="A6284">
        <v>6223</v>
      </c>
      <c r="B6284" s="1832">
        <f>'Acct Summary 7-8'!K83</f>
        <v>0.74925462852601254</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2852625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2852625</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18182</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18182</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2250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76778</v>
      </c>
      <c r="D6350" s="2" t="str">
        <f t="shared" si="98"/>
        <v>Error?</v>
      </c>
      <c r="E6350" s="2" t="s">
        <v>189</v>
      </c>
    </row>
    <row r="6351" spans="1:5" x14ac:dyDescent="0.2">
      <c r="A6351">
        <v>6290</v>
      </c>
      <c r="B6351" s="1832">
        <f>'Revenues 9-14'!J108</f>
        <v>76778</v>
      </c>
      <c r="D6351" s="2" t="str">
        <f t="shared" si="98"/>
        <v>Error?</v>
      </c>
      <c r="E6351" s="2" t="s">
        <v>189</v>
      </c>
    </row>
    <row r="6352" spans="1:5" x14ac:dyDescent="0.2">
      <c r="A6352">
        <v>6291</v>
      </c>
      <c r="B6352" s="1832">
        <f>'Revenues 9-14'!J109</f>
        <v>2947585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224</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4172</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2284</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548396</v>
      </c>
      <c r="D6853" s="2" t="str">
        <f t="shared" si="106"/>
        <v>Error?</v>
      </c>
    </row>
    <row r="6854" spans="1:4" x14ac:dyDescent="0.2">
      <c r="A6854">
        <v>6793</v>
      </c>
      <c r="B6854" s="1832">
        <f>'Expenditures 15-22'!I10</f>
        <v>4494</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2471</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24418</v>
      </c>
      <c r="D6878" s="2" t="str">
        <f t="shared" si="106"/>
        <v>Error?</v>
      </c>
    </row>
    <row r="6879" spans="1:4" x14ac:dyDescent="0.2">
      <c r="A6879">
        <v>6818</v>
      </c>
      <c r="B6879" s="1832">
        <f>'Expenditures 15-22'!K21</f>
        <v>24418</v>
      </c>
      <c r="D6879" s="2" t="str">
        <f t="shared" si="106"/>
        <v>Error?</v>
      </c>
    </row>
    <row r="6880" spans="1:4" x14ac:dyDescent="0.2">
      <c r="A6880">
        <v>6819</v>
      </c>
      <c r="B6880" s="1832">
        <f>'Expenditures 15-22'!H22</f>
        <v>1621400</v>
      </c>
      <c r="D6880" s="2" t="str">
        <f t="shared" si="106"/>
        <v>Error?</v>
      </c>
    </row>
    <row r="6881" spans="1:4" x14ac:dyDescent="0.2">
      <c r="A6881">
        <v>6820</v>
      </c>
      <c r="B6881" s="1832">
        <f>'Expenditures 15-22'!K22</f>
        <v>1621400</v>
      </c>
      <c r="D6881" s="2" t="str">
        <f t="shared" si="106"/>
        <v>Error?</v>
      </c>
    </row>
    <row r="6882" spans="1:4" x14ac:dyDescent="0.2">
      <c r="A6882">
        <v>6821</v>
      </c>
      <c r="B6882" s="1832">
        <f>'Expenditures 15-22'!H23</f>
        <v>64189</v>
      </c>
      <c r="D6882" s="2" t="str">
        <f t="shared" si="106"/>
        <v>Error?</v>
      </c>
    </row>
    <row r="6883" spans="1:4" x14ac:dyDescent="0.2">
      <c r="A6883">
        <v>6822</v>
      </c>
      <c r="B6883" s="1832">
        <f>'Expenditures 15-22'!K23</f>
        <v>64189</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13421</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3371</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5842</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9213</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3995</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3995</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1880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22614</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97095</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121589</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541</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135338</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541</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149300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299</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299</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299</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2219271</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299</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2947585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29252</v>
      </c>
      <c r="D7075" s="2" t="str">
        <f t="shared" si="109"/>
        <v>Error?</v>
      </c>
    </row>
    <row r="7076" spans="1:4" x14ac:dyDescent="0.2">
      <c r="A7076">
        <v>7015</v>
      </c>
      <c r="B7076" s="1832">
        <f>'Expenditures 15-22'!K218</f>
        <v>29252</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11204</v>
      </c>
      <c r="D7089" s="2" t="str">
        <f t="shared" si="109"/>
        <v>Error?</v>
      </c>
    </row>
    <row r="7090" spans="1:4" x14ac:dyDescent="0.2">
      <c r="A7090">
        <v>7029</v>
      </c>
      <c r="B7090" s="1832">
        <f>'Expenditures 15-22'!K252</f>
        <v>11204</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113524</v>
      </c>
      <c r="D7093" s="2" t="str">
        <f t="shared" si="109"/>
        <v>Error?</v>
      </c>
    </row>
    <row r="7094" spans="1:4" x14ac:dyDescent="0.2">
      <c r="A7094">
        <v>7033</v>
      </c>
      <c r="B7094" s="1832">
        <f>'Expenditures 15-22'!K254</f>
        <v>113524</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14941</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14941</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744032</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744032</v>
      </c>
      <c r="D7153" s="2" t="str">
        <f t="shared" si="110"/>
        <v>Error?</v>
      </c>
    </row>
    <row r="7154" spans="1:4" x14ac:dyDescent="0.2">
      <c r="A7154">
        <v>7093</v>
      </c>
      <c r="B7154" s="1832">
        <f>'Expenditures 15-22'!C323</f>
        <v>64801</v>
      </c>
      <c r="D7154" s="2" t="str">
        <f t="shared" si="110"/>
        <v>Error?</v>
      </c>
    </row>
    <row r="7155" spans="1:4" x14ac:dyDescent="0.2">
      <c r="A7155">
        <v>7094</v>
      </c>
      <c r="B7155" s="1832">
        <f>'Expenditures 15-22'!D323</f>
        <v>12221</v>
      </c>
      <c r="D7155" s="2" t="str">
        <f t="shared" si="110"/>
        <v>Error?</v>
      </c>
    </row>
    <row r="7156" spans="1:4" x14ac:dyDescent="0.2">
      <c r="A7156">
        <v>7095</v>
      </c>
      <c r="B7156" s="1832">
        <f>'Expenditures 15-22'!E323</f>
        <v>1670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78692</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700435</v>
      </c>
      <c r="D7172" s="2" t="str">
        <f t="shared" si="111"/>
        <v>Error?</v>
      </c>
    </row>
    <row r="7173" spans="1:4" x14ac:dyDescent="0.2">
      <c r="A7173">
        <v>7112</v>
      </c>
      <c r="B7173" s="1832">
        <f>'Expenditures 15-22'!D325</f>
        <v>134873</v>
      </c>
      <c r="D7173" s="2" t="str">
        <f t="shared" si="111"/>
        <v>Error?</v>
      </c>
    </row>
    <row r="7174" spans="1:4" x14ac:dyDescent="0.2">
      <c r="A7174">
        <v>7113</v>
      </c>
      <c r="B7174" s="1832">
        <f>'Expenditures 15-22'!E325</f>
        <v>216711</v>
      </c>
      <c r="D7174" s="2" t="str">
        <f t="shared" si="111"/>
        <v>Error?</v>
      </c>
    </row>
    <row r="7175" spans="1:4" x14ac:dyDescent="0.2">
      <c r="A7175">
        <v>7114</v>
      </c>
      <c r="B7175" s="1832">
        <f>'Expenditures 15-22'!F325</f>
        <v>39410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1091429</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290177</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290177</v>
      </c>
      <c r="D7198" s="2" t="str">
        <f t="shared" si="111"/>
        <v>Error?</v>
      </c>
    </row>
    <row r="7199" spans="1:4" x14ac:dyDescent="0.2">
      <c r="A7199">
        <v>7138</v>
      </c>
      <c r="B7199" s="1832">
        <f>'Expenditures 15-22'!C330</f>
        <v>765236</v>
      </c>
      <c r="D7199" s="2" t="str">
        <f t="shared" si="111"/>
        <v>Error?</v>
      </c>
    </row>
    <row r="7200" spans="1:4" x14ac:dyDescent="0.2">
      <c r="A7200">
        <v>7139</v>
      </c>
      <c r="B7200" s="1832">
        <f>'Expenditures 15-22'!D330</f>
        <v>147094</v>
      </c>
      <c r="D7200" s="2" t="str">
        <f t="shared" si="111"/>
        <v>Error?</v>
      </c>
    </row>
    <row r="7201" spans="1:4" x14ac:dyDescent="0.2">
      <c r="A7201">
        <v>7140</v>
      </c>
      <c r="B7201" s="1832">
        <f>'Expenditures 15-22'!E330</f>
        <v>1267531</v>
      </c>
      <c r="D7201" s="2" t="str">
        <f t="shared" si="111"/>
        <v>Error?</v>
      </c>
    </row>
    <row r="7202" spans="1:4" x14ac:dyDescent="0.2">
      <c r="A7202">
        <v>7141</v>
      </c>
      <c r="B7202" s="1832">
        <f>'Expenditures 15-22'!F330</f>
        <v>39410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2219271</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765236</v>
      </c>
      <c r="D7216" s="2" t="str">
        <f t="shared" si="111"/>
        <v>Error?</v>
      </c>
    </row>
    <row r="7217" spans="1:4" x14ac:dyDescent="0.2">
      <c r="A7217">
        <v>7156</v>
      </c>
      <c r="B7217" s="1832">
        <f>'Expenditures 15-22'!D342</f>
        <v>147094</v>
      </c>
      <c r="D7217" s="2" t="str">
        <f t="shared" si="111"/>
        <v>Error?</v>
      </c>
    </row>
    <row r="7218" spans="1:4" x14ac:dyDescent="0.2">
      <c r="A7218">
        <v>7157</v>
      </c>
      <c r="B7218" s="1832">
        <f>'Expenditures 15-22'!E342</f>
        <v>1267531</v>
      </c>
      <c r="D7218" s="2" t="str">
        <f t="shared" si="111"/>
        <v>Error?</v>
      </c>
    </row>
    <row r="7219" spans="1:4" x14ac:dyDescent="0.2">
      <c r="A7219">
        <v>7158</v>
      </c>
      <c r="B7219" s="1832">
        <f>'Expenditures 15-22'!F342</f>
        <v>39410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2219271</v>
      </c>
      <c r="D7224" s="2" t="str">
        <f t="shared" si="111"/>
        <v>Error?</v>
      </c>
    </row>
    <row r="7225" spans="1:4" x14ac:dyDescent="0.2">
      <c r="A7225">
        <v>7164</v>
      </c>
      <c r="B7225" s="1832">
        <f>'Expenditures 15-22'!K343</f>
        <v>728314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414708</v>
      </c>
      <c r="D7251" s="2" t="str">
        <f t="shared" si="112"/>
        <v>Error?</v>
      </c>
    </row>
    <row r="7252" spans="1:4" x14ac:dyDescent="0.2">
      <c r="A7252">
        <f t="shared" si="113"/>
        <v>7191</v>
      </c>
      <c r="B7252" s="1832">
        <f>'Expenditures 15-22'!D9</f>
        <v>115714</v>
      </c>
      <c r="D7252" s="2" t="str">
        <f t="shared" si="112"/>
        <v>Error?</v>
      </c>
    </row>
    <row r="7253" spans="1:4" x14ac:dyDescent="0.2">
      <c r="A7253">
        <f t="shared" si="113"/>
        <v>7192</v>
      </c>
      <c r="B7253" s="1832">
        <f>'Expenditures 15-22'!E9</f>
        <v>5553</v>
      </c>
      <c r="D7253" s="2" t="str">
        <f t="shared" si="112"/>
        <v>Error?</v>
      </c>
    </row>
    <row r="7254" spans="1:4" x14ac:dyDescent="0.2">
      <c r="A7254">
        <f t="shared" si="113"/>
        <v>7193</v>
      </c>
      <c r="B7254" s="1832">
        <f>'Expenditures 15-22'!F9</f>
        <v>12421</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149599</v>
      </c>
      <c r="D7624" s="2" t="str">
        <f t="shared" si="124"/>
        <v>Error?</v>
      </c>
      <c r="E7624" s="2" t="s">
        <v>19</v>
      </c>
    </row>
    <row r="7625" spans="1:5" x14ac:dyDescent="0.2">
      <c r="A7625">
        <f t="shared" si="123"/>
        <v>7564</v>
      </c>
      <c r="B7625" s="1832">
        <f>'Cap Outlay Deprec 26'!I17</f>
        <v>14959.9</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732447.9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63630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2250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26629</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28879</v>
      </c>
      <c r="D7719" s="2" t="str">
        <f t="shared" si="126"/>
        <v>Error?</v>
      </c>
      <c r="E7719" s="2" t="s">
        <v>822</v>
      </c>
    </row>
    <row r="7720" spans="1:6" x14ac:dyDescent="0.2">
      <c r="A7720">
        <v>7659</v>
      </c>
      <c r="B7720" s="1832">
        <f>'Rest Tax Levies-Tort Im 25'!H14</f>
        <v>27585</v>
      </c>
      <c r="D7720" s="2" t="str">
        <f t="shared" si="126"/>
        <v>Error?</v>
      </c>
      <c r="E7720" s="2" t="s">
        <v>822</v>
      </c>
    </row>
    <row r="7721" spans="1:6" x14ac:dyDescent="0.2">
      <c r="A7721">
        <v>7660</v>
      </c>
      <c r="B7721" s="1832">
        <f>'Rest Tax Levies-Tort Im 25'!K14</f>
        <v>28879</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2802449</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1390000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750990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1</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1</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49501</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28879</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33212289</v>
      </c>
      <c r="D7817" s="2" t="str">
        <f t="shared" si="128"/>
        <v>Error?</v>
      </c>
      <c r="E7817" s="4" t="s">
        <v>1963</v>
      </c>
    </row>
    <row r="7818" spans="1:5" x14ac:dyDescent="0.2">
      <c r="A7818">
        <v>7757</v>
      </c>
      <c r="B7818" s="1832">
        <f>'PCTC-OEPP 27-28'!F172</f>
        <v>1595701</v>
      </c>
      <c r="D7818" s="2" t="str">
        <f t="shared" si="128"/>
        <v>Error?</v>
      </c>
      <c r="E7818" s="4" t="s">
        <v>1977</v>
      </c>
    </row>
    <row r="7819" spans="1:5" x14ac:dyDescent="0.2">
      <c r="A7819">
        <v>7758</v>
      </c>
      <c r="B7819" s="1832">
        <f>'PCTC-OEPP 27-28'!F173</f>
        <v>1542</v>
      </c>
      <c r="D7819" s="2" t="str">
        <f t="shared" si="128"/>
        <v>Error?</v>
      </c>
      <c r="E7819" s="4" t="s">
        <v>1977</v>
      </c>
    </row>
    <row r="7820" spans="1:5" x14ac:dyDescent="0.2">
      <c r="A7820">
        <v>7759</v>
      </c>
      <c r="B7820" s="1832">
        <f>'ICR Computation 30'!E40</f>
        <v>-5180177</v>
      </c>
      <c r="D7820" s="2" t="str">
        <f t="shared" si="128"/>
        <v>Error?</v>
      </c>
    </row>
    <row r="7821" spans="1:5" x14ac:dyDescent="0.2">
      <c r="A7821">
        <v>7760</v>
      </c>
      <c r="B7821" s="1832">
        <f>'ICR Computation 30'!G40</f>
        <v>-5180177</v>
      </c>
      <c r="D7821" s="2" t="str">
        <f t="shared" si="128"/>
        <v>Error?</v>
      </c>
    </row>
    <row r="7822" spans="1:5" x14ac:dyDescent="0.2">
      <c r="A7822" s="1">
        <v>7761</v>
      </c>
      <c r="B7822" s="1832">
        <f>'PCTC-OEPP 27-28'!F14</f>
        <v>55437236</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0</v>
      </c>
      <c r="D7826" s="2" t="str">
        <f t="shared" si="129"/>
        <v>Error?</v>
      </c>
      <c r="E7826" s="4" t="s">
        <v>1995</v>
      </c>
    </row>
    <row r="7827" spans="1:5" x14ac:dyDescent="0.2">
      <c r="A7827">
        <v>7766</v>
      </c>
      <c r="B7827" s="1832">
        <f>'PCTC-OEPP 27-28'!F35</f>
        <v>548396</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6893</v>
      </c>
      <c r="D7830" s="2" t="str">
        <f t="shared" si="129"/>
        <v>Error?</v>
      </c>
      <c r="E7830" s="4" t="s">
        <v>1995</v>
      </c>
    </row>
    <row r="7831" spans="1:5" x14ac:dyDescent="0.2">
      <c r="A7831">
        <v>7770</v>
      </c>
      <c r="B7831" s="1832">
        <f>'PCTC-OEPP 27-28'!F52</f>
        <v>530019</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5234152</v>
      </c>
      <c r="D7834" s="2" t="str">
        <f t="shared" si="129"/>
        <v>Error?</v>
      </c>
      <c r="E7834" s="4" t="s">
        <v>1995</v>
      </c>
    </row>
    <row r="7835" spans="1:5" x14ac:dyDescent="0.2">
      <c r="A7835">
        <v>7774</v>
      </c>
      <c r="B7835" s="1832">
        <f>'PCTC-OEPP 27-28'!F78</f>
        <v>50203084</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17144.690936411447</v>
      </c>
      <c r="D7837" s="2" t="str">
        <f t="shared" si="129"/>
        <v>Error?</v>
      </c>
      <c r="E7837" s="4" t="s">
        <v>1995</v>
      </c>
    </row>
    <row r="7838" spans="1:5" x14ac:dyDescent="0.2">
      <c r="A7838">
        <v>7777</v>
      </c>
      <c r="B7838" s="1832">
        <f>'PCTC-OEPP 27-28'!F96</f>
        <v>14809</v>
      </c>
      <c r="D7838" s="2" t="str">
        <f t="shared" si="129"/>
        <v>Error?</v>
      </c>
      <c r="E7838" s="4" t="s">
        <v>1995</v>
      </c>
    </row>
    <row r="7839" spans="1:5" x14ac:dyDescent="0.2">
      <c r="A7839">
        <v>7778</v>
      </c>
      <c r="B7839" s="1832">
        <f>'PCTC-OEPP 27-28'!F102</f>
        <v>0</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857753</v>
      </c>
      <c r="D7842" s="2" t="str">
        <f t="shared" si="129"/>
        <v>Error?</v>
      </c>
      <c r="E7842" s="4" t="s">
        <v>1995</v>
      </c>
    </row>
    <row r="7843" spans="1:5" x14ac:dyDescent="0.2">
      <c r="A7843">
        <v>7782</v>
      </c>
      <c r="B7843" s="1832">
        <f>'PCTC-OEPP 27-28'!F107</f>
        <v>24111</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26629</v>
      </c>
      <c r="D7846" s="2" t="str">
        <f t="shared" si="129"/>
        <v>Error?</v>
      </c>
      <c r="E7846" s="4" t="s">
        <v>1995</v>
      </c>
    </row>
    <row r="7847" spans="1:5" x14ac:dyDescent="0.2">
      <c r="A7847">
        <v>7786</v>
      </c>
      <c r="B7847" s="1832">
        <f>'PCTC-OEPP 27-28'!F112</f>
        <v>2004245</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85498</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69657</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2066037</v>
      </c>
      <c r="D7858" s="2" t="str">
        <f t="shared" si="129"/>
        <v>Error?</v>
      </c>
      <c r="E7858" s="4" t="s">
        <v>1995</v>
      </c>
    </row>
    <row r="7859" spans="1:5" x14ac:dyDescent="0.2">
      <c r="A7859">
        <v>7798</v>
      </c>
      <c r="B7859" s="1832">
        <f>'PCTC-OEPP 27-28'!F127</f>
        <v>4483740</v>
      </c>
      <c r="D7859" s="2" t="str">
        <f t="shared" si="129"/>
        <v>Error?</v>
      </c>
      <c r="E7859" s="4" t="s">
        <v>1995</v>
      </c>
    </row>
    <row r="7860" spans="1:5" x14ac:dyDescent="0.2">
      <c r="A7860">
        <v>7799</v>
      </c>
      <c r="B7860" s="1832">
        <f>'PCTC-OEPP 27-28'!F128</f>
        <v>1010982</v>
      </c>
      <c r="D7860" s="2" t="str">
        <f t="shared" si="129"/>
        <v>Error?</v>
      </c>
      <c r="E7860" s="4" t="s">
        <v>1995</v>
      </c>
    </row>
    <row r="7861" spans="1:5" x14ac:dyDescent="0.2">
      <c r="A7861">
        <v>7800</v>
      </c>
      <c r="B7861" s="1832">
        <f>'PCTC-OEPP 27-28'!F129</f>
        <v>938211</v>
      </c>
      <c r="D7861" s="2" t="str">
        <f t="shared" si="129"/>
        <v>Error?</v>
      </c>
      <c r="E7861" s="4" t="s">
        <v>1995</v>
      </c>
    </row>
    <row r="7862" spans="1:5" x14ac:dyDescent="0.2">
      <c r="A7862">
        <v>7801</v>
      </c>
      <c r="B7862" s="1832">
        <f>'PCTC-OEPP 27-28'!F130</f>
        <v>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109563</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49501</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302156</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193068</v>
      </c>
      <c r="D7874" s="2" t="str">
        <f t="shared" si="129"/>
        <v>Error?</v>
      </c>
      <c r="E7874" s="4" t="s">
        <v>1995</v>
      </c>
    </row>
    <row r="7875" spans="1:5" x14ac:dyDescent="0.2">
      <c r="A7875">
        <v>7814</v>
      </c>
      <c r="B7875" s="1832">
        <f>'PCTC-OEPP 27-28'!F170</f>
        <v>177580</v>
      </c>
      <c r="D7875" s="2" t="str">
        <f t="shared" si="129"/>
        <v>Error?</v>
      </c>
      <c r="E7875" s="4" t="s">
        <v>1995</v>
      </c>
    </row>
    <row r="7876" spans="1:5" x14ac:dyDescent="0.2">
      <c r="A7876">
        <v>7815</v>
      </c>
      <c r="B7876" s="1832">
        <f>'PCTC-OEPP 27-28'!F171</f>
        <v>351186</v>
      </c>
      <c r="D7876" s="2" t="str">
        <f t="shared" si="129"/>
        <v>Error?</v>
      </c>
      <c r="E7876" s="4" t="s">
        <v>1995</v>
      </c>
    </row>
    <row r="7877" spans="1:5" x14ac:dyDescent="0.2">
      <c r="A7877">
        <v>7816</v>
      </c>
      <c r="B7877" s="1832">
        <f>'PCTC-OEPP 27-28'!F175</f>
        <v>14435643</v>
      </c>
      <c r="D7877" s="2" t="str">
        <f t="shared" si="129"/>
        <v>Error?</v>
      </c>
      <c r="E7877" s="4" t="s">
        <v>1995</v>
      </c>
    </row>
    <row r="7878" spans="1:5" x14ac:dyDescent="0.2">
      <c r="A7878">
        <v>7817</v>
      </c>
      <c r="B7878" s="1832">
        <f>'PCTC-OEPP 27-28'!F176</f>
        <v>35767441</v>
      </c>
      <c r="D7878" s="2" t="str">
        <f t="shared" si="129"/>
        <v>Error?</v>
      </c>
      <c r="E7878" s="4" t="s">
        <v>1995</v>
      </c>
    </row>
    <row r="7879" spans="1:5" x14ac:dyDescent="0.2">
      <c r="A7879">
        <v>7818</v>
      </c>
      <c r="B7879" s="1832">
        <f>'PCTC-OEPP 27-28'!F178</f>
        <v>36499888.899999999</v>
      </c>
      <c r="D7879" s="2" t="str">
        <f t="shared" si="129"/>
        <v>Error?</v>
      </c>
      <c r="E7879" s="4" t="s">
        <v>1995</v>
      </c>
    </row>
    <row r="7880" spans="1:5" x14ac:dyDescent="0.2">
      <c r="A7880">
        <v>7819</v>
      </c>
      <c r="B7880" s="1832">
        <f>'PCTC-OEPP 27-28'!F180</f>
        <v>12464.957619015095</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31" zoomScale="110" zoomScaleNormal="110" workbookViewId="0">
      <selection activeCell="G24" sqref="G24"/>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41" t="s">
        <v>1181</v>
      </c>
      <c r="B2" s="2641"/>
      <c r="C2" s="2641"/>
      <c r="D2" s="2641"/>
      <c r="E2" s="2641"/>
      <c r="F2" s="2641"/>
      <c r="G2" s="2641"/>
      <c r="H2" s="2641"/>
      <c r="I2" s="2641"/>
      <c r="J2" s="2641"/>
      <c r="K2" s="2641"/>
      <c r="L2" s="2641"/>
    </row>
    <row r="3" spans="1:29" ht="13.5" customHeight="1" x14ac:dyDescent="0.2">
      <c r="A3" s="2673" t="s">
        <v>1180</v>
      </c>
      <c r="B3" s="2673"/>
      <c r="C3" s="2673"/>
      <c r="D3" s="2673"/>
      <c r="E3" s="2673"/>
      <c r="F3" s="2673"/>
      <c r="G3" s="2673"/>
      <c r="H3" s="2673"/>
      <c r="I3" s="2673"/>
      <c r="J3" s="2673"/>
      <c r="K3" s="2673"/>
      <c r="L3" s="2673"/>
    </row>
    <row r="4" spans="1:29" ht="13.5" customHeight="1" x14ac:dyDescent="0.2">
      <c r="A4" s="2662" t="str">
        <f>"Year Ending June 30, "&amp;'AFR20'!E2</f>
        <v>Year Ending June 30, 2020</v>
      </c>
      <c r="B4" s="2663"/>
      <c r="C4" s="2663"/>
      <c r="D4" s="2663"/>
      <c r="E4" s="2663"/>
      <c r="F4" s="2663"/>
      <c r="G4" s="2663"/>
      <c r="H4" s="2663"/>
      <c r="I4" s="2663"/>
      <c r="J4" s="2663"/>
      <c r="K4" s="2663"/>
      <c r="L4" s="266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664" t="str">
        <f>COVER!A17</f>
        <v xml:space="preserve"> Cahokia USD 187</v>
      </c>
      <c r="B7" s="2665"/>
      <c r="C7" s="2665"/>
      <c r="D7" s="2666"/>
      <c r="E7" s="2667">
        <f>COVER!A13</f>
        <v>50082187026</v>
      </c>
      <c r="F7" s="2668"/>
      <c r="G7" s="2674" t="str">
        <f>COVER!T23</f>
        <v>065-26956</v>
      </c>
      <c r="H7" s="2675"/>
      <c r="I7" s="2675"/>
      <c r="J7" s="2675"/>
      <c r="K7" s="2675"/>
      <c r="L7" s="267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677"/>
      <c r="B9" s="2678"/>
      <c r="C9" s="2678"/>
      <c r="D9" s="2678"/>
      <c r="E9" s="2678"/>
      <c r="F9" s="2679"/>
      <c r="G9" s="2647" t="str">
        <f>COVER!T13</f>
        <v>SCHEFFEL BOYLE</v>
      </c>
      <c r="H9" s="2680"/>
      <c r="I9" s="2680"/>
      <c r="J9" s="2680"/>
      <c r="K9" s="2680"/>
      <c r="L9" s="2681"/>
    </row>
    <row r="10" spans="1:29" ht="13.5" customHeight="1" x14ac:dyDescent="0.2">
      <c r="A10" s="2653" t="str">
        <f>COVER!A38</f>
        <v>ARNETT HARVEY</v>
      </c>
      <c r="B10" s="2654"/>
      <c r="C10" s="2654"/>
      <c r="D10" s="2654"/>
      <c r="E10" s="2654"/>
      <c r="F10" s="2655"/>
      <c r="G10" s="2647" t="str">
        <f>COVER!T17</f>
        <v>222 EAST MAIN STREET</v>
      </c>
      <c r="H10" s="2648"/>
      <c r="I10" s="2648"/>
      <c r="J10" s="2648"/>
      <c r="K10" s="2648"/>
      <c r="L10" s="2649"/>
    </row>
    <row r="11" spans="1:29" ht="13.5" customHeight="1" x14ac:dyDescent="0.2">
      <c r="A11" s="963" t="s">
        <v>1502</v>
      </c>
      <c r="B11" s="964"/>
      <c r="C11" s="965"/>
      <c r="D11" s="970"/>
      <c r="E11" s="965"/>
      <c r="F11" s="969"/>
      <c r="G11" s="2647" t="str">
        <f>COVER!T19</f>
        <v>BELLEVILLE</v>
      </c>
      <c r="H11" s="2648"/>
      <c r="I11" s="2648"/>
      <c r="J11" s="2648"/>
      <c r="K11" s="2648"/>
      <c r="L11" s="2649"/>
    </row>
    <row r="12" spans="1:29" ht="13.5" customHeight="1" x14ac:dyDescent="0.2">
      <c r="A12" s="2656" t="s">
        <v>1501</v>
      </c>
      <c r="B12" s="2657"/>
      <c r="C12" s="2657"/>
      <c r="D12" s="2657"/>
      <c r="E12" s="2657"/>
      <c r="F12" s="2658"/>
      <c r="G12" s="2650"/>
      <c r="H12" s="2651"/>
      <c r="I12" s="2651"/>
      <c r="J12" s="2651"/>
      <c r="K12" s="2651"/>
      <c r="L12" s="2652"/>
    </row>
    <row r="13" spans="1:29" ht="13.5" customHeight="1" x14ac:dyDescent="0.2">
      <c r="A13" s="2647"/>
      <c r="B13" s="2648"/>
      <c r="C13" s="2648"/>
      <c r="D13" s="2648"/>
      <c r="E13" s="2648"/>
      <c r="F13" s="2649"/>
      <c r="G13" s="2642" t="s">
        <v>1503</v>
      </c>
      <c r="H13" s="2643"/>
      <c r="I13" s="2659" t="str">
        <f>COVER!T25</f>
        <v>dale.holtmann@scheffelboyle.com</v>
      </c>
      <c r="J13" s="2660"/>
      <c r="K13" s="2660"/>
      <c r="L13" s="2661"/>
    </row>
    <row r="14" spans="1:29" ht="13.5" customHeight="1" x14ac:dyDescent="0.2">
      <c r="A14" s="2647" t="str">
        <f>COVER!A19</f>
        <v>1700 JEROME LANE</v>
      </c>
      <c r="B14" s="2648"/>
      <c r="C14" s="2648"/>
      <c r="D14" s="2648"/>
      <c r="E14" s="2648"/>
      <c r="F14" s="2649"/>
      <c r="G14" s="974" t="s">
        <v>1175</v>
      </c>
      <c r="H14" s="972"/>
      <c r="I14" s="972"/>
      <c r="J14" s="972"/>
      <c r="K14" s="972"/>
      <c r="L14" s="973"/>
    </row>
    <row r="15" spans="1:29" ht="13.5" customHeight="1" x14ac:dyDescent="0.2">
      <c r="A15" s="2647" t="str">
        <f>COVER!A21</f>
        <v>CAHOKIA</v>
      </c>
      <c r="B15" s="2648"/>
      <c r="C15" s="2648"/>
      <c r="D15" s="2648"/>
      <c r="E15" s="2648"/>
      <c r="F15" s="2649"/>
      <c r="G15" s="2644" t="str">
        <f>COVER!T15</f>
        <v>DALE HOLTMANN</v>
      </c>
      <c r="H15" s="2645"/>
      <c r="I15" s="2645"/>
      <c r="J15" s="2645"/>
      <c r="K15" s="2645"/>
      <c r="L15" s="2646"/>
    </row>
    <row r="16" spans="1:29" ht="12.2" customHeight="1" x14ac:dyDescent="0.2">
      <c r="A16" s="2670">
        <f>COVER!A25</f>
        <v>62206</v>
      </c>
      <c r="B16" s="2671"/>
      <c r="C16" s="2671"/>
      <c r="D16" s="2671"/>
      <c r="E16" s="2671"/>
      <c r="F16" s="2672"/>
      <c r="G16" s="2682"/>
      <c r="H16" s="2683"/>
      <c r="I16" s="2683"/>
      <c r="J16" s="2683"/>
      <c r="K16" s="2683"/>
      <c r="L16" s="2684"/>
    </row>
    <row r="17" spans="1:13" ht="12.2" customHeight="1" x14ac:dyDescent="0.2">
      <c r="A17" s="2685"/>
      <c r="B17" s="2671"/>
      <c r="C17" s="2671"/>
      <c r="D17" s="2671"/>
      <c r="E17" s="2671"/>
      <c r="F17" s="2672"/>
      <c r="G17" s="974" t="s">
        <v>1174</v>
      </c>
      <c r="H17" s="972"/>
      <c r="I17" s="972"/>
      <c r="J17" s="972"/>
      <c r="K17" s="976" t="s">
        <v>1173</v>
      </c>
      <c r="L17" s="969"/>
      <c r="M17" s="962"/>
    </row>
    <row r="18" spans="1:13" ht="12.2" customHeight="1" x14ac:dyDescent="0.2">
      <c r="A18" s="2653"/>
      <c r="B18" s="2654"/>
      <c r="C18" s="2654"/>
      <c r="D18" s="2654"/>
      <c r="E18" s="2654"/>
      <c r="F18" s="2655"/>
      <c r="G18" s="2664" t="str">
        <f>COVER!T21</f>
        <v>618-277-8100</v>
      </c>
      <c r="H18" s="2665"/>
      <c r="I18" s="2665"/>
      <c r="J18" s="2665"/>
      <c r="K18" s="2664" t="str">
        <f>COVER!X21</f>
        <v>618-277-9307</v>
      </c>
      <c r="L18" s="266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2153</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2153</v>
      </c>
      <c r="C26" s="981" t="s">
        <v>1677</v>
      </c>
    </row>
    <row r="27" spans="1:13" s="977" customFormat="1" ht="9" customHeight="1" x14ac:dyDescent="0.2">
      <c r="B27" s="982"/>
      <c r="C27" s="981"/>
    </row>
    <row r="28" spans="1:13" s="977" customFormat="1" ht="12.2" customHeight="1" x14ac:dyDescent="0.2">
      <c r="A28" s="984"/>
      <c r="B28" s="980" t="s">
        <v>2153</v>
      </c>
      <c r="C28" s="981" t="s">
        <v>1678</v>
      </c>
    </row>
    <row r="29" spans="1:13" s="977" customFormat="1" ht="9" customHeight="1" x14ac:dyDescent="0.2">
      <c r="A29" s="984"/>
      <c r="B29" s="982"/>
      <c r="C29" s="981"/>
    </row>
    <row r="30" spans="1:13" s="977" customFormat="1" ht="12.2" customHeight="1" x14ac:dyDescent="0.2">
      <c r="B30" s="980" t="s">
        <v>2153</v>
      </c>
      <c r="C30" s="981" t="s">
        <v>1545</v>
      </c>
      <c r="D30" s="975"/>
      <c r="E30" s="975"/>
    </row>
    <row r="31" spans="1:13" s="977" customFormat="1" ht="9" customHeight="1" x14ac:dyDescent="0.2">
      <c r="B31" s="982"/>
      <c r="C31" s="981"/>
      <c r="D31" s="975"/>
      <c r="E31" s="975"/>
    </row>
    <row r="32" spans="1:13" s="977" customFormat="1" ht="12.2" customHeight="1" x14ac:dyDescent="0.2">
      <c r="B32" s="980" t="s">
        <v>2153</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2153</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2153</v>
      </c>
      <c r="C38" s="981" t="s">
        <v>1549</v>
      </c>
    </row>
    <row r="39" spans="1:8" ht="9" customHeight="1" x14ac:dyDescent="0.2">
      <c r="B39" s="982"/>
      <c r="C39" s="985"/>
    </row>
    <row r="40" spans="1:8" s="977" customFormat="1" ht="13.5" customHeight="1" x14ac:dyDescent="0.2">
      <c r="B40" s="980" t="s">
        <v>2153</v>
      </c>
      <c r="C40" s="981" t="s">
        <v>1550</v>
      </c>
    </row>
    <row r="41" spans="1:8" ht="9" customHeight="1" x14ac:dyDescent="0.2">
      <c r="A41" s="986"/>
      <c r="B41" s="982"/>
      <c r="C41" s="985"/>
    </row>
    <row r="42" spans="1:8" s="977" customFormat="1" ht="13.5" customHeight="1" x14ac:dyDescent="0.2">
      <c r="B42" s="980" t="s">
        <v>2153</v>
      </c>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97" zoomScale="125" zoomScaleNormal="125" workbookViewId="0">
      <selection activeCell="G24" sqref="G2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86" t="str">
        <f>'Single Audit Cover'!A7</f>
        <v xml:space="preserve"> Cahokia USD 187</v>
      </c>
      <c r="B1" s="2687"/>
      <c r="C1" s="2687"/>
      <c r="D1" s="2687"/>
    </row>
    <row r="2" spans="1:11" s="991" customFormat="1" ht="12.75" x14ac:dyDescent="0.2">
      <c r="A2" s="2688">
        <f>'Single Audit Cover'!E7</f>
        <v>50082187026</v>
      </c>
      <c r="B2" s="2689"/>
      <c r="C2" s="2689"/>
      <c r="D2" s="2689"/>
    </row>
    <row r="3" spans="1:11" s="991" customFormat="1" ht="12.75" x14ac:dyDescent="0.2">
      <c r="A3" s="2686" t="s">
        <v>1496</v>
      </c>
      <c r="B3" s="2687"/>
      <c r="C3" s="2687"/>
      <c r="D3" s="268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t="s">
        <v>2153</v>
      </c>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2153</v>
      </c>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2153</v>
      </c>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2153</v>
      </c>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2153</v>
      </c>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2153</v>
      </c>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2153</v>
      </c>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t="s">
        <v>2153</v>
      </c>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t="s">
        <v>2153</v>
      </c>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t="s">
        <v>2153</v>
      </c>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t="s">
        <v>2153</v>
      </c>
      <c r="C42" s="1008">
        <v>11</v>
      </c>
      <c r="D42" s="1019" t="s">
        <v>1557</v>
      </c>
      <c r="E42" s="290"/>
    </row>
    <row r="43" spans="1:5" ht="3" customHeight="1" x14ac:dyDescent="0.2">
      <c r="A43" s="998"/>
      <c r="B43" s="1015"/>
      <c r="C43" s="1016"/>
      <c r="D43" s="997"/>
    </row>
    <row r="44" spans="1:5" x14ac:dyDescent="0.2">
      <c r="A44" s="998"/>
      <c r="B44" s="1001" t="s">
        <v>2153</v>
      </c>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t="s">
        <v>2153</v>
      </c>
      <c r="C48" s="1002">
        <f>C44+1</f>
        <v>13</v>
      </c>
      <c r="D48" s="1013" t="s">
        <v>1558</v>
      </c>
    </row>
    <row r="49" spans="1:4" ht="3" customHeight="1" x14ac:dyDescent="0.2">
      <c r="A49" s="998"/>
      <c r="B49" s="1005"/>
      <c r="C49" s="1002"/>
      <c r="D49" s="1013"/>
    </row>
    <row r="50" spans="1:4" x14ac:dyDescent="0.2">
      <c r="A50" s="998"/>
      <c r="B50" s="1001" t="s">
        <v>2153</v>
      </c>
      <c r="C50" s="1002">
        <f>C48+1</f>
        <v>14</v>
      </c>
      <c r="D50" s="1013" t="s">
        <v>1202</v>
      </c>
    </row>
    <row r="51" spans="1:4" ht="3" customHeight="1" x14ac:dyDescent="0.2">
      <c r="A51" s="998"/>
      <c r="B51" s="1005"/>
      <c r="C51" s="1002"/>
      <c r="D51" s="1013"/>
    </row>
    <row r="52" spans="1:4" x14ac:dyDescent="0.2">
      <c r="A52" s="998"/>
      <c r="B52" s="1001" t="s">
        <v>2153</v>
      </c>
      <c r="C52" s="1002">
        <f>C50+1</f>
        <v>15</v>
      </c>
      <c r="D52" s="1013" t="s">
        <v>1201</v>
      </c>
    </row>
    <row r="53" spans="1:4" ht="3" customHeight="1" x14ac:dyDescent="0.2">
      <c r="A53" s="998"/>
      <c r="B53" s="1005"/>
      <c r="C53" s="1002"/>
      <c r="D53" s="1013"/>
    </row>
    <row r="54" spans="1:4" x14ac:dyDescent="0.2">
      <c r="A54" s="998"/>
      <c r="B54" s="1001" t="s">
        <v>2153</v>
      </c>
      <c r="C54" s="1002">
        <f>C52+1</f>
        <v>16</v>
      </c>
      <c r="D54" s="1013" t="s">
        <v>1200</v>
      </c>
    </row>
    <row r="55" spans="1:4" ht="3" customHeight="1" x14ac:dyDescent="0.2">
      <c r="A55" s="998"/>
      <c r="B55" s="1005"/>
      <c r="C55" s="1002"/>
      <c r="D55" s="1013"/>
    </row>
    <row r="56" spans="1:4" x14ac:dyDescent="0.2">
      <c r="A56" s="998"/>
      <c r="B56" s="1001" t="s">
        <v>2153</v>
      </c>
      <c r="C56" s="1002">
        <f>C54+1</f>
        <v>17</v>
      </c>
      <c r="D56" s="997" t="s">
        <v>1686</v>
      </c>
    </row>
    <row r="57" spans="1:4" ht="10.5" customHeight="1" x14ac:dyDescent="0.2">
      <c r="A57" s="998"/>
      <c r="D57" s="1013" t="s">
        <v>1687</v>
      </c>
    </row>
    <row r="58" spans="1:4" x14ac:dyDescent="0.2">
      <c r="A58" s="998"/>
      <c r="C58" s="1020" t="s">
        <v>2153</v>
      </c>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t="s">
        <v>2153</v>
      </c>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t="s">
        <v>2153</v>
      </c>
      <c r="C76" s="1002">
        <f>C74+1</f>
        <v>20</v>
      </c>
      <c r="D76" s="1024" t="s">
        <v>1693</v>
      </c>
    </row>
    <row r="77" spans="1:4" ht="3" customHeight="1" x14ac:dyDescent="0.2">
      <c r="A77" s="998"/>
      <c r="B77" s="1005"/>
      <c r="C77" s="1002"/>
      <c r="D77" s="1024"/>
    </row>
    <row r="78" spans="1:4" x14ac:dyDescent="0.2">
      <c r="A78" s="998"/>
      <c r="B78" s="1001" t="s">
        <v>2153</v>
      </c>
      <c r="C78" s="1002">
        <f>C76+1</f>
        <v>21</v>
      </c>
      <c r="D78" s="997" t="s">
        <v>1694</v>
      </c>
    </row>
    <row r="79" spans="1:4" ht="3" customHeight="1" x14ac:dyDescent="0.2">
      <c r="A79" s="998"/>
      <c r="B79" s="1005"/>
      <c r="C79" s="1002"/>
      <c r="D79" s="997"/>
    </row>
    <row r="80" spans="1:4" x14ac:dyDescent="0.2">
      <c r="A80" s="998"/>
      <c r="B80" s="1001" t="s">
        <v>2153</v>
      </c>
      <c r="C80" s="1002">
        <f>C78+1</f>
        <v>22</v>
      </c>
      <c r="D80" s="1025" t="s">
        <v>1695</v>
      </c>
    </row>
    <row r="81" spans="1:4" ht="3" customHeight="1" x14ac:dyDescent="0.2">
      <c r="A81" s="998"/>
      <c r="B81" s="1005"/>
      <c r="C81" s="1002"/>
      <c r="D81" s="1025"/>
    </row>
    <row r="82" spans="1:4" x14ac:dyDescent="0.2">
      <c r="A82" s="998"/>
      <c r="B82" s="1001" t="s">
        <v>2153</v>
      </c>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t="s">
        <v>2153</v>
      </c>
      <c r="C85" s="1002">
        <f>C82+1</f>
        <v>24</v>
      </c>
      <c r="D85" s="1013" t="s">
        <v>1193</v>
      </c>
    </row>
    <row r="86" spans="1:4" ht="3" customHeight="1" x14ac:dyDescent="0.2">
      <c r="A86" s="998"/>
      <c r="B86" s="1005"/>
      <c r="C86" s="1002"/>
      <c r="D86" s="1013"/>
    </row>
    <row r="87" spans="1:4" x14ac:dyDescent="0.2">
      <c r="A87" s="998"/>
      <c r="B87" s="1001" t="s">
        <v>2153</v>
      </c>
      <c r="C87" s="1002">
        <f>C85+1</f>
        <v>25</v>
      </c>
      <c r="D87" s="1013" t="s">
        <v>1192</v>
      </c>
    </row>
    <row r="88" spans="1:4" ht="3" customHeight="1" x14ac:dyDescent="0.2">
      <c r="A88" s="998"/>
      <c r="B88" s="1005"/>
      <c r="C88" s="1002"/>
      <c r="D88" s="1013"/>
    </row>
    <row r="89" spans="1:4" x14ac:dyDescent="0.2">
      <c r="A89" s="998"/>
      <c r="B89" s="1001" t="s">
        <v>2153</v>
      </c>
      <c r="C89" s="1002">
        <f>C87+1</f>
        <v>26</v>
      </c>
      <c r="D89" s="1013" t="s">
        <v>1191</v>
      </c>
    </row>
    <row r="90" spans="1:4" ht="3" customHeight="1" x14ac:dyDescent="0.2">
      <c r="A90" s="998"/>
      <c r="B90" s="1005"/>
      <c r="C90" s="1002"/>
      <c r="D90" s="1013"/>
    </row>
    <row r="91" spans="1:4" x14ac:dyDescent="0.2">
      <c r="A91" s="998"/>
      <c r="B91" s="1001" t="s">
        <v>2153</v>
      </c>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t="s">
        <v>2153</v>
      </c>
      <c r="C96" s="1002">
        <f>C91+1</f>
        <v>28</v>
      </c>
      <c r="D96" s="1013" t="s">
        <v>1698</v>
      </c>
    </row>
    <row r="97" spans="1:4" ht="3" customHeight="1" x14ac:dyDescent="0.2">
      <c r="A97" s="998"/>
      <c r="B97" s="1005"/>
      <c r="C97" s="1002"/>
      <c r="D97" s="1013"/>
    </row>
    <row r="98" spans="1:4" x14ac:dyDescent="0.2">
      <c r="A98" s="998"/>
      <c r="B98" s="1001" t="s">
        <v>2153</v>
      </c>
      <c r="C98" s="1002">
        <f>C96+1</f>
        <v>29</v>
      </c>
      <c r="D98" s="1027" t="s">
        <v>1699</v>
      </c>
    </row>
    <row r="99" spans="1:4" ht="3" customHeight="1" x14ac:dyDescent="0.2">
      <c r="A99" s="998"/>
      <c r="B99" s="1005"/>
      <c r="C99" s="1002"/>
      <c r="D99" s="1027"/>
    </row>
    <row r="100" spans="1:4" x14ac:dyDescent="0.2">
      <c r="A100" s="998"/>
      <c r="B100" s="1001" t="s">
        <v>2153</v>
      </c>
      <c r="C100" s="1002">
        <f>C98+1</f>
        <v>30</v>
      </c>
      <c r="D100" s="1013" t="s">
        <v>1700</v>
      </c>
    </row>
    <row r="101" spans="1:4" ht="3" customHeight="1" x14ac:dyDescent="0.2">
      <c r="A101" s="998"/>
      <c r="B101" s="1005"/>
      <c r="C101" s="1002"/>
      <c r="D101" s="1028"/>
    </row>
    <row r="102" spans="1:4" x14ac:dyDescent="0.2">
      <c r="A102" s="998"/>
      <c r="B102" s="1001" t="s">
        <v>2153</v>
      </c>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t="s">
        <v>2153</v>
      </c>
      <c r="C106" s="1002">
        <f>C102+1</f>
        <v>32</v>
      </c>
      <c r="D106" s="997" t="s">
        <v>1563</v>
      </c>
    </row>
    <row r="107" spans="1:4" ht="3" customHeight="1" x14ac:dyDescent="0.2">
      <c r="A107" s="998"/>
      <c r="B107" s="1005"/>
      <c r="C107" s="1002"/>
      <c r="D107" s="997"/>
    </row>
    <row r="108" spans="1:4" x14ac:dyDescent="0.2">
      <c r="A108" s="998"/>
      <c r="B108" s="1001" t="s">
        <v>2153</v>
      </c>
      <c r="C108" s="1002">
        <v>33</v>
      </c>
      <c r="D108" s="997" t="s">
        <v>1701</v>
      </c>
    </row>
    <row r="109" spans="1:4" ht="3" customHeight="1" x14ac:dyDescent="0.2">
      <c r="A109" s="998"/>
      <c r="B109" s="1005"/>
      <c r="C109" s="1002"/>
      <c r="D109" s="997"/>
    </row>
    <row r="110" spans="1:4" x14ac:dyDescent="0.2">
      <c r="A110" s="998"/>
      <c r="B110" s="1001" t="s">
        <v>2153</v>
      </c>
      <c r="C110" s="1002">
        <f>C108+1</f>
        <v>34</v>
      </c>
      <c r="D110" s="997" t="s">
        <v>1188</v>
      </c>
    </row>
    <row r="111" spans="1:4" ht="3" customHeight="1" x14ac:dyDescent="0.2">
      <c r="A111" s="998"/>
      <c r="B111" s="1005"/>
      <c r="C111" s="1002"/>
      <c r="D111" s="997"/>
    </row>
    <row r="112" spans="1:4" x14ac:dyDescent="0.2">
      <c r="A112" s="998"/>
      <c r="B112" s="1001" t="s">
        <v>2153</v>
      </c>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t="s">
        <v>2153</v>
      </c>
      <c r="C115" s="1002">
        <f>C112+1</f>
        <v>36</v>
      </c>
      <c r="D115" s="1013" t="s">
        <v>1185</v>
      </c>
    </row>
    <row r="116" spans="1:4" ht="3" customHeight="1" x14ac:dyDescent="0.2">
      <c r="A116" s="998"/>
      <c r="B116" s="1005"/>
      <c r="C116" s="1002"/>
      <c r="D116" s="1013"/>
    </row>
    <row r="117" spans="1:4" x14ac:dyDescent="0.2">
      <c r="A117" s="998"/>
      <c r="B117" s="1001" t="s">
        <v>2153</v>
      </c>
      <c r="C117" s="1002">
        <f>C115+1</f>
        <v>37</v>
      </c>
      <c r="D117" s="1013" t="s">
        <v>1702</v>
      </c>
    </row>
    <row r="118" spans="1:4" ht="3" customHeight="1" x14ac:dyDescent="0.2">
      <c r="A118" s="998"/>
      <c r="B118" s="1005"/>
      <c r="C118" s="1002"/>
      <c r="D118" s="1013"/>
    </row>
    <row r="119" spans="1:4" x14ac:dyDescent="0.2">
      <c r="A119" s="998"/>
      <c r="B119" s="1001" t="s">
        <v>2153</v>
      </c>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t="s">
        <v>2153</v>
      </c>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G24" sqref="G24"/>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91" t="str">
        <f>'Single Audit Cover'!A7</f>
        <v xml:space="preserve"> Cahokia USD 187</v>
      </c>
      <c r="B1" s="2691"/>
      <c r="C1" s="2691"/>
      <c r="D1" s="2691"/>
      <c r="E1" s="2691"/>
    </row>
    <row r="2" spans="1:5" x14ac:dyDescent="0.2">
      <c r="A2" s="2692">
        <f>'Single Audit Cover'!E7</f>
        <v>50082187026</v>
      </c>
      <c r="B2" s="2692"/>
      <c r="C2" s="2692"/>
      <c r="D2" s="2692"/>
      <c r="E2" s="2692"/>
    </row>
    <row r="3" spans="1:5" ht="4.5" customHeight="1" x14ac:dyDescent="0.2"/>
    <row r="4" spans="1:5" x14ac:dyDescent="0.2">
      <c r="A4" s="2691" t="s">
        <v>1234</v>
      </c>
      <c r="B4" s="2691"/>
      <c r="C4" s="2691"/>
      <c r="D4" s="2691"/>
      <c r="E4" s="2691"/>
    </row>
    <row r="5" spans="1:5" x14ac:dyDescent="0.2">
      <c r="A5" s="2694" t="str">
        <f>'Single Audit Cover'!A4</f>
        <v>Year Ending June 30, 2020</v>
      </c>
      <c r="B5" s="2694"/>
      <c r="C5" s="2694"/>
      <c r="D5" s="2694"/>
      <c r="E5" s="2694"/>
    </row>
    <row r="6" spans="1:5" x14ac:dyDescent="0.2">
      <c r="A6" s="2691" t="s">
        <v>1233</v>
      </c>
      <c r="B6" s="2691"/>
      <c r="C6" s="2691"/>
      <c r="D6" s="2691"/>
      <c r="E6" s="2691"/>
    </row>
    <row r="8" spans="1:5" x14ac:dyDescent="0.2">
      <c r="A8" s="1036" t="s">
        <v>1232</v>
      </c>
    </row>
    <row r="10" spans="1:5" x14ac:dyDescent="0.2">
      <c r="A10" s="1037" t="s">
        <v>1231</v>
      </c>
      <c r="B10" s="1038" t="s">
        <v>1230</v>
      </c>
      <c r="C10" s="1038"/>
      <c r="D10" s="1039">
        <f>SUM('Acct Summary 7-8'!C7:K7)</f>
        <v>9714773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166834</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-177580</v>
      </c>
    </row>
    <row r="19" spans="1:4" ht="13.5" thickBot="1" x14ac:dyDescent="0.25">
      <c r="A19" s="1041" t="s">
        <v>1224</v>
      </c>
      <c r="D19" s="1042">
        <f>SUM(D10:D17)</f>
        <v>9704027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93"/>
      <c r="B24" s="2693"/>
      <c r="D24" s="1044"/>
    </row>
    <row r="25" spans="1:4" x14ac:dyDescent="0.2">
      <c r="A25" s="2690"/>
      <c r="B25" s="2690"/>
      <c r="D25" s="1044"/>
    </row>
    <row r="26" spans="1:4" x14ac:dyDescent="0.2">
      <c r="A26" s="2690"/>
      <c r="B26" s="2690"/>
      <c r="D26" s="1044"/>
    </row>
    <row r="27" spans="1:4" x14ac:dyDescent="0.2">
      <c r="A27" s="2690"/>
      <c r="B27" s="2690"/>
      <c r="D27" s="1044"/>
    </row>
    <row r="28" spans="1:4" x14ac:dyDescent="0.2">
      <c r="A28" s="2690"/>
      <c r="B28" s="2690"/>
      <c r="D28" s="1044"/>
    </row>
    <row r="29" spans="1:4" x14ac:dyDescent="0.2">
      <c r="A29" s="2690"/>
      <c r="B29" s="2690"/>
      <c r="D29" s="1044"/>
    </row>
    <row r="30" spans="1:4" x14ac:dyDescent="0.2">
      <c r="A30" s="2690"/>
      <c r="B30" s="2690"/>
      <c r="D30" s="1044"/>
    </row>
    <row r="32" spans="1:4" x14ac:dyDescent="0.2">
      <c r="A32" s="1036" t="s">
        <v>1222</v>
      </c>
      <c r="D32" s="1039">
        <f>SUM(D19:D30)</f>
        <v>9704027</v>
      </c>
    </row>
    <row r="33" spans="1:4" x14ac:dyDescent="0.2">
      <c r="D33" s="1045"/>
    </row>
    <row r="34" spans="1:4" x14ac:dyDescent="0.2">
      <c r="A34" s="295" t="s">
        <v>1221</v>
      </c>
    </row>
    <row r="35" spans="1:4" x14ac:dyDescent="0.2">
      <c r="A35" s="295" t="s">
        <v>1220</v>
      </c>
      <c r="B35" s="1034" t="s">
        <v>1219</v>
      </c>
      <c r="D35" s="1046">
        <v>9704027</v>
      </c>
    </row>
    <row r="37" spans="1:4" x14ac:dyDescent="0.2">
      <c r="A37" s="1036" t="s">
        <v>1218</v>
      </c>
    </row>
    <row r="39" spans="1:4" ht="13.35" customHeight="1" x14ac:dyDescent="0.2">
      <c r="A39" s="1043" t="s">
        <v>1217</v>
      </c>
    </row>
    <row r="40" spans="1:4" x14ac:dyDescent="0.2">
      <c r="A40" s="2690"/>
      <c r="B40" s="2690"/>
      <c r="D40" s="1044"/>
    </row>
    <row r="41" spans="1:4" x14ac:dyDescent="0.2">
      <c r="A41" s="2690"/>
      <c r="B41" s="2690"/>
      <c r="D41" s="1047"/>
    </row>
    <row r="42" spans="1:4" x14ac:dyDescent="0.2">
      <c r="A42" s="2690"/>
      <c r="B42" s="2690"/>
      <c r="D42" s="1047"/>
    </row>
    <row r="43" spans="1:4" x14ac:dyDescent="0.2">
      <c r="A43" s="2690"/>
      <c r="B43" s="2690"/>
      <c r="D43" s="1047"/>
    </row>
    <row r="44" spans="1:4" x14ac:dyDescent="0.2">
      <c r="A44" s="2690"/>
      <c r="B44" s="2690"/>
      <c r="D44" s="1047"/>
    </row>
    <row r="45" spans="1:4" x14ac:dyDescent="0.2">
      <c r="A45" s="2690"/>
      <c r="B45" s="2690"/>
      <c r="D45" s="1047"/>
    </row>
    <row r="47" spans="1:4" x14ac:dyDescent="0.2">
      <c r="B47" s="1048" t="s">
        <v>1216</v>
      </c>
      <c r="C47" s="1048"/>
      <c r="D47" s="1049">
        <f>SUM(D35:D45)</f>
        <v>9704027</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991D2-DFBE-4A67-AD98-2CC0A8CEA948}">
  <sheetPr>
    <tabColor rgb="FF92D050"/>
  </sheetPr>
  <dimension ref="B1:N152"/>
  <sheetViews>
    <sheetView showGridLines="0" zoomScaleNormal="100" workbookViewId="0">
      <selection activeCell="G24" sqref="G24"/>
    </sheetView>
  </sheetViews>
  <sheetFormatPr defaultColWidth="33.5703125" defaultRowHeight="12.75" x14ac:dyDescent="0.2"/>
  <cols>
    <col min="1" max="1" width="0.140625" style="2036" customWidth="1"/>
    <col min="2" max="2" width="32.85546875" style="2036" customWidth="1"/>
    <col min="3" max="3" width="8.7109375" style="2096" customWidth="1"/>
    <col min="4" max="4" width="12.7109375" style="2097" customWidth="1"/>
    <col min="5" max="6" width="11.7109375" style="2036" customWidth="1"/>
    <col min="7" max="7" width="11.7109375" style="2040" customWidth="1"/>
    <col min="8" max="8" width="13.7109375" style="2040" bestFit="1" customWidth="1"/>
    <col min="9" max="9" width="11.7109375" style="2040" customWidth="1"/>
    <col min="10" max="10" width="13.7109375" style="2040" customWidth="1"/>
    <col min="11" max="12" width="11.7109375" style="2040" customWidth="1"/>
    <col min="13" max="13" width="11.7109375" style="2036" customWidth="1"/>
    <col min="14" max="14" width="2.7109375" style="2036" customWidth="1"/>
    <col min="15" max="16384" width="33.5703125" style="2036"/>
  </cols>
  <sheetData>
    <row r="1" spans="2:14" ht="11.85" customHeight="1" x14ac:dyDescent="0.2">
      <c r="B1" s="2673" t="str">
        <f>'Single Audit Cover'!A7</f>
        <v xml:space="preserve"> Cahokia USD 187</v>
      </c>
      <c r="C1" s="2695"/>
      <c r="D1" s="2695"/>
      <c r="E1" s="2695"/>
      <c r="F1" s="2695"/>
      <c r="G1" s="2695"/>
      <c r="H1" s="2695"/>
      <c r="I1" s="2695"/>
      <c r="J1" s="2695"/>
      <c r="K1" s="2695"/>
      <c r="L1" s="2695"/>
      <c r="M1" s="2695"/>
    </row>
    <row r="2" spans="2:14" ht="15" x14ac:dyDescent="0.2">
      <c r="B2" s="2696">
        <f>'Single Audit Cover'!E7</f>
        <v>50082187026</v>
      </c>
      <c r="C2" s="2696"/>
      <c r="D2" s="2696"/>
      <c r="E2" s="2696"/>
      <c r="F2" s="2696"/>
      <c r="G2" s="2696"/>
      <c r="H2" s="2696"/>
      <c r="I2" s="2696"/>
      <c r="J2" s="2696"/>
      <c r="K2" s="2696"/>
      <c r="L2" s="2696"/>
      <c r="M2" s="2696"/>
      <c r="N2" s="2047"/>
    </row>
    <row r="3" spans="2:14" ht="15" x14ac:dyDescent="0.2">
      <c r="B3" s="2697" t="s">
        <v>1208</v>
      </c>
      <c r="C3" s="2697"/>
      <c r="D3" s="2697"/>
      <c r="E3" s="2697"/>
      <c r="F3" s="2697"/>
      <c r="G3" s="2697"/>
      <c r="H3" s="2697"/>
      <c r="I3" s="2697"/>
      <c r="J3" s="2697"/>
      <c r="K3" s="2697"/>
      <c r="L3" s="2697"/>
      <c r="M3" s="2697"/>
      <c r="N3" s="2047"/>
    </row>
    <row r="4" spans="2:14" ht="15" x14ac:dyDescent="0.2">
      <c r="B4" s="2698" t="str">
        <f>'Single Audit Cover'!A4</f>
        <v>Year Ending June 30, 2020</v>
      </c>
      <c r="C4" s="2698"/>
      <c r="D4" s="2698"/>
      <c r="E4" s="2698"/>
      <c r="F4" s="2698"/>
      <c r="G4" s="2698"/>
      <c r="H4" s="2698"/>
      <c r="I4" s="2698"/>
      <c r="J4" s="2698"/>
      <c r="K4" s="2698"/>
      <c r="L4" s="2698"/>
      <c r="M4" s="2698"/>
      <c r="N4" s="2047"/>
    </row>
    <row r="5" spans="2:14" x14ac:dyDescent="0.2">
      <c r="H5" s="1915"/>
      <c r="J5" s="1915"/>
    </row>
    <row r="6" spans="2:14" x14ac:dyDescent="0.2">
      <c r="B6" s="2048"/>
      <c r="C6" s="2049"/>
      <c r="D6" s="2050" t="s">
        <v>1254</v>
      </c>
      <c r="E6" s="2051" t="s">
        <v>524</v>
      </c>
      <c r="F6" s="2052"/>
      <c r="G6" s="2053" t="s">
        <v>1708</v>
      </c>
      <c r="H6" s="2051"/>
      <c r="I6" s="2051"/>
      <c r="J6" s="1916"/>
      <c r="K6" s="2054"/>
      <c r="L6" s="2055"/>
      <c r="M6" s="2056"/>
    </row>
    <row r="7" spans="2:14" x14ac:dyDescent="0.2">
      <c r="B7" s="2057" t="s">
        <v>1564</v>
      </c>
      <c r="C7" s="2058"/>
      <c r="D7" s="2059"/>
      <c r="E7" s="2060"/>
      <c r="F7" s="2061"/>
      <c r="G7" s="2060"/>
      <c r="H7" s="2062" t="s">
        <v>1251</v>
      </c>
      <c r="I7" s="2060"/>
      <c r="J7" s="2063" t="s">
        <v>1251</v>
      </c>
      <c r="K7" s="2064"/>
      <c r="L7" s="2065" t="s">
        <v>1249</v>
      </c>
      <c r="M7" s="2066"/>
    </row>
    <row r="8" spans="2:14" x14ac:dyDescent="0.2">
      <c r="B8" s="2113"/>
      <c r="C8" s="2058" t="s">
        <v>1253</v>
      </c>
      <c r="D8" s="2059" t="s">
        <v>1252</v>
      </c>
      <c r="E8" s="2067" t="s">
        <v>1251</v>
      </c>
      <c r="F8" s="2068" t="s">
        <v>1251</v>
      </c>
      <c r="G8" s="2069" t="s">
        <v>1251</v>
      </c>
      <c r="H8" s="1819" t="str">
        <f>"7/1/"&amp;MID('AFR20'!$E$2,3,2)-2&amp;"-6/30/"&amp;MID('AFR20'!$E$2,3,2)-1</f>
        <v>7/1/18-6/30/19</v>
      </c>
      <c r="I8" s="2064" t="s">
        <v>1251</v>
      </c>
      <c r="J8" s="1820" t="str">
        <f>"7/1/"&amp;MID('AFR20'!$E$2,3,2)-1&amp;"-6/30/"&amp;MID('AFR20'!$E$2,3,2)</f>
        <v>7/1/19-6/30/20</v>
      </c>
      <c r="K8" s="2064" t="s">
        <v>1250</v>
      </c>
      <c r="L8" s="2065" t="s">
        <v>1246</v>
      </c>
      <c r="M8" s="2066" t="s">
        <v>30</v>
      </c>
    </row>
    <row r="9" spans="2:14" ht="14.25" x14ac:dyDescent="0.2">
      <c r="B9" s="2070" t="s">
        <v>1248</v>
      </c>
      <c r="C9" s="2058" t="s">
        <v>1709</v>
      </c>
      <c r="D9" s="2059" t="s">
        <v>1710</v>
      </c>
      <c r="E9" s="1914" t="str">
        <f>"7/1/"&amp;MID('AFR20'!$E$2,3,2)-2&amp;"-6/30/"&amp;MID('AFR20'!$E$2,3,2)-1</f>
        <v>7/1/18-6/30/19</v>
      </c>
      <c r="F9" s="1914" t="str">
        <f>"7/1/"&amp;MID('AFR20'!$E$2,3,2)-1&amp;"-6/30/"&amp;MID('AFR20'!$E$2,3,2)</f>
        <v>7/1/19-6/30/20</v>
      </c>
      <c r="G9" s="1914" t="str">
        <f>"7/1/"&amp;MID('AFR20'!$E$2,3,2)-2&amp;"-6/30/"&amp;MID('AFR20'!$E$2,3,2)-1</f>
        <v>7/1/18-6/30/19</v>
      </c>
      <c r="H9" s="2062" t="s">
        <v>1565</v>
      </c>
      <c r="I9" s="1914" t="str">
        <f>"7/1/"&amp;MID('AFR20'!$E$2,3,2)-1&amp;"-6/30/"&amp;MID('AFR20'!$E$2,3,2)</f>
        <v>7/1/19-6/30/20</v>
      </c>
      <c r="J9" s="2063" t="s">
        <v>1565</v>
      </c>
      <c r="K9" s="2064" t="s">
        <v>1247</v>
      </c>
      <c r="L9" s="2071" t="s">
        <v>1566</v>
      </c>
      <c r="M9" s="2066"/>
    </row>
    <row r="10" spans="2:14" ht="11.85" customHeight="1" x14ac:dyDescent="0.2">
      <c r="B10" s="2070" t="s">
        <v>1245</v>
      </c>
      <c r="C10" s="2072" t="s">
        <v>1244</v>
      </c>
      <c r="D10" s="2073" t="s">
        <v>1243</v>
      </c>
      <c r="E10" s="2074" t="s">
        <v>1242</v>
      </c>
      <c r="F10" s="2075" t="s">
        <v>1241</v>
      </c>
      <c r="G10" s="2076" t="s">
        <v>1240</v>
      </c>
      <c r="H10" s="2077" t="s">
        <v>1255</v>
      </c>
      <c r="I10" s="2078" t="s">
        <v>1239</v>
      </c>
      <c r="J10" s="2079" t="s">
        <v>1255</v>
      </c>
      <c r="K10" s="2080" t="s">
        <v>1238</v>
      </c>
      <c r="L10" s="2080" t="s">
        <v>1237</v>
      </c>
      <c r="M10" s="2081" t="s">
        <v>1236</v>
      </c>
    </row>
    <row r="11" spans="2:14" ht="20.100000000000001" customHeight="1" x14ac:dyDescent="0.2">
      <c r="B11" s="2082" t="s">
        <v>2076</v>
      </c>
      <c r="C11" s="1821"/>
      <c r="D11" s="1822"/>
      <c r="E11" s="1823"/>
      <c r="F11" s="1823"/>
      <c r="G11" s="1823"/>
      <c r="H11" s="1823"/>
      <c r="I11" s="1823"/>
      <c r="J11" s="1823"/>
      <c r="K11" s="1823"/>
      <c r="L11" s="1823"/>
      <c r="M11" s="1823"/>
    </row>
    <row r="12" spans="2:14" ht="20.100000000000001" customHeight="1" x14ac:dyDescent="0.2">
      <c r="B12" s="2082" t="s">
        <v>2218</v>
      </c>
      <c r="C12" s="1824">
        <v>10.555</v>
      </c>
      <c r="D12" s="1825" t="s">
        <v>2078</v>
      </c>
      <c r="E12" s="1826"/>
      <c r="F12" s="1826">
        <v>888958</v>
      </c>
      <c r="G12" s="1826"/>
      <c r="H12" s="1826"/>
      <c r="I12" s="1826">
        <v>888958</v>
      </c>
      <c r="J12" s="1826"/>
      <c r="K12" s="1826"/>
      <c r="L12" s="1823">
        <f t="shared" ref="L12:L27" si="0">+G12+I12+K12</f>
        <v>888958</v>
      </c>
      <c r="M12" s="1826" t="s">
        <v>2138</v>
      </c>
    </row>
    <row r="13" spans="2:14" ht="20.100000000000001" customHeight="1" x14ac:dyDescent="0.2">
      <c r="B13" s="2082" t="s">
        <v>2219</v>
      </c>
      <c r="C13" s="1824">
        <v>10.555</v>
      </c>
      <c r="D13" s="1825" t="s">
        <v>2079</v>
      </c>
      <c r="E13" s="1826">
        <v>1238090</v>
      </c>
      <c r="F13" s="1826">
        <v>285345</v>
      </c>
      <c r="G13" s="1826">
        <v>1238090</v>
      </c>
      <c r="H13" s="1826"/>
      <c r="I13" s="1826">
        <v>285345</v>
      </c>
      <c r="J13" s="1826"/>
      <c r="K13" s="1826"/>
      <c r="L13" s="1823">
        <f t="shared" si="0"/>
        <v>1523435</v>
      </c>
      <c r="M13" s="1826" t="s">
        <v>2138</v>
      </c>
    </row>
    <row r="14" spans="2:14" ht="20.100000000000001" customHeight="1" x14ac:dyDescent="0.2">
      <c r="B14" s="2082" t="s">
        <v>2220</v>
      </c>
      <c r="C14" s="1824">
        <v>10.553000000000001</v>
      </c>
      <c r="D14" s="1825" t="s">
        <v>2080</v>
      </c>
      <c r="E14" s="1826"/>
      <c r="F14" s="1826">
        <v>374170</v>
      </c>
      <c r="G14" s="1826"/>
      <c r="H14" s="1826"/>
      <c r="I14" s="1826">
        <v>374170</v>
      </c>
      <c r="J14" s="1826"/>
      <c r="K14" s="1826"/>
      <c r="L14" s="1823">
        <f t="shared" si="0"/>
        <v>374170</v>
      </c>
      <c r="M14" s="1826" t="s">
        <v>2138</v>
      </c>
    </row>
    <row r="15" spans="2:14" ht="20.100000000000001" customHeight="1" x14ac:dyDescent="0.2">
      <c r="B15" s="2082" t="s">
        <v>2221</v>
      </c>
      <c r="C15" s="1824">
        <v>10.553000000000001</v>
      </c>
      <c r="D15" s="1825" t="s">
        <v>2081</v>
      </c>
      <c r="E15" s="1826">
        <v>523613</v>
      </c>
      <c r="F15" s="1826">
        <v>121741</v>
      </c>
      <c r="G15" s="1826">
        <v>523613</v>
      </c>
      <c r="H15" s="1826"/>
      <c r="I15" s="1826">
        <v>121741</v>
      </c>
      <c r="J15" s="1826"/>
      <c r="K15" s="1826"/>
      <c r="L15" s="1823">
        <f t="shared" si="0"/>
        <v>645354</v>
      </c>
      <c r="M15" s="1826" t="s">
        <v>2138</v>
      </c>
    </row>
    <row r="16" spans="2:14" ht="20.100000000000001" customHeight="1" x14ac:dyDescent="0.2">
      <c r="B16" s="2082" t="s">
        <v>2222</v>
      </c>
      <c r="C16" s="1824">
        <v>10.558999999999999</v>
      </c>
      <c r="D16" s="1825" t="s">
        <v>2082</v>
      </c>
      <c r="E16" s="1826"/>
      <c r="F16" s="1826">
        <v>184176</v>
      </c>
      <c r="G16" s="1826"/>
      <c r="H16" s="1826"/>
      <c r="I16" s="1826">
        <v>184176</v>
      </c>
      <c r="J16" s="1826"/>
      <c r="K16" s="1826"/>
      <c r="L16" s="1823">
        <f t="shared" si="0"/>
        <v>184176</v>
      </c>
      <c r="M16" s="1826" t="s">
        <v>2138</v>
      </c>
    </row>
    <row r="17" spans="2:14" ht="20.100000000000001" customHeight="1" x14ac:dyDescent="0.2">
      <c r="B17" s="2082" t="s">
        <v>2223</v>
      </c>
      <c r="C17" s="1824">
        <v>10.558999999999999</v>
      </c>
      <c r="D17" s="1825" t="s">
        <v>2083</v>
      </c>
      <c r="E17" s="1826">
        <v>31917</v>
      </c>
      <c r="F17" s="1826">
        <v>10225</v>
      </c>
      <c r="G17" s="1826">
        <v>31917</v>
      </c>
      <c r="H17" s="1826"/>
      <c r="I17" s="1826">
        <v>10225</v>
      </c>
      <c r="J17" s="1826"/>
      <c r="K17" s="1826"/>
      <c r="L17" s="1823">
        <f t="shared" si="0"/>
        <v>42142</v>
      </c>
      <c r="M17" s="1826" t="s">
        <v>2138</v>
      </c>
    </row>
    <row r="18" spans="2:14" ht="20.100000000000001" customHeight="1" x14ac:dyDescent="0.2">
      <c r="B18" s="2082" t="s">
        <v>2077</v>
      </c>
      <c r="C18" s="1824"/>
      <c r="D18" s="1825"/>
      <c r="E18" s="1826">
        <f>+E12+E13+E14+E15+E16+E17</f>
        <v>1793620</v>
      </c>
      <c r="F18" s="1826">
        <f>+F12+F13+F14+F15+F16+F17</f>
        <v>1864615</v>
      </c>
      <c r="G18" s="1826">
        <f>+G12+G13+G14+G15+G16+G17</f>
        <v>1793620</v>
      </c>
      <c r="H18" s="1826"/>
      <c r="I18" s="1826">
        <f>+I12+I13+I14+I15+I16+I17</f>
        <v>1864615</v>
      </c>
      <c r="J18" s="1826"/>
      <c r="K18" s="1826"/>
      <c r="L18" s="1823"/>
      <c r="M18" s="1826"/>
    </row>
    <row r="19" spans="2:14" ht="20.100000000000001" customHeight="1" x14ac:dyDescent="0.2">
      <c r="B19" s="2082"/>
      <c r="C19" s="1824"/>
      <c r="D19" s="1825"/>
      <c r="E19" s="1826"/>
      <c r="F19" s="1826"/>
      <c r="G19" s="1826"/>
      <c r="H19" s="1826"/>
      <c r="I19" s="1826"/>
      <c r="J19" s="1826"/>
      <c r="K19" s="1826"/>
      <c r="L19" s="1823"/>
      <c r="M19" s="1826"/>
    </row>
    <row r="20" spans="2:14" ht="20.100000000000001" customHeight="1" x14ac:dyDescent="0.2">
      <c r="B20" s="2082" t="s">
        <v>2084</v>
      </c>
      <c r="C20" s="1824">
        <v>10.558</v>
      </c>
      <c r="D20" s="1825" t="s">
        <v>2086</v>
      </c>
      <c r="E20" s="1826"/>
      <c r="F20" s="1826">
        <v>115591</v>
      </c>
      <c r="G20" s="1826"/>
      <c r="H20" s="1826"/>
      <c r="I20" s="1826">
        <v>115591</v>
      </c>
      <c r="J20" s="1826"/>
      <c r="K20" s="1826"/>
      <c r="L20" s="1823">
        <f t="shared" si="0"/>
        <v>115591</v>
      </c>
      <c r="M20" s="1826" t="s">
        <v>2138</v>
      </c>
    </row>
    <row r="21" spans="2:14" ht="20.100000000000001" customHeight="1" x14ac:dyDescent="0.2">
      <c r="B21" s="2082" t="s">
        <v>2085</v>
      </c>
      <c r="C21" s="1824">
        <v>10.558</v>
      </c>
      <c r="D21" s="1825" t="s">
        <v>2087</v>
      </c>
      <c r="E21" s="1826">
        <v>149389</v>
      </c>
      <c r="F21" s="1826">
        <v>22201</v>
      </c>
      <c r="G21" s="1826">
        <v>149389</v>
      </c>
      <c r="H21" s="1826"/>
      <c r="I21" s="1826">
        <v>22201</v>
      </c>
      <c r="J21" s="1826"/>
      <c r="K21" s="1826"/>
      <c r="L21" s="1823">
        <f t="shared" si="0"/>
        <v>171590</v>
      </c>
      <c r="M21" s="1826" t="s">
        <v>2138</v>
      </c>
    </row>
    <row r="22" spans="2:14" ht="20.100000000000001" customHeight="1" x14ac:dyDescent="0.2">
      <c r="B22" s="2082" t="s">
        <v>2088</v>
      </c>
      <c r="C22" s="1824"/>
      <c r="D22" s="1825"/>
      <c r="E22" s="1826">
        <f>+E20+E21</f>
        <v>149389</v>
      </c>
      <c r="F22" s="1826">
        <f>+F20+F21</f>
        <v>137792</v>
      </c>
      <c r="G22" s="1826">
        <f>+G20+G21</f>
        <v>149389</v>
      </c>
      <c r="H22" s="1826"/>
      <c r="I22" s="1826">
        <f>+I20+I21</f>
        <v>137792</v>
      </c>
      <c r="J22" s="1826"/>
      <c r="K22" s="1826"/>
      <c r="L22" s="1823"/>
      <c r="M22" s="1826"/>
    </row>
    <row r="23" spans="2:14" ht="20.100000000000001" customHeight="1" x14ac:dyDescent="0.2">
      <c r="B23" s="2082" t="s">
        <v>2090</v>
      </c>
      <c r="C23" s="1824"/>
      <c r="D23" s="1825" t="s">
        <v>2089</v>
      </c>
      <c r="E23" s="1826"/>
      <c r="F23" s="1826">
        <v>48685</v>
      </c>
      <c r="G23" s="1826"/>
      <c r="H23" s="1826"/>
      <c r="I23" s="1826">
        <v>48685</v>
      </c>
      <c r="J23" s="1826"/>
      <c r="K23" s="1826"/>
      <c r="L23" s="1823">
        <f t="shared" si="0"/>
        <v>48685</v>
      </c>
      <c r="M23" s="1826" t="s">
        <v>2138</v>
      </c>
    </row>
    <row r="24" spans="2:14" ht="20.100000000000001" customHeight="1" x14ac:dyDescent="0.2">
      <c r="B24" s="2082" t="s">
        <v>2091</v>
      </c>
      <c r="C24" s="1824">
        <v>10.582000000000001</v>
      </c>
      <c r="D24" s="1825" t="s">
        <v>2139</v>
      </c>
      <c r="E24" s="1826">
        <v>39828</v>
      </c>
      <c r="F24" s="1826">
        <v>3422</v>
      </c>
      <c r="G24" s="1826">
        <v>39828</v>
      </c>
      <c r="H24" s="1826"/>
      <c r="I24" s="1826">
        <v>3422</v>
      </c>
      <c r="J24" s="1826"/>
      <c r="K24" s="1826"/>
      <c r="L24" s="1823">
        <f t="shared" si="0"/>
        <v>43250</v>
      </c>
      <c r="M24" s="1826" t="s">
        <v>2138</v>
      </c>
    </row>
    <row r="25" spans="2:14" ht="20.100000000000001" customHeight="1" x14ac:dyDescent="0.2">
      <c r="B25" s="2082" t="s">
        <v>2091</v>
      </c>
      <c r="C25" s="1824">
        <v>10.582000000000001</v>
      </c>
      <c r="D25" s="1825" t="s">
        <v>2140</v>
      </c>
      <c r="E25" s="1826"/>
      <c r="F25" s="1826">
        <v>11523</v>
      </c>
      <c r="G25" s="1826"/>
      <c r="H25" s="1826"/>
      <c r="I25" s="1826">
        <v>11523</v>
      </c>
      <c r="J25" s="1826"/>
      <c r="K25" s="1826"/>
      <c r="L25" s="1823">
        <f t="shared" si="0"/>
        <v>11523</v>
      </c>
      <c r="M25" s="1826" t="s">
        <v>2138</v>
      </c>
    </row>
    <row r="26" spans="2:14" ht="20.100000000000001" customHeight="1" x14ac:dyDescent="0.2">
      <c r="B26" s="2082" t="s">
        <v>2141</v>
      </c>
      <c r="C26" s="1824"/>
      <c r="D26" s="1825"/>
      <c r="E26" s="1826">
        <f>+E23+E24+E25</f>
        <v>39828</v>
      </c>
      <c r="F26" s="1826">
        <f>+F23+F25+F24</f>
        <v>63630</v>
      </c>
      <c r="G26" s="1826">
        <f>+G23+G24+G25</f>
        <v>39828</v>
      </c>
      <c r="H26" s="1826"/>
      <c r="I26" s="1826">
        <f>+I23+I24+I25</f>
        <v>63630</v>
      </c>
      <c r="J26" s="1826"/>
      <c r="K26" s="1826"/>
      <c r="L26" s="1823">
        <f t="shared" si="0"/>
        <v>103458</v>
      </c>
      <c r="M26" s="1826"/>
    </row>
    <row r="27" spans="2:14" ht="20.100000000000001" customHeight="1" x14ac:dyDescent="0.2">
      <c r="B27" s="2082" t="s">
        <v>2092</v>
      </c>
      <c r="C27" s="1824"/>
      <c r="D27" s="1825"/>
      <c r="E27" s="1826">
        <f>+E18+E22+E26</f>
        <v>1982837</v>
      </c>
      <c r="F27" s="1826">
        <f>+F18+F22+F26</f>
        <v>2066037</v>
      </c>
      <c r="G27" s="1826">
        <f>+G18+G22+G26</f>
        <v>1982837</v>
      </c>
      <c r="H27" s="1826"/>
      <c r="I27" s="1826">
        <f>+I18+I22+I26</f>
        <v>2066037</v>
      </c>
      <c r="J27" s="1826"/>
      <c r="K27" s="1826"/>
      <c r="L27" s="1823">
        <f t="shared" si="0"/>
        <v>4048874</v>
      </c>
      <c r="M27" s="1826"/>
      <c r="N27" s="2083"/>
    </row>
    <row r="28" spans="2:14" ht="12.75" customHeight="1" x14ac:dyDescent="0.2">
      <c r="B28" s="2084"/>
      <c r="C28" s="2085"/>
      <c r="D28" s="2086"/>
      <c r="E28" s="2087"/>
      <c r="F28" s="2087"/>
      <c r="G28" s="2087"/>
      <c r="H28" s="2087"/>
      <c r="I28" s="2087"/>
      <c r="J28" s="2087"/>
      <c r="K28" s="2087"/>
      <c r="L28" s="2087"/>
      <c r="M28" s="2087"/>
      <c r="N28" s="2083"/>
    </row>
    <row r="29" spans="2:14" x14ac:dyDescent="0.2">
      <c r="B29" s="2039"/>
      <c r="C29" s="2088"/>
      <c r="D29" s="2089"/>
      <c r="E29" s="2039"/>
      <c r="F29" s="2039"/>
      <c r="G29" s="2038"/>
      <c r="H29" s="2038"/>
      <c r="I29" s="2038"/>
      <c r="J29" s="2038"/>
      <c r="K29" s="2038"/>
      <c r="L29" s="2038"/>
      <c r="M29" s="2039"/>
      <c r="N29" s="2083"/>
    </row>
    <row r="30" spans="2:14" ht="13.5" customHeight="1" x14ac:dyDescent="0.2">
      <c r="B30" s="2044" t="s">
        <v>1711</v>
      </c>
      <c r="C30" s="2088"/>
      <c r="D30" s="2089"/>
      <c r="E30" s="2039"/>
      <c r="F30" s="2039"/>
      <c r="G30" s="2038"/>
      <c r="H30" s="2038"/>
      <c r="I30" s="2038"/>
      <c r="J30" s="2038"/>
      <c r="K30" s="2038"/>
      <c r="L30" s="2038"/>
      <c r="M30" s="2039"/>
      <c r="N30" s="2083"/>
    </row>
    <row r="31" spans="2:14" ht="8.25" customHeight="1" x14ac:dyDescent="0.2">
      <c r="B31" s="2044"/>
      <c r="C31" s="2088"/>
      <c r="D31" s="2089"/>
      <c r="E31" s="2039"/>
      <c r="F31" s="2039"/>
      <c r="G31" s="2038"/>
      <c r="H31" s="2038"/>
      <c r="I31" s="2038"/>
      <c r="J31" s="2038"/>
      <c r="K31" s="2038"/>
      <c r="L31" s="2038"/>
      <c r="M31" s="2039"/>
      <c r="N31" s="2083"/>
    </row>
    <row r="32" spans="2:14" x14ac:dyDescent="0.2">
      <c r="B32" s="2090" t="s">
        <v>1809</v>
      </c>
      <c r="C32" s="2091"/>
      <c r="D32" s="2092"/>
      <c r="E32" s="2093"/>
      <c r="F32" s="2093"/>
      <c r="G32" s="2093"/>
      <c r="H32" s="2093"/>
      <c r="I32" s="2036"/>
      <c r="J32" s="2036"/>
    </row>
    <row r="33" spans="2:13" x14ac:dyDescent="0.2">
      <c r="B33" s="2042"/>
      <c r="C33" s="2094"/>
      <c r="D33" s="2095"/>
      <c r="E33" s="2043"/>
      <c r="F33" s="2043"/>
      <c r="G33" s="2036"/>
      <c r="H33" s="2036"/>
      <c r="I33" s="2036"/>
      <c r="J33" s="2036"/>
    </row>
    <row r="34" spans="2:13" ht="13.5" customHeight="1" x14ac:dyDescent="0.2">
      <c r="B34" s="2041" t="s">
        <v>1235</v>
      </c>
      <c r="G34" s="2036"/>
      <c r="H34" s="2036"/>
      <c r="I34" s="2036"/>
      <c r="J34" s="2036"/>
    </row>
    <row r="35" spans="2:13" ht="13.5" customHeight="1" x14ac:dyDescent="0.2">
      <c r="B35" s="2098"/>
      <c r="C35" s="2099"/>
      <c r="D35" s="2100"/>
      <c r="E35" s="2045"/>
      <c r="F35" s="2045"/>
      <c r="G35" s="2045"/>
      <c r="H35" s="2045"/>
      <c r="I35" s="2045"/>
      <c r="J35" s="2045"/>
      <c r="K35" s="2101"/>
      <c r="L35" s="2101"/>
      <c r="M35" s="2045"/>
    </row>
    <row r="36" spans="2:13" ht="9.6" customHeight="1" x14ac:dyDescent="0.2">
      <c r="B36" s="2102"/>
      <c r="G36" s="2036"/>
      <c r="H36" s="2036"/>
      <c r="I36" s="2036"/>
      <c r="J36" s="2036"/>
    </row>
    <row r="37" spans="2:13" ht="11.25" customHeight="1" x14ac:dyDescent="0.2">
      <c r="B37" s="2103" t="s">
        <v>1712</v>
      </c>
      <c r="C37" s="2104"/>
      <c r="D37" s="2104"/>
      <c r="E37" s="2104"/>
      <c r="F37" s="2104"/>
      <c r="G37" s="2104"/>
      <c r="H37" s="2104"/>
      <c r="I37" s="2105"/>
      <c r="J37" s="2105"/>
      <c r="K37" s="2105"/>
      <c r="L37" s="2105"/>
      <c r="M37" s="2105"/>
    </row>
    <row r="38" spans="2:13" ht="11.25" customHeight="1" x14ac:dyDescent="0.2">
      <c r="B38" s="2106" t="s">
        <v>1567</v>
      </c>
      <c r="C38" s="2105"/>
      <c r="D38" s="2105"/>
      <c r="E38" s="2105"/>
      <c r="F38" s="2105"/>
      <c r="G38" s="2105"/>
      <c r="H38" s="2105"/>
      <c r="I38" s="2105"/>
      <c r="J38" s="2105"/>
      <c r="K38" s="2105"/>
      <c r="L38" s="2105"/>
      <c r="M38" s="2105"/>
    </row>
    <row r="39" spans="2:13" ht="3.95" customHeight="1" x14ac:dyDescent="0.2">
      <c r="B39" s="2106"/>
      <c r="C39" s="2105"/>
      <c r="D39" s="2105"/>
      <c r="E39" s="2105"/>
      <c r="F39" s="2105"/>
      <c r="G39" s="2105"/>
      <c r="H39" s="2105"/>
      <c r="I39" s="2105"/>
      <c r="J39" s="2105"/>
      <c r="K39" s="2105"/>
      <c r="L39" s="2105"/>
      <c r="M39" s="2105"/>
    </row>
    <row r="40" spans="2:13" ht="11.25" customHeight="1" x14ac:dyDescent="0.2">
      <c r="B40" s="2103" t="s">
        <v>1713</v>
      </c>
      <c r="C40" s="2105"/>
      <c r="D40" s="2105"/>
      <c r="E40" s="2105"/>
      <c r="F40" s="2105"/>
      <c r="G40" s="2105"/>
      <c r="H40" s="2105"/>
      <c r="I40" s="2105"/>
      <c r="J40" s="2105"/>
      <c r="K40" s="2105"/>
      <c r="L40" s="2105"/>
      <c r="M40" s="2105"/>
    </row>
    <row r="41" spans="2:13" ht="11.25" customHeight="1" x14ac:dyDescent="0.2">
      <c r="B41" s="2046" t="s">
        <v>1568</v>
      </c>
      <c r="C41" s="2107"/>
      <c r="D41" s="2108"/>
      <c r="E41" s="2046"/>
      <c r="F41" s="2046"/>
      <c r="G41" s="2046"/>
      <c r="H41" s="2046"/>
      <c r="I41" s="2046"/>
      <c r="J41" s="2046"/>
      <c r="K41" s="2109"/>
      <c r="L41" s="2109"/>
      <c r="M41" s="2046"/>
    </row>
    <row r="42" spans="2:13" ht="3.95" customHeight="1" x14ac:dyDescent="0.2">
      <c r="B42" s="2046"/>
      <c r="C42" s="2107"/>
      <c r="D42" s="2108"/>
      <c r="E42" s="2046"/>
      <c r="F42" s="2046"/>
      <c r="G42" s="2046"/>
      <c r="H42" s="2046"/>
      <c r="I42" s="2046"/>
      <c r="J42" s="2046"/>
      <c r="K42" s="2109"/>
      <c r="L42" s="2109"/>
      <c r="M42" s="2046"/>
    </row>
    <row r="43" spans="2:13" ht="11.25" customHeight="1" x14ac:dyDescent="0.2">
      <c r="B43" s="2110" t="s">
        <v>1714</v>
      </c>
      <c r="C43" s="2107"/>
      <c r="D43" s="2108"/>
      <c r="E43" s="2046"/>
      <c r="F43" s="2046"/>
      <c r="G43" s="2046"/>
      <c r="H43" s="2046"/>
      <c r="I43" s="2046"/>
      <c r="J43" s="2046"/>
      <c r="K43" s="2109"/>
      <c r="L43" s="2109"/>
      <c r="M43" s="2046"/>
    </row>
    <row r="44" spans="2:13" ht="3.95" customHeight="1" x14ac:dyDescent="0.2">
      <c r="B44" s="2110"/>
      <c r="C44" s="2107"/>
      <c r="D44" s="2108"/>
      <c r="E44" s="2046"/>
      <c r="F44" s="2046"/>
      <c r="G44" s="2046"/>
      <c r="H44" s="2046"/>
      <c r="I44" s="2046"/>
      <c r="J44" s="2046"/>
      <c r="K44" s="2109"/>
      <c r="L44" s="2109"/>
      <c r="M44" s="2046"/>
    </row>
    <row r="45" spans="2:13" ht="11.25" customHeight="1" x14ac:dyDescent="0.2">
      <c r="B45" s="2111" t="s">
        <v>1715</v>
      </c>
      <c r="C45" s="2107"/>
      <c r="D45" s="2108"/>
      <c r="E45" s="2046"/>
      <c r="F45" s="2046"/>
      <c r="G45" s="2046"/>
      <c r="H45" s="2046"/>
      <c r="I45" s="2046"/>
      <c r="J45" s="2046"/>
      <c r="K45" s="2109"/>
      <c r="L45" s="2109"/>
      <c r="M45" s="2046"/>
    </row>
    <row r="46" spans="2:13" ht="11.25" customHeight="1" x14ac:dyDescent="0.2">
      <c r="B46" s="2046" t="s">
        <v>1569</v>
      </c>
      <c r="G46" s="2036"/>
      <c r="H46" s="2036"/>
      <c r="I46" s="2036"/>
      <c r="J46" s="2036"/>
    </row>
    <row r="47" spans="2:13" ht="11.1" customHeight="1" x14ac:dyDescent="0.2">
      <c r="B47" s="2046"/>
      <c r="G47" s="2036"/>
      <c r="H47" s="2036"/>
      <c r="I47" s="2036"/>
      <c r="J47" s="2036"/>
    </row>
    <row r="48" spans="2:13" ht="11.1" customHeight="1" x14ac:dyDescent="0.2">
      <c r="B48" s="2046"/>
      <c r="G48" s="2036"/>
      <c r="H48" s="2036"/>
      <c r="I48" s="2036"/>
      <c r="J48" s="2036"/>
    </row>
    <row r="49" spans="7:13" ht="13.5" customHeight="1" x14ac:dyDescent="0.2">
      <c r="M49" s="2112"/>
    </row>
    <row r="50" spans="7:13" ht="13.5" customHeight="1" x14ac:dyDescent="0.2">
      <c r="M50" s="2112"/>
    </row>
    <row r="51" spans="7:13" ht="13.5" customHeight="1" x14ac:dyDescent="0.2">
      <c r="M51" s="2112"/>
    </row>
    <row r="52" spans="7:13" ht="13.5" customHeight="1" x14ac:dyDescent="0.2">
      <c r="G52" s="2036"/>
      <c r="H52" s="2036"/>
      <c r="I52" s="2036"/>
      <c r="J52" s="2036"/>
    </row>
    <row r="53" spans="7:13" ht="13.5" customHeight="1" x14ac:dyDescent="0.2">
      <c r="G53" s="2036"/>
      <c r="H53" s="2036"/>
      <c r="I53" s="2036"/>
      <c r="J53" s="2036"/>
    </row>
    <row r="54" spans="7:13" ht="13.5" customHeight="1" x14ac:dyDescent="0.2">
      <c r="G54" s="2036"/>
      <c r="H54" s="2036"/>
      <c r="I54" s="2036"/>
      <c r="J54" s="2036"/>
    </row>
    <row r="55" spans="7:13" ht="13.5" customHeight="1" x14ac:dyDescent="0.2">
      <c r="G55" s="2036"/>
      <c r="H55" s="2036"/>
      <c r="I55" s="2036"/>
      <c r="J55" s="2036"/>
    </row>
    <row r="56" spans="7:13" ht="13.5" customHeight="1" x14ac:dyDescent="0.2">
      <c r="G56" s="2036"/>
      <c r="H56" s="2036"/>
      <c r="I56" s="2036"/>
      <c r="J56" s="2036"/>
    </row>
    <row r="57" spans="7:13" ht="13.5" customHeight="1" x14ac:dyDescent="0.2">
      <c r="G57" s="2036"/>
      <c r="H57" s="2036"/>
      <c r="I57" s="2036"/>
      <c r="J57" s="2036"/>
    </row>
    <row r="58" spans="7:13" ht="13.5" customHeight="1" x14ac:dyDescent="0.2">
      <c r="G58" s="2036"/>
      <c r="H58" s="2036"/>
      <c r="I58" s="2036"/>
      <c r="J58" s="203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F789A-EE63-45BC-BB3A-8FF4B01714EC}">
  <sheetPr>
    <tabColor rgb="FF92D050"/>
  </sheetPr>
  <dimension ref="B1:N152"/>
  <sheetViews>
    <sheetView showGridLines="0" zoomScaleNormal="100" workbookViewId="0">
      <selection activeCell="G24" sqref="G24"/>
    </sheetView>
  </sheetViews>
  <sheetFormatPr defaultColWidth="33.5703125" defaultRowHeight="12.75" x14ac:dyDescent="0.2"/>
  <cols>
    <col min="1" max="1" width="0.140625" style="2036" customWidth="1"/>
    <col min="2" max="2" width="32.85546875" style="2036" customWidth="1"/>
    <col min="3" max="3" width="8.7109375" style="2096" customWidth="1"/>
    <col min="4" max="4" width="12.7109375" style="2097" customWidth="1"/>
    <col min="5" max="6" width="11.7109375" style="2036" customWidth="1"/>
    <col min="7" max="7" width="11.7109375" style="2040" customWidth="1"/>
    <col min="8" max="8" width="13.7109375" style="2040" bestFit="1" customWidth="1"/>
    <col min="9" max="9" width="11.7109375" style="2040" customWidth="1"/>
    <col min="10" max="10" width="13.7109375" style="2040" customWidth="1"/>
    <col min="11" max="12" width="11.7109375" style="2040" customWidth="1"/>
    <col min="13" max="13" width="11.7109375" style="2036" customWidth="1"/>
    <col min="14" max="14" width="2.7109375" style="2036" customWidth="1"/>
    <col min="15" max="16384" width="33.5703125" style="2036"/>
  </cols>
  <sheetData>
    <row r="1" spans="2:14" ht="11.85" customHeight="1" x14ac:dyDescent="0.2">
      <c r="B1" s="2673" t="str">
        <f>'Single Audit Cover'!A7</f>
        <v xml:space="preserve"> Cahokia USD 187</v>
      </c>
      <c r="C1" s="2695"/>
      <c r="D1" s="2695"/>
      <c r="E1" s="2695"/>
      <c r="F1" s="2695"/>
      <c r="G1" s="2695"/>
      <c r="H1" s="2695"/>
      <c r="I1" s="2695"/>
      <c r="J1" s="2695"/>
      <c r="K1" s="2695"/>
      <c r="L1" s="2695"/>
      <c r="M1" s="2695"/>
    </row>
    <row r="2" spans="2:14" ht="15" x14ac:dyDescent="0.2">
      <c r="B2" s="2696">
        <f>'Single Audit Cover'!E7</f>
        <v>50082187026</v>
      </c>
      <c r="C2" s="2696"/>
      <c r="D2" s="2696"/>
      <c r="E2" s="2696"/>
      <c r="F2" s="2696"/>
      <c r="G2" s="2696"/>
      <c r="H2" s="2696"/>
      <c r="I2" s="2696"/>
      <c r="J2" s="2696"/>
      <c r="K2" s="2696"/>
      <c r="L2" s="2696"/>
      <c r="M2" s="2696"/>
      <c r="N2" s="2047"/>
    </row>
    <row r="3" spans="2:14" ht="15" x14ac:dyDescent="0.2">
      <c r="B3" s="2697" t="s">
        <v>1208</v>
      </c>
      <c r="C3" s="2697"/>
      <c r="D3" s="2697"/>
      <c r="E3" s="2697"/>
      <c r="F3" s="2697"/>
      <c r="G3" s="2697"/>
      <c r="H3" s="2697"/>
      <c r="I3" s="2697"/>
      <c r="J3" s="2697"/>
      <c r="K3" s="2697"/>
      <c r="L3" s="2697"/>
      <c r="M3" s="2697"/>
      <c r="N3" s="2047"/>
    </row>
    <row r="4" spans="2:14" ht="15" x14ac:dyDescent="0.2">
      <c r="B4" s="2698" t="str">
        <f>'Single Audit Cover'!A4</f>
        <v>Year Ending June 30, 2020</v>
      </c>
      <c r="C4" s="2698"/>
      <c r="D4" s="2698"/>
      <c r="E4" s="2698"/>
      <c r="F4" s="2698"/>
      <c r="G4" s="2698"/>
      <c r="H4" s="2698"/>
      <c r="I4" s="2698"/>
      <c r="J4" s="2698"/>
      <c r="K4" s="2698"/>
      <c r="L4" s="2698"/>
      <c r="M4" s="2698"/>
      <c r="N4" s="2047"/>
    </row>
    <row r="5" spans="2:14" x14ac:dyDescent="0.2">
      <c r="H5" s="1915"/>
      <c r="J5" s="1915"/>
    </row>
    <row r="6" spans="2:14" x14ac:dyDescent="0.2">
      <c r="B6" s="2048"/>
      <c r="C6" s="2049"/>
      <c r="D6" s="2050" t="s">
        <v>1254</v>
      </c>
      <c r="E6" s="2051" t="s">
        <v>524</v>
      </c>
      <c r="F6" s="2052"/>
      <c r="G6" s="2053" t="s">
        <v>1708</v>
      </c>
      <c r="H6" s="2051"/>
      <c r="I6" s="2051"/>
      <c r="J6" s="1916"/>
      <c r="K6" s="2054"/>
      <c r="L6" s="2055"/>
      <c r="M6" s="2056"/>
    </row>
    <row r="7" spans="2:14" x14ac:dyDescent="0.2">
      <c r="B7" s="2057" t="s">
        <v>1564</v>
      </c>
      <c r="C7" s="2058"/>
      <c r="D7" s="2059"/>
      <c r="E7" s="2060"/>
      <c r="F7" s="2061"/>
      <c r="G7" s="2060"/>
      <c r="H7" s="2062" t="s">
        <v>1251</v>
      </c>
      <c r="I7" s="2060"/>
      <c r="J7" s="2063" t="s">
        <v>1251</v>
      </c>
      <c r="K7" s="2064"/>
      <c r="L7" s="2065" t="s">
        <v>1249</v>
      </c>
      <c r="M7" s="2066"/>
    </row>
    <row r="8" spans="2:14" x14ac:dyDescent="0.2">
      <c r="B8" s="2113"/>
      <c r="C8" s="2058" t="s">
        <v>1253</v>
      </c>
      <c r="D8" s="2059" t="s">
        <v>1252</v>
      </c>
      <c r="E8" s="2067" t="s">
        <v>1251</v>
      </c>
      <c r="F8" s="2068" t="s">
        <v>1251</v>
      </c>
      <c r="G8" s="2069" t="s">
        <v>1251</v>
      </c>
      <c r="H8" s="1819" t="str">
        <f>"7/1/"&amp;MID('AFR20'!$E$2,3,2)-2&amp;"-6/30/"&amp;MID('AFR20'!$E$2,3,2)-1</f>
        <v>7/1/18-6/30/19</v>
      </c>
      <c r="I8" s="2064" t="s">
        <v>1251</v>
      </c>
      <c r="J8" s="1820" t="str">
        <f>"7/1/"&amp;MID('AFR20'!$E$2,3,2)-1&amp;"-6/30/"&amp;MID('AFR20'!$E$2,3,2)</f>
        <v>7/1/19-6/30/20</v>
      </c>
      <c r="K8" s="2064" t="s">
        <v>1250</v>
      </c>
      <c r="L8" s="2065" t="s">
        <v>1246</v>
      </c>
      <c r="M8" s="2066" t="s">
        <v>30</v>
      </c>
    </row>
    <row r="9" spans="2:14" ht="14.25" x14ac:dyDescent="0.2">
      <c r="B9" s="2070" t="s">
        <v>1248</v>
      </c>
      <c r="C9" s="2058" t="s">
        <v>1709</v>
      </c>
      <c r="D9" s="2059" t="s">
        <v>1710</v>
      </c>
      <c r="E9" s="1914" t="str">
        <f>"7/1/"&amp;MID('AFR20'!$E$2,3,2)-2&amp;"-6/30/"&amp;MID('AFR20'!$E$2,3,2)-1</f>
        <v>7/1/18-6/30/19</v>
      </c>
      <c r="F9" s="1914" t="str">
        <f>"7/1/"&amp;MID('AFR20'!$E$2,3,2)-1&amp;"-6/30/"&amp;MID('AFR20'!$E$2,3,2)</f>
        <v>7/1/19-6/30/20</v>
      </c>
      <c r="G9" s="1914" t="str">
        <f>"7/1/"&amp;MID('AFR20'!$E$2,3,2)-2&amp;"-6/30/"&amp;MID('AFR20'!$E$2,3,2)-1</f>
        <v>7/1/18-6/30/19</v>
      </c>
      <c r="H9" s="2062" t="s">
        <v>1565</v>
      </c>
      <c r="I9" s="1914" t="str">
        <f>"7/1/"&amp;MID('AFR20'!$E$2,3,2)-1&amp;"-6/30/"&amp;MID('AFR20'!$E$2,3,2)</f>
        <v>7/1/19-6/30/20</v>
      </c>
      <c r="J9" s="2063" t="s">
        <v>1565</v>
      </c>
      <c r="K9" s="2064" t="s">
        <v>1247</v>
      </c>
      <c r="L9" s="2071" t="s">
        <v>1566</v>
      </c>
      <c r="M9" s="2066"/>
    </row>
    <row r="10" spans="2:14" ht="11.85" customHeight="1" x14ac:dyDescent="0.2">
      <c r="B10" s="2070" t="s">
        <v>1245</v>
      </c>
      <c r="C10" s="2072" t="s">
        <v>1244</v>
      </c>
      <c r="D10" s="2073" t="s">
        <v>1243</v>
      </c>
      <c r="E10" s="2074" t="s">
        <v>1242</v>
      </c>
      <c r="F10" s="2075" t="s">
        <v>1241</v>
      </c>
      <c r="G10" s="2076" t="s">
        <v>1240</v>
      </c>
      <c r="H10" s="2077" t="s">
        <v>1255</v>
      </c>
      <c r="I10" s="2078" t="s">
        <v>1239</v>
      </c>
      <c r="J10" s="2079" t="s">
        <v>1255</v>
      </c>
      <c r="K10" s="2080" t="s">
        <v>1238</v>
      </c>
      <c r="L10" s="2080" t="s">
        <v>1237</v>
      </c>
      <c r="M10" s="2081" t="s">
        <v>1236</v>
      </c>
    </row>
    <row r="11" spans="2:14" ht="20.100000000000001" customHeight="1" x14ac:dyDescent="0.2">
      <c r="B11" s="2082" t="s">
        <v>2093</v>
      </c>
      <c r="C11" s="1821"/>
      <c r="D11" s="1822"/>
      <c r="E11" s="1823"/>
      <c r="F11" s="1823"/>
      <c r="G11" s="1823"/>
      <c r="H11" s="1823"/>
      <c r="I11" s="1823"/>
      <c r="J11" s="1823"/>
      <c r="K11" s="1823"/>
      <c r="L11" s="1823" t="s">
        <v>1159</v>
      </c>
      <c r="M11" s="1823"/>
    </row>
    <row r="12" spans="2:14" ht="20.100000000000001" customHeight="1" x14ac:dyDescent="0.2">
      <c r="B12" s="2082" t="s">
        <v>2094</v>
      </c>
      <c r="C12" s="1824">
        <v>93.778000000000006</v>
      </c>
      <c r="D12" s="1825" t="s">
        <v>2095</v>
      </c>
      <c r="E12" s="1826"/>
      <c r="F12" s="1826">
        <v>193068</v>
      </c>
      <c r="G12" s="1826"/>
      <c r="H12" s="1826"/>
      <c r="I12" s="1826">
        <v>193068</v>
      </c>
      <c r="J12" s="1826"/>
      <c r="K12" s="1826"/>
      <c r="L12" s="1823">
        <f t="shared" ref="L12:L25" si="0">+G12+I12+K12</f>
        <v>193068</v>
      </c>
      <c r="M12" s="1826" t="s">
        <v>2138</v>
      </c>
    </row>
    <row r="13" spans="2:14" ht="20.100000000000001" customHeight="1" x14ac:dyDescent="0.2">
      <c r="B13" s="2082"/>
      <c r="C13" s="1824"/>
      <c r="D13" s="1825"/>
      <c r="E13" s="1826"/>
      <c r="F13" s="1826"/>
      <c r="G13" s="1826"/>
      <c r="H13" s="1826"/>
      <c r="I13" s="1826"/>
      <c r="J13" s="1826"/>
      <c r="K13" s="1826"/>
      <c r="L13" s="1823" t="s">
        <v>1159</v>
      </c>
      <c r="M13" s="1826"/>
    </row>
    <row r="14" spans="2:14" ht="20.100000000000001" customHeight="1" x14ac:dyDescent="0.2">
      <c r="B14" s="2082" t="s">
        <v>2096</v>
      </c>
      <c r="C14" s="1824"/>
      <c r="D14" s="1825"/>
      <c r="E14" s="1826"/>
      <c r="F14" s="1826"/>
      <c r="G14" s="1826"/>
      <c r="H14" s="1826"/>
      <c r="I14" s="1826"/>
      <c r="J14" s="1826"/>
      <c r="K14" s="1826"/>
      <c r="L14" s="1823" t="s">
        <v>1159</v>
      </c>
      <c r="M14" s="1826"/>
    </row>
    <row r="15" spans="2:14" ht="20.100000000000001" customHeight="1" x14ac:dyDescent="0.2">
      <c r="B15" s="2082" t="s">
        <v>2097</v>
      </c>
      <c r="C15" s="1824">
        <v>84.126000000000005</v>
      </c>
      <c r="D15" s="1825" t="s">
        <v>2098</v>
      </c>
      <c r="E15" s="1826"/>
      <c r="F15" s="1826">
        <v>9950</v>
      </c>
      <c r="G15" s="1826"/>
      <c r="H15" s="1826"/>
      <c r="I15" s="1826">
        <v>9950</v>
      </c>
      <c r="J15" s="1826"/>
      <c r="K15" s="1826"/>
      <c r="L15" s="1823">
        <f t="shared" si="0"/>
        <v>9950</v>
      </c>
      <c r="M15" s="1826"/>
    </row>
    <row r="16" spans="2:14" ht="20.100000000000001" customHeight="1" x14ac:dyDescent="0.2">
      <c r="B16" s="2082"/>
      <c r="C16" s="1824"/>
      <c r="D16" s="1825"/>
      <c r="E16" s="1826"/>
      <c r="F16" s="1826"/>
      <c r="G16" s="1826"/>
      <c r="H16" s="1826"/>
      <c r="I16" s="1826"/>
      <c r="J16" s="1826"/>
      <c r="K16" s="1826"/>
      <c r="L16" s="1823" t="s">
        <v>1159</v>
      </c>
      <c r="M16" s="1826"/>
    </row>
    <row r="17" spans="2:14" ht="20.100000000000001" customHeight="1" x14ac:dyDescent="0.2">
      <c r="B17" s="2082" t="s">
        <v>2099</v>
      </c>
      <c r="C17" s="1824"/>
      <c r="D17" s="1825"/>
      <c r="E17" s="1826"/>
      <c r="F17" s="1826"/>
      <c r="G17" s="1826"/>
      <c r="H17" s="1826"/>
      <c r="I17" s="1826"/>
      <c r="J17" s="1826"/>
      <c r="K17" s="1826"/>
      <c r="L17" s="1823" t="s">
        <v>1159</v>
      </c>
      <c r="M17" s="1826"/>
    </row>
    <row r="18" spans="2:14" ht="20.100000000000001" customHeight="1" x14ac:dyDescent="0.2">
      <c r="B18" s="2082" t="s">
        <v>2100</v>
      </c>
      <c r="C18" s="1824">
        <v>84.367000000000004</v>
      </c>
      <c r="D18" s="1825" t="s">
        <v>2102</v>
      </c>
      <c r="E18" s="1826"/>
      <c r="F18" s="1826">
        <v>301737</v>
      </c>
      <c r="G18" s="1826"/>
      <c r="H18" s="1826"/>
      <c r="I18" s="1826">
        <v>301737</v>
      </c>
      <c r="J18" s="1826"/>
      <c r="K18" s="1826"/>
      <c r="L18" s="1823">
        <f>+G18+I18+K18</f>
        <v>301737</v>
      </c>
      <c r="M18" s="1826">
        <v>319988</v>
      </c>
    </row>
    <row r="19" spans="2:14" ht="20.100000000000001" customHeight="1" x14ac:dyDescent="0.2">
      <c r="B19" s="2082" t="s">
        <v>2101</v>
      </c>
      <c r="C19" s="1824">
        <v>84.367000000000004</v>
      </c>
      <c r="D19" s="1825" t="s">
        <v>2103</v>
      </c>
      <c r="E19" s="1826">
        <v>290142</v>
      </c>
      <c r="F19" s="1826">
        <v>419</v>
      </c>
      <c r="G19" s="1826">
        <v>290142</v>
      </c>
      <c r="H19" s="1826"/>
      <c r="I19" s="1826">
        <v>419</v>
      </c>
      <c r="J19" s="1826"/>
      <c r="K19" s="1826"/>
      <c r="L19" s="1823">
        <f t="shared" si="0"/>
        <v>290561</v>
      </c>
      <c r="M19" s="1826">
        <v>294154</v>
      </c>
    </row>
    <row r="20" spans="2:14" ht="20.100000000000001" customHeight="1" x14ac:dyDescent="0.2">
      <c r="B20" s="2082" t="s">
        <v>2104</v>
      </c>
      <c r="C20" s="1824"/>
      <c r="D20" s="1825"/>
      <c r="E20" s="1826">
        <f>+E18+E19</f>
        <v>290142</v>
      </c>
      <c r="F20" s="1826">
        <f>+F18+F19</f>
        <v>302156</v>
      </c>
      <c r="G20" s="1826">
        <f>+G18+G19</f>
        <v>290142</v>
      </c>
      <c r="H20" s="1826"/>
      <c r="I20" s="1826">
        <f>+I18+I19</f>
        <v>302156</v>
      </c>
      <c r="J20" s="1826"/>
      <c r="K20" s="1826"/>
      <c r="L20" s="1823">
        <f t="shared" si="0"/>
        <v>592298</v>
      </c>
      <c r="M20" s="1826"/>
    </row>
    <row r="21" spans="2:14" ht="20.100000000000001" customHeight="1" x14ac:dyDescent="0.2">
      <c r="B21" s="2082"/>
      <c r="C21" s="1824"/>
      <c r="D21" s="1825"/>
      <c r="E21" s="1826"/>
      <c r="F21" s="1826"/>
      <c r="G21" s="1826"/>
      <c r="H21" s="1826"/>
      <c r="I21" s="1826"/>
      <c r="J21" s="1826"/>
      <c r="K21" s="1826"/>
      <c r="L21" s="1823"/>
      <c r="M21" s="1826"/>
    </row>
    <row r="22" spans="2:14" ht="20.100000000000001" customHeight="1" x14ac:dyDescent="0.2">
      <c r="B22" s="2082" t="s">
        <v>2105</v>
      </c>
      <c r="C22" s="1824">
        <v>84.01</v>
      </c>
      <c r="D22" s="1825" t="s">
        <v>2109</v>
      </c>
      <c r="E22" s="1826"/>
      <c r="F22" s="1826">
        <v>2886956</v>
      </c>
      <c r="G22" s="1826"/>
      <c r="H22" s="1826"/>
      <c r="I22" s="1826">
        <v>2886956</v>
      </c>
      <c r="J22" s="1826"/>
      <c r="K22" s="1826"/>
      <c r="L22" s="1823">
        <f t="shared" si="0"/>
        <v>2886956</v>
      </c>
      <c r="M22" s="1826">
        <v>4160816</v>
      </c>
    </row>
    <row r="23" spans="2:14" ht="20.100000000000001" customHeight="1" x14ac:dyDescent="0.2">
      <c r="B23" s="2082" t="s">
        <v>2106</v>
      </c>
      <c r="C23" s="1824">
        <v>84.01</v>
      </c>
      <c r="D23" s="1825" t="s">
        <v>2110</v>
      </c>
      <c r="E23" s="1826">
        <v>3163419</v>
      </c>
      <c r="F23" s="1826">
        <v>392538</v>
      </c>
      <c r="G23" s="1826">
        <v>3163419</v>
      </c>
      <c r="H23" s="1826"/>
      <c r="I23" s="1826">
        <v>392538</v>
      </c>
      <c r="J23" s="1826"/>
      <c r="K23" s="1826"/>
      <c r="L23" s="1823">
        <f t="shared" si="0"/>
        <v>3555957</v>
      </c>
      <c r="M23" s="1826">
        <v>3891937</v>
      </c>
    </row>
    <row r="24" spans="2:14" ht="20.100000000000001" customHeight="1" x14ac:dyDescent="0.2">
      <c r="B24" s="2082" t="s">
        <v>2107</v>
      </c>
      <c r="C24" s="1824">
        <v>84.01</v>
      </c>
      <c r="D24" s="1825" t="s">
        <v>2111</v>
      </c>
      <c r="E24" s="1826"/>
      <c r="F24" s="1826">
        <v>511091</v>
      </c>
      <c r="G24" s="1826"/>
      <c r="H24" s="1826"/>
      <c r="I24" s="1826">
        <v>511091</v>
      </c>
      <c r="J24" s="1826"/>
      <c r="K24" s="1826"/>
      <c r="L24" s="1823">
        <f t="shared" si="0"/>
        <v>511091</v>
      </c>
      <c r="M24" s="1826">
        <v>876131</v>
      </c>
    </row>
    <row r="25" spans="2:14" ht="20.100000000000001" customHeight="1" x14ac:dyDescent="0.2">
      <c r="B25" s="2082" t="s">
        <v>2108</v>
      </c>
      <c r="C25" s="1824">
        <v>84.01</v>
      </c>
      <c r="D25" s="1825" t="s">
        <v>2112</v>
      </c>
      <c r="E25" s="1826">
        <v>144168</v>
      </c>
      <c r="F25" s="1826">
        <v>693155</v>
      </c>
      <c r="G25" s="1826">
        <v>144168</v>
      </c>
      <c r="H25" s="1826"/>
      <c r="I25" s="1826">
        <v>693155</v>
      </c>
      <c r="J25" s="1826"/>
      <c r="K25" s="1826"/>
      <c r="L25" s="1823">
        <f t="shared" si="0"/>
        <v>837323</v>
      </c>
      <c r="M25" s="1826">
        <v>1391945</v>
      </c>
    </row>
    <row r="26" spans="2:14" ht="20.100000000000001" customHeight="1" x14ac:dyDescent="0.2">
      <c r="B26" s="2082" t="s">
        <v>2113</v>
      </c>
      <c r="C26" s="1824"/>
      <c r="D26" s="1825"/>
      <c r="E26" s="1826">
        <f>+E22+E23+E24+E25</f>
        <v>3307587</v>
      </c>
      <c r="F26" s="1826">
        <f>+F22+F23+F24+F25</f>
        <v>4483740</v>
      </c>
      <c r="G26" s="1826">
        <f>+G22+G23+G24+G25</f>
        <v>3307587</v>
      </c>
      <c r="H26" s="1826"/>
      <c r="I26" s="1826">
        <f>+I22+I23+I24+I25</f>
        <v>4483740</v>
      </c>
      <c r="J26" s="1826"/>
      <c r="K26" s="1826"/>
      <c r="L26" s="1823"/>
      <c r="M26" s="1826"/>
    </row>
    <row r="27" spans="2:14" ht="20.100000000000001" customHeight="1" x14ac:dyDescent="0.2">
      <c r="B27" s="2082"/>
      <c r="C27" s="1824"/>
      <c r="D27" s="1825"/>
      <c r="E27" s="1826"/>
      <c r="F27" s="1826"/>
      <c r="G27" s="1826"/>
      <c r="H27" s="1826"/>
      <c r="I27" s="1826"/>
      <c r="J27" s="1826"/>
      <c r="K27" s="1826"/>
      <c r="L27" s="1823"/>
      <c r="M27" s="1826"/>
      <c r="N27" s="2083"/>
    </row>
    <row r="28" spans="2:14" ht="12.75" customHeight="1" x14ac:dyDescent="0.2">
      <c r="B28" s="2084"/>
      <c r="C28" s="2085"/>
      <c r="D28" s="2086"/>
      <c r="E28" s="2087"/>
      <c r="F28" s="2087"/>
      <c r="G28" s="2087"/>
      <c r="H28" s="2087"/>
      <c r="I28" s="2087"/>
      <c r="J28" s="2087"/>
      <c r="K28" s="2087"/>
      <c r="L28" s="2087"/>
      <c r="M28" s="2087"/>
      <c r="N28" s="2083"/>
    </row>
    <row r="29" spans="2:14" x14ac:dyDescent="0.2">
      <c r="B29" s="2039"/>
      <c r="C29" s="2088"/>
      <c r="D29" s="2089"/>
      <c r="E29" s="2039"/>
      <c r="F29" s="2039"/>
      <c r="G29" s="2038"/>
      <c r="H29" s="2038"/>
      <c r="I29" s="2038"/>
      <c r="J29" s="2038"/>
      <c r="K29" s="2038"/>
      <c r="L29" s="2038"/>
      <c r="M29" s="2039"/>
      <c r="N29" s="2083"/>
    </row>
    <row r="30" spans="2:14" ht="13.5" customHeight="1" x14ac:dyDescent="0.2">
      <c r="B30" s="2044" t="s">
        <v>1711</v>
      </c>
      <c r="C30" s="2088"/>
      <c r="D30" s="2089"/>
      <c r="E30" s="2039"/>
      <c r="F30" s="2039"/>
      <c r="G30" s="2038"/>
      <c r="H30" s="2038"/>
      <c r="I30" s="2038"/>
      <c r="J30" s="2038"/>
      <c r="K30" s="2038"/>
      <c r="L30" s="2038"/>
      <c r="M30" s="2039"/>
      <c r="N30" s="2083"/>
    </row>
    <row r="31" spans="2:14" ht="8.25" customHeight="1" x14ac:dyDescent="0.2">
      <c r="B31" s="2044"/>
      <c r="C31" s="2088"/>
      <c r="D31" s="2089"/>
      <c r="E31" s="2039"/>
      <c r="F31" s="2039"/>
      <c r="G31" s="2038"/>
      <c r="H31" s="2038"/>
      <c r="I31" s="2038"/>
      <c r="J31" s="2038"/>
      <c r="K31" s="2038"/>
      <c r="L31" s="2038"/>
      <c r="M31" s="2039"/>
      <c r="N31" s="2083"/>
    </row>
    <row r="32" spans="2:14" x14ac:dyDescent="0.2">
      <c r="B32" s="2090" t="s">
        <v>1809</v>
      </c>
      <c r="C32" s="2091"/>
      <c r="D32" s="2092"/>
      <c r="E32" s="2093"/>
      <c r="F32" s="2093"/>
      <c r="G32" s="2093"/>
      <c r="H32" s="2093"/>
      <c r="I32" s="2036"/>
      <c r="J32" s="2036"/>
    </row>
    <row r="33" spans="2:13" x14ac:dyDescent="0.2">
      <c r="B33" s="2042"/>
      <c r="C33" s="2094"/>
      <c r="D33" s="2095"/>
      <c r="E33" s="2043"/>
      <c r="F33" s="2043"/>
      <c r="G33" s="2036"/>
      <c r="H33" s="2036"/>
      <c r="I33" s="2036"/>
      <c r="J33" s="2036"/>
    </row>
    <row r="34" spans="2:13" ht="13.5" customHeight="1" x14ac:dyDescent="0.2">
      <c r="B34" s="2041" t="s">
        <v>1235</v>
      </c>
      <c r="G34" s="2036"/>
      <c r="H34" s="2036"/>
      <c r="I34" s="2036"/>
      <c r="J34" s="2036"/>
    </row>
    <row r="35" spans="2:13" ht="13.5" customHeight="1" x14ac:dyDescent="0.2">
      <c r="B35" s="2098"/>
      <c r="C35" s="2099"/>
      <c r="D35" s="2100"/>
      <c r="E35" s="2045"/>
      <c r="F35" s="2045"/>
      <c r="G35" s="2045"/>
      <c r="H35" s="2045"/>
      <c r="I35" s="2045"/>
      <c r="J35" s="2045"/>
      <c r="K35" s="2101"/>
      <c r="L35" s="2101"/>
      <c r="M35" s="2045"/>
    </row>
    <row r="36" spans="2:13" ht="9.6" customHeight="1" x14ac:dyDescent="0.2">
      <c r="B36" s="2102"/>
      <c r="G36" s="2036"/>
      <c r="H36" s="2036"/>
      <c r="I36" s="2036"/>
      <c r="J36" s="2036"/>
    </row>
    <row r="37" spans="2:13" ht="11.25" customHeight="1" x14ac:dyDescent="0.2">
      <c r="B37" s="2103" t="s">
        <v>1712</v>
      </c>
      <c r="C37" s="2104"/>
      <c r="D37" s="2104"/>
      <c r="E37" s="2104"/>
      <c r="F37" s="2104"/>
      <c r="G37" s="2104"/>
      <c r="H37" s="2104"/>
      <c r="I37" s="2105"/>
      <c r="J37" s="2105"/>
      <c r="K37" s="2105"/>
      <c r="L37" s="2105"/>
      <c r="M37" s="2105"/>
    </row>
    <row r="38" spans="2:13" ht="11.25" customHeight="1" x14ac:dyDescent="0.2">
      <c r="B38" s="2106" t="s">
        <v>1567</v>
      </c>
      <c r="C38" s="2105"/>
      <c r="D38" s="2105"/>
      <c r="E38" s="2105"/>
      <c r="F38" s="2105"/>
      <c r="G38" s="2105"/>
      <c r="H38" s="2105"/>
      <c r="I38" s="2105"/>
      <c r="J38" s="2105"/>
      <c r="K38" s="2105"/>
      <c r="L38" s="2105"/>
      <c r="M38" s="2105"/>
    </row>
    <row r="39" spans="2:13" ht="3.95" customHeight="1" x14ac:dyDescent="0.2">
      <c r="B39" s="2106"/>
      <c r="C39" s="2105"/>
      <c r="D39" s="2105"/>
      <c r="E39" s="2105"/>
      <c r="F39" s="2105"/>
      <c r="G39" s="2105"/>
      <c r="H39" s="2105"/>
      <c r="I39" s="2105"/>
      <c r="J39" s="2105"/>
      <c r="K39" s="2105"/>
      <c r="L39" s="2105"/>
      <c r="M39" s="2105"/>
    </row>
    <row r="40" spans="2:13" ht="11.25" customHeight="1" x14ac:dyDescent="0.2">
      <c r="B40" s="2103" t="s">
        <v>1713</v>
      </c>
      <c r="C40" s="2105"/>
      <c r="D40" s="2105"/>
      <c r="E40" s="2105"/>
      <c r="F40" s="2105"/>
      <c r="G40" s="2105"/>
      <c r="H40" s="2105"/>
      <c r="I40" s="2105"/>
      <c r="J40" s="2105"/>
      <c r="K40" s="2105"/>
      <c r="L40" s="2105"/>
      <c r="M40" s="2105"/>
    </row>
    <row r="41" spans="2:13" ht="11.25" customHeight="1" x14ac:dyDescent="0.2">
      <c r="B41" s="2046" t="s">
        <v>1568</v>
      </c>
      <c r="C41" s="2107"/>
      <c r="D41" s="2108"/>
      <c r="E41" s="2046"/>
      <c r="F41" s="2046"/>
      <c r="G41" s="2046"/>
      <c r="H41" s="2046"/>
      <c r="I41" s="2046"/>
      <c r="J41" s="2046"/>
      <c r="K41" s="2109"/>
      <c r="L41" s="2109"/>
      <c r="M41" s="2046"/>
    </row>
    <row r="42" spans="2:13" ht="3.95" customHeight="1" x14ac:dyDescent="0.2">
      <c r="B42" s="2046"/>
      <c r="C42" s="2107"/>
      <c r="D42" s="2108"/>
      <c r="E42" s="2046"/>
      <c r="F42" s="2046"/>
      <c r="G42" s="2046"/>
      <c r="H42" s="2046"/>
      <c r="I42" s="2046"/>
      <c r="J42" s="2046"/>
      <c r="K42" s="2109"/>
      <c r="L42" s="2109"/>
      <c r="M42" s="2046"/>
    </row>
    <row r="43" spans="2:13" ht="11.25" customHeight="1" x14ac:dyDescent="0.2">
      <c r="B43" s="2110" t="s">
        <v>1714</v>
      </c>
      <c r="C43" s="2107"/>
      <c r="D43" s="2108"/>
      <c r="E43" s="2046"/>
      <c r="F43" s="2046"/>
      <c r="G43" s="2046"/>
      <c r="H43" s="2046"/>
      <c r="I43" s="2046"/>
      <c r="J43" s="2046"/>
      <c r="K43" s="2109"/>
      <c r="L43" s="2109"/>
      <c r="M43" s="2046"/>
    </row>
    <row r="44" spans="2:13" ht="3.95" customHeight="1" x14ac:dyDescent="0.2">
      <c r="B44" s="2110"/>
      <c r="C44" s="2107"/>
      <c r="D44" s="2108"/>
      <c r="E44" s="2046"/>
      <c r="F44" s="2046"/>
      <c r="G44" s="2046"/>
      <c r="H44" s="2046"/>
      <c r="I44" s="2046"/>
      <c r="J44" s="2046"/>
      <c r="K44" s="2109"/>
      <c r="L44" s="2109"/>
      <c r="M44" s="2046"/>
    </row>
    <row r="45" spans="2:13" ht="11.25" customHeight="1" x14ac:dyDescent="0.2">
      <c r="B45" s="2111" t="s">
        <v>1715</v>
      </c>
      <c r="C45" s="2107"/>
      <c r="D45" s="2108"/>
      <c r="E45" s="2046"/>
      <c r="F45" s="2046"/>
      <c r="G45" s="2046"/>
      <c r="H45" s="2046"/>
      <c r="I45" s="2046"/>
      <c r="J45" s="2046"/>
      <c r="K45" s="2109"/>
      <c r="L45" s="2109"/>
      <c r="M45" s="2046"/>
    </row>
    <row r="46" spans="2:13" ht="11.25" customHeight="1" x14ac:dyDescent="0.2">
      <c r="B46" s="2046" t="s">
        <v>1569</v>
      </c>
      <c r="G46" s="2036"/>
      <c r="H46" s="2036"/>
      <c r="I46" s="2036"/>
      <c r="J46" s="2036"/>
    </row>
    <row r="47" spans="2:13" ht="11.1" customHeight="1" x14ac:dyDescent="0.2">
      <c r="B47" s="2046"/>
      <c r="G47" s="2036"/>
      <c r="H47" s="2036"/>
      <c r="I47" s="2036"/>
      <c r="J47" s="2036"/>
    </row>
    <row r="48" spans="2:13" ht="11.1" customHeight="1" x14ac:dyDescent="0.2">
      <c r="B48" s="2046"/>
      <c r="G48" s="2036"/>
      <c r="H48" s="2036"/>
      <c r="I48" s="2036"/>
      <c r="J48" s="2036"/>
    </row>
    <row r="49" spans="7:13" ht="13.5" customHeight="1" x14ac:dyDescent="0.2">
      <c r="M49" s="2112"/>
    </row>
    <row r="50" spans="7:13" ht="13.5" customHeight="1" x14ac:dyDescent="0.2">
      <c r="M50" s="2112"/>
    </row>
    <row r="51" spans="7:13" ht="13.5" customHeight="1" x14ac:dyDescent="0.2">
      <c r="M51" s="2112"/>
    </row>
    <row r="52" spans="7:13" ht="13.5" customHeight="1" x14ac:dyDescent="0.2">
      <c r="G52" s="2036"/>
      <c r="H52" s="2036"/>
      <c r="I52" s="2036"/>
      <c r="J52" s="2036"/>
    </row>
    <row r="53" spans="7:13" ht="13.5" customHeight="1" x14ac:dyDescent="0.2">
      <c r="G53" s="2036"/>
      <c r="H53" s="2036"/>
      <c r="I53" s="2036"/>
      <c r="J53" s="2036"/>
    </row>
    <row r="54" spans="7:13" ht="13.5" customHeight="1" x14ac:dyDescent="0.2">
      <c r="G54" s="2036"/>
      <c r="H54" s="2036"/>
      <c r="I54" s="2036"/>
      <c r="J54" s="2036"/>
    </row>
    <row r="55" spans="7:13" ht="13.5" customHeight="1" x14ac:dyDescent="0.2">
      <c r="G55" s="2036"/>
      <c r="H55" s="2036"/>
      <c r="I55" s="2036"/>
      <c r="J55" s="2036"/>
    </row>
    <row r="56" spans="7:13" ht="13.5" customHeight="1" x14ac:dyDescent="0.2">
      <c r="G56" s="2036"/>
      <c r="H56" s="2036"/>
      <c r="I56" s="2036"/>
      <c r="J56" s="2036"/>
    </row>
    <row r="57" spans="7:13" ht="13.5" customHeight="1" x14ac:dyDescent="0.2">
      <c r="G57" s="2036"/>
      <c r="H57" s="2036"/>
      <c r="I57" s="2036"/>
      <c r="J57" s="2036"/>
    </row>
    <row r="58" spans="7:13" ht="13.5" customHeight="1" x14ac:dyDescent="0.2">
      <c r="G58" s="2036"/>
      <c r="H58" s="2036"/>
      <c r="I58" s="2036"/>
      <c r="J58" s="203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 colorId="8" zoomScaleNormal="100" workbookViewId="0">
      <selection activeCell="G24" sqref="G2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83" t="s">
        <v>1158</v>
      </c>
      <c r="B2" s="2283"/>
      <c r="C2" s="2283"/>
      <c r="D2" s="2283"/>
      <c r="E2" s="2283"/>
      <c r="F2" s="2283"/>
      <c r="G2" s="2283"/>
      <c r="H2" s="2283"/>
      <c r="I2" s="2283"/>
      <c r="J2" s="228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97" t="s">
        <v>1616</v>
      </c>
      <c r="B35" s="2298"/>
      <c r="C35" s="2298"/>
      <c r="D35" s="2298"/>
      <c r="E35" s="2299"/>
      <c r="F35" s="2299"/>
      <c r="G35" s="2299"/>
      <c r="H35" s="2299"/>
      <c r="I35" s="229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97" t="s">
        <v>310</v>
      </c>
      <c r="B47" s="2300"/>
      <c r="C47" s="2300"/>
      <c r="D47" s="2300"/>
      <c r="E47" s="2301"/>
      <c r="F47" s="2301"/>
      <c r="G47" s="2301"/>
      <c r="H47" s="2301"/>
      <c r="I47" s="230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304"/>
      <c r="C57" s="2305"/>
      <c r="D57" s="2305"/>
      <c r="E57" s="2305"/>
      <c r="F57" s="2305"/>
      <c r="G57" s="2305"/>
      <c r="H57" s="2305"/>
      <c r="I57" s="2305"/>
      <c r="J57" s="2306"/>
    </row>
    <row r="58" spans="1:10" s="176" customFormat="1" x14ac:dyDescent="0.2">
      <c r="A58" s="248"/>
      <c r="B58" s="2307"/>
      <c r="C58" s="2308"/>
      <c r="D58" s="2308"/>
      <c r="E58" s="2308"/>
      <c r="F58" s="2308"/>
      <c r="G58" s="2308"/>
      <c r="H58" s="2308"/>
      <c r="I58" s="2308"/>
      <c r="J58" s="2309"/>
    </row>
    <row r="59" spans="1:10" s="176" customFormat="1" x14ac:dyDescent="0.2">
      <c r="A59" s="248"/>
      <c r="B59" s="2307"/>
      <c r="C59" s="2308"/>
      <c r="D59" s="2308"/>
      <c r="E59" s="2308"/>
      <c r="F59" s="2308"/>
      <c r="G59" s="2308"/>
      <c r="H59" s="2308"/>
      <c r="I59" s="2308"/>
      <c r="J59" s="2309"/>
    </row>
    <row r="60" spans="1:10" s="176" customFormat="1" x14ac:dyDescent="0.2">
      <c r="A60" s="248"/>
      <c r="B60" s="2307"/>
      <c r="C60" s="2308"/>
      <c r="D60" s="2308"/>
      <c r="E60" s="2308"/>
      <c r="F60" s="2308"/>
      <c r="G60" s="2308"/>
      <c r="H60" s="2308"/>
      <c r="I60" s="2308"/>
      <c r="J60" s="2309"/>
    </row>
    <row r="61" spans="1:10" s="176" customFormat="1" x14ac:dyDescent="0.2">
      <c r="A61" s="248"/>
      <c r="B61" s="2307"/>
      <c r="C61" s="2308"/>
      <c r="D61" s="2308"/>
      <c r="E61" s="2308"/>
      <c r="F61" s="2308"/>
      <c r="G61" s="2308"/>
      <c r="H61" s="2308"/>
      <c r="I61" s="2308"/>
      <c r="J61" s="2309"/>
    </row>
    <row r="62" spans="1:10" s="176" customFormat="1" x14ac:dyDescent="0.2">
      <c r="A62" s="248"/>
      <c r="B62" s="2307"/>
      <c r="C62" s="2308"/>
      <c r="D62" s="2308"/>
      <c r="E62" s="2308"/>
      <c r="F62" s="2308"/>
      <c r="G62" s="2308"/>
      <c r="H62" s="2308"/>
      <c r="I62" s="2308"/>
      <c r="J62" s="2309"/>
    </row>
    <row r="63" spans="1:10" s="176" customFormat="1" x14ac:dyDescent="0.2">
      <c r="A63" s="248"/>
      <c r="B63" s="2307"/>
      <c r="C63" s="2308"/>
      <c r="D63" s="2308"/>
      <c r="E63" s="2308"/>
      <c r="F63" s="2308"/>
      <c r="G63" s="2308"/>
      <c r="H63" s="2308"/>
      <c r="I63" s="2308"/>
      <c r="J63" s="2309"/>
    </row>
    <row r="64" spans="1:10" s="176" customFormat="1" x14ac:dyDescent="0.2">
      <c r="A64" s="248"/>
      <c r="B64" s="2307"/>
      <c r="C64" s="2308"/>
      <c r="D64" s="2308"/>
      <c r="E64" s="2308"/>
      <c r="F64" s="2308"/>
      <c r="G64" s="2308"/>
      <c r="H64" s="2308"/>
      <c r="I64" s="2308"/>
      <c r="J64" s="2309"/>
    </row>
    <row r="65" spans="1:11" s="176" customFormat="1" x14ac:dyDescent="0.2">
      <c r="A65" s="248"/>
      <c r="B65" s="2307"/>
      <c r="C65" s="2308"/>
      <c r="D65" s="2308"/>
      <c r="E65" s="2308"/>
      <c r="F65" s="2308"/>
      <c r="G65" s="2308"/>
      <c r="H65" s="2308"/>
      <c r="I65" s="2308"/>
      <c r="J65" s="2309"/>
    </row>
    <row r="66" spans="1:11" s="176" customFormat="1" x14ac:dyDescent="0.2">
      <c r="A66" s="248"/>
      <c r="B66" s="2307"/>
      <c r="C66" s="2308"/>
      <c r="D66" s="2308"/>
      <c r="E66" s="2308"/>
      <c r="F66" s="2308"/>
      <c r="G66" s="2308"/>
      <c r="H66" s="2308"/>
      <c r="I66" s="2308"/>
      <c r="J66" s="2309"/>
    </row>
    <row r="67" spans="1:11" s="176" customFormat="1" ht="9" customHeight="1" x14ac:dyDescent="0.2">
      <c r="A67" s="249"/>
      <c r="B67" s="2310"/>
      <c r="C67" s="2311"/>
      <c r="D67" s="2311"/>
      <c r="E67" s="2311"/>
      <c r="F67" s="2311"/>
      <c r="G67" s="2311"/>
      <c r="H67" s="2311"/>
      <c r="I67" s="2311"/>
      <c r="J67" s="231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97" t="s">
        <v>1312</v>
      </c>
      <c r="B70" s="2300"/>
      <c r="C70" s="2300"/>
      <c r="D70" s="2300"/>
      <c r="E70" s="2301"/>
      <c r="F70" s="2301"/>
      <c r="G70" s="2301"/>
      <c r="H70" s="2301"/>
      <c r="I70" s="230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302" t="s">
        <v>1309</v>
      </c>
      <c r="B83" s="2302"/>
      <c r="C83" s="2302"/>
      <c r="D83" s="230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313" t="s">
        <v>1986</v>
      </c>
      <c r="B85" s="2313"/>
      <c r="C85" s="2313"/>
      <c r="D85" s="2314"/>
      <c r="E85" s="1544">
        <v>1</v>
      </c>
      <c r="F85" s="1544"/>
      <c r="G85" s="1544"/>
      <c r="H85" s="1544"/>
      <c r="I85" s="1904"/>
      <c r="J85" s="1727">
        <f>SUM(E85:I85)</f>
        <v>1</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315" t="s">
        <v>1986</v>
      </c>
      <c r="B88" s="2316"/>
      <c r="C88" s="2316"/>
      <c r="D88" s="2317"/>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1</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84"/>
      <c r="C102" s="2285"/>
      <c r="D102" s="2285"/>
      <c r="E102" s="2285"/>
      <c r="F102" s="2285"/>
      <c r="G102" s="2285"/>
      <c r="H102" s="2285"/>
      <c r="I102" s="2286"/>
    </row>
    <row r="103" spans="1:9" s="176" customFormat="1" ht="11.25" customHeight="1" x14ac:dyDescent="0.2">
      <c r="A103" s="294"/>
      <c r="B103" s="2287"/>
      <c r="C103" s="2288"/>
      <c r="D103" s="2288"/>
      <c r="E103" s="2288"/>
      <c r="F103" s="2288"/>
      <c r="G103" s="2288"/>
      <c r="H103" s="2288"/>
      <c r="I103" s="2289"/>
    </row>
    <row r="104" spans="1:9" s="176" customFormat="1" ht="11.25" customHeight="1" x14ac:dyDescent="0.2">
      <c r="A104" s="294"/>
      <c r="B104" s="2287"/>
      <c r="C104" s="2288"/>
      <c r="D104" s="2288"/>
      <c r="E104" s="2288"/>
      <c r="F104" s="2288"/>
      <c r="G104" s="2288"/>
      <c r="H104" s="2288"/>
      <c r="I104" s="2289"/>
    </row>
    <row r="105" spans="1:9" s="176" customFormat="1" x14ac:dyDescent="0.2">
      <c r="A105" s="294"/>
      <c r="B105" s="2287"/>
      <c r="C105" s="2288"/>
      <c r="D105" s="2288"/>
      <c r="E105" s="2288"/>
      <c r="F105" s="2288"/>
      <c r="G105" s="2288"/>
      <c r="H105" s="2288"/>
      <c r="I105" s="2289"/>
    </row>
    <row r="106" spans="1:9" s="176" customFormat="1" ht="11.25" customHeight="1" x14ac:dyDescent="0.2">
      <c r="A106" s="294"/>
      <c r="B106" s="2287"/>
      <c r="C106" s="2288"/>
      <c r="D106" s="2288"/>
      <c r="E106" s="2288"/>
      <c r="F106" s="2288"/>
      <c r="G106" s="2288"/>
      <c r="H106" s="2288"/>
      <c r="I106" s="2289"/>
    </row>
    <row r="107" spans="1:9" s="176" customFormat="1" ht="11.25" customHeight="1" x14ac:dyDescent="0.2">
      <c r="A107" s="294"/>
      <c r="B107" s="2287"/>
      <c r="C107" s="2288"/>
      <c r="D107" s="2288"/>
      <c r="E107" s="2288"/>
      <c r="F107" s="2288"/>
      <c r="G107" s="2288"/>
      <c r="H107" s="2288"/>
      <c r="I107" s="2289"/>
    </row>
    <row r="108" spans="1:9" s="176" customFormat="1" ht="11.25" customHeight="1" x14ac:dyDescent="0.2">
      <c r="A108" s="294"/>
      <c r="B108" s="2287"/>
      <c r="C108" s="2288"/>
      <c r="D108" s="2288"/>
      <c r="E108" s="2288"/>
      <c r="F108" s="2288"/>
      <c r="G108" s="2288"/>
      <c r="H108" s="2288"/>
      <c r="I108" s="2289"/>
    </row>
    <row r="109" spans="1:9" s="176" customFormat="1" ht="11.25" customHeight="1" x14ac:dyDescent="0.2">
      <c r="A109" s="294"/>
      <c r="B109" s="2287"/>
      <c r="C109" s="2288"/>
      <c r="D109" s="2288"/>
      <c r="E109" s="2288"/>
      <c r="F109" s="2288"/>
      <c r="G109" s="2288"/>
      <c r="H109" s="2288"/>
      <c r="I109" s="2289"/>
    </row>
    <row r="110" spans="1:9" s="176" customFormat="1" ht="11.25" customHeight="1" x14ac:dyDescent="0.2">
      <c r="A110" s="294"/>
      <c r="B110" s="2287"/>
      <c r="C110" s="2288"/>
      <c r="D110" s="2288"/>
      <c r="E110" s="2288"/>
      <c r="F110" s="2288"/>
      <c r="G110" s="2288"/>
      <c r="H110" s="2288"/>
      <c r="I110" s="2289"/>
    </row>
    <row r="111" spans="1:9" s="176" customFormat="1" ht="11.25" customHeight="1" x14ac:dyDescent="0.2">
      <c r="A111" s="294"/>
      <c r="B111" s="2287"/>
      <c r="C111" s="2288"/>
      <c r="D111" s="2288"/>
      <c r="E111" s="2288"/>
      <c r="F111" s="2288"/>
      <c r="G111" s="2288"/>
      <c r="H111" s="2288"/>
      <c r="I111" s="2289"/>
    </row>
    <row r="112" spans="1:9" s="176" customFormat="1" ht="11.25" customHeight="1" x14ac:dyDescent="0.2">
      <c r="A112" s="294"/>
      <c r="B112" s="2290"/>
      <c r="C112" s="2291"/>
      <c r="D112" s="2291"/>
      <c r="E112" s="2291"/>
      <c r="F112" s="2291"/>
      <c r="G112" s="2291"/>
      <c r="H112" s="2291"/>
      <c r="I112" s="229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93" t="s">
        <v>2067</v>
      </c>
      <c r="D114" s="229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94" t="s">
        <v>1319</v>
      </c>
      <c r="D117" s="2295"/>
      <c r="E117" s="2296"/>
      <c r="F117" s="2296"/>
      <c r="G117" s="2296"/>
      <c r="H117" s="2296"/>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6F7B4-62C2-4FEE-9F76-3EBCBAD2B300}">
  <sheetPr>
    <tabColor rgb="FF92D050"/>
  </sheetPr>
  <dimension ref="B1:N152"/>
  <sheetViews>
    <sheetView showGridLines="0" zoomScaleNormal="100" workbookViewId="0">
      <selection activeCell="G24" sqref="G24"/>
    </sheetView>
  </sheetViews>
  <sheetFormatPr defaultColWidth="33.5703125" defaultRowHeight="12.75" x14ac:dyDescent="0.2"/>
  <cols>
    <col min="1" max="1" width="0.140625" style="2036" customWidth="1"/>
    <col min="2" max="2" width="32.85546875" style="2036" customWidth="1"/>
    <col min="3" max="3" width="8.7109375" style="2096" customWidth="1"/>
    <col min="4" max="4" width="12.7109375" style="2097" customWidth="1"/>
    <col min="5" max="6" width="11.7109375" style="2036" customWidth="1"/>
    <col min="7" max="7" width="11.7109375" style="2040" customWidth="1"/>
    <col min="8" max="8" width="13.7109375" style="2040" bestFit="1" customWidth="1"/>
    <col min="9" max="9" width="11.7109375" style="2040" customWidth="1"/>
    <col min="10" max="10" width="13.7109375" style="2040" customWidth="1"/>
    <col min="11" max="12" width="11.7109375" style="2040" customWidth="1"/>
    <col min="13" max="13" width="11.7109375" style="2036" customWidth="1"/>
    <col min="14" max="14" width="2.7109375" style="2036" customWidth="1"/>
    <col min="15" max="16384" width="33.5703125" style="2036"/>
  </cols>
  <sheetData>
    <row r="1" spans="2:14" ht="11.85" customHeight="1" x14ac:dyDescent="0.2">
      <c r="B1" s="2673" t="str">
        <f>'Single Audit Cover'!A7</f>
        <v xml:space="preserve"> Cahokia USD 187</v>
      </c>
      <c r="C1" s="2695"/>
      <c r="D1" s="2695"/>
      <c r="E1" s="2695"/>
      <c r="F1" s="2695"/>
      <c r="G1" s="2695"/>
      <c r="H1" s="2695"/>
      <c r="I1" s="2695"/>
      <c r="J1" s="2695"/>
      <c r="K1" s="2695"/>
      <c r="L1" s="2695"/>
      <c r="M1" s="2695"/>
    </row>
    <row r="2" spans="2:14" ht="15" x14ac:dyDescent="0.2">
      <c r="B2" s="2696">
        <f>'Single Audit Cover'!E7</f>
        <v>50082187026</v>
      </c>
      <c r="C2" s="2696"/>
      <c r="D2" s="2696"/>
      <c r="E2" s="2696"/>
      <c r="F2" s="2696"/>
      <c r="G2" s="2696"/>
      <c r="H2" s="2696"/>
      <c r="I2" s="2696"/>
      <c r="J2" s="2696"/>
      <c r="K2" s="2696"/>
      <c r="L2" s="2696"/>
      <c r="M2" s="2696"/>
      <c r="N2" s="2047"/>
    </row>
    <row r="3" spans="2:14" ht="15" x14ac:dyDescent="0.2">
      <c r="B3" s="2697" t="s">
        <v>1208</v>
      </c>
      <c r="C3" s="2697"/>
      <c r="D3" s="2697"/>
      <c r="E3" s="2697"/>
      <c r="F3" s="2697"/>
      <c r="G3" s="2697"/>
      <c r="H3" s="2697"/>
      <c r="I3" s="2697"/>
      <c r="J3" s="2697"/>
      <c r="K3" s="2697"/>
      <c r="L3" s="2697"/>
      <c r="M3" s="2697"/>
      <c r="N3" s="2047"/>
    </row>
    <row r="4" spans="2:14" ht="15" x14ac:dyDescent="0.2">
      <c r="B4" s="2698" t="str">
        <f>'Single Audit Cover'!A4</f>
        <v>Year Ending June 30, 2020</v>
      </c>
      <c r="C4" s="2698"/>
      <c r="D4" s="2698"/>
      <c r="E4" s="2698"/>
      <c r="F4" s="2698"/>
      <c r="G4" s="2698"/>
      <c r="H4" s="2698"/>
      <c r="I4" s="2698"/>
      <c r="J4" s="2698"/>
      <c r="K4" s="2698"/>
      <c r="L4" s="2698"/>
      <c r="M4" s="2698"/>
      <c r="N4" s="2047"/>
    </row>
    <row r="5" spans="2:14" x14ac:dyDescent="0.2">
      <c r="H5" s="1915"/>
      <c r="J5" s="1915"/>
    </row>
    <row r="6" spans="2:14" x14ac:dyDescent="0.2">
      <c r="B6" s="2048"/>
      <c r="C6" s="2049"/>
      <c r="D6" s="2050" t="s">
        <v>1254</v>
      </c>
      <c r="E6" s="2051" t="s">
        <v>524</v>
      </c>
      <c r="F6" s="2052"/>
      <c r="G6" s="2053" t="s">
        <v>1708</v>
      </c>
      <c r="H6" s="2051"/>
      <c r="I6" s="2051"/>
      <c r="J6" s="1916"/>
      <c r="K6" s="2054"/>
      <c r="L6" s="2055"/>
      <c r="M6" s="2056"/>
    </row>
    <row r="7" spans="2:14" x14ac:dyDescent="0.2">
      <c r="B7" s="2057" t="s">
        <v>1564</v>
      </c>
      <c r="C7" s="2058"/>
      <c r="D7" s="2059"/>
      <c r="E7" s="2060"/>
      <c r="F7" s="2061"/>
      <c r="G7" s="2060"/>
      <c r="H7" s="2062" t="s">
        <v>1251</v>
      </c>
      <c r="I7" s="2060"/>
      <c r="J7" s="2063" t="s">
        <v>1251</v>
      </c>
      <c r="K7" s="2064"/>
      <c r="L7" s="2065" t="s">
        <v>1249</v>
      </c>
      <c r="M7" s="2066"/>
    </row>
    <row r="8" spans="2:14" x14ac:dyDescent="0.2">
      <c r="B8" s="2113"/>
      <c r="C8" s="2058" t="s">
        <v>1253</v>
      </c>
      <c r="D8" s="2059" t="s">
        <v>1252</v>
      </c>
      <c r="E8" s="2067" t="s">
        <v>1251</v>
      </c>
      <c r="F8" s="2068" t="s">
        <v>1251</v>
      </c>
      <c r="G8" s="2069" t="s">
        <v>1251</v>
      </c>
      <c r="H8" s="1819" t="str">
        <f>"7/1/"&amp;MID('AFR20'!$E$2,3,2)-2&amp;"-6/30/"&amp;MID('AFR20'!$E$2,3,2)-1</f>
        <v>7/1/18-6/30/19</v>
      </c>
      <c r="I8" s="2064" t="s">
        <v>1251</v>
      </c>
      <c r="J8" s="1820" t="str">
        <f>"7/1/"&amp;MID('AFR20'!$E$2,3,2)-1&amp;"-6/30/"&amp;MID('AFR20'!$E$2,3,2)</f>
        <v>7/1/19-6/30/20</v>
      </c>
      <c r="K8" s="2064" t="s">
        <v>1250</v>
      </c>
      <c r="L8" s="2065" t="s">
        <v>1246</v>
      </c>
      <c r="M8" s="2066" t="s">
        <v>30</v>
      </c>
    </row>
    <row r="9" spans="2:14" ht="14.25" x14ac:dyDescent="0.2">
      <c r="B9" s="2070" t="s">
        <v>1248</v>
      </c>
      <c r="C9" s="2058" t="s">
        <v>1709</v>
      </c>
      <c r="D9" s="2059" t="s">
        <v>1710</v>
      </c>
      <c r="E9" s="1914" t="str">
        <f>"7/1/"&amp;MID('AFR20'!$E$2,3,2)-2&amp;"-6/30/"&amp;MID('AFR20'!$E$2,3,2)-1</f>
        <v>7/1/18-6/30/19</v>
      </c>
      <c r="F9" s="1914" t="str">
        <f>"7/1/"&amp;MID('AFR20'!$E$2,3,2)-1&amp;"-6/30/"&amp;MID('AFR20'!$E$2,3,2)</f>
        <v>7/1/19-6/30/20</v>
      </c>
      <c r="G9" s="1914" t="str">
        <f>"7/1/"&amp;MID('AFR20'!$E$2,3,2)-2&amp;"-6/30/"&amp;MID('AFR20'!$E$2,3,2)-1</f>
        <v>7/1/18-6/30/19</v>
      </c>
      <c r="H9" s="2062" t="s">
        <v>1565</v>
      </c>
      <c r="I9" s="1914" t="str">
        <f>"7/1/"&amp;MID('AFR20'!$E$2,3,2)-1&amp;"-6/30/"&amp;MID('AFR20'!$E$2,3,2)</f>
        <v>7/1/19-6/30/20</v>
      </c>
      <c r="J9" s="2063" t="s">
        <v>1565</v>
      </c>
      <c r="K9" s="2064" t="s">
        <v>1247</v>
      </c>
      <c r="L9" s="2071" t="s">
        <v>1566</v>
      </c>
      <c r="M9" s="2066"/>
    </row>
    <row r="10" spans="2:14" ht="11.85" customHeight="1" x14ac:dyDescent="0.2">
      <c r="B10" s="2070" t="s">
        <v>1245</v>
      </c>
      <c r="C10" s="2072" t="s">
        <v>1244</v>
      </c>
      <c r="D10" s="2073" t="s">
        <v>1243</v>
      </c>
      <c r="E10" s="2074" t="s">
        <v>1242</v>
      </c>
      <c r="F10" s="2075" t="s">
        <v>1241</v>
      </c>
      <c r="G10" s="2076" t="s">
        <v>1240</v>
      </c>
      <c r="H10" s="2077" t="s">
        <v>1255</v>
      </c>
      <c r="I10" s="2078" t="s">
        <v>1239</v>
      </c>
      <c r="J10" s="2079" t="s">
        <v>1255</v>
      </c>
      <c r="K10" s="2080" t="s">
        <v>1238</v>
      </c>
      <c r="L10" s="2080" t="s">
        <v>1237</v>
      </c>
      <c r="M10" s="2081" t="s">
        <v>1236</v>
      </c>
    </row>
    <row r="11" spans="2:14" ht="20.100000000000001" customHeight="1" x14ac:dyDescent="0.2">
      <c r="B11" s="2116" t="s">
        <v>2143</v>
      </c>
      <c r="C11" s="1821"/>
      <c r="D11" s="1822"/>
      <c r="E11" s="1823"/>
      <c r="F11" s="1823"/>
      <c r="G11" s="1823"/>
      <c r="H11" s="1823"/>
      <c r="I11" s="1823"/>
      <c r="J11" s="1823"/>
      <c r="K11" s="1823"/>
      <c r="L11" s="1823"/>
      <c r="M11" s="1823"/>
    </row>
    <row r="12" spans="2:14" ht="20.100000000000001" customHeight="1" x14ac:dyDescent="0.2">
      <c r="B12" s="2114" t="s">
        <v>2144</v>
      </c>
      <c r="C12" s="1824">
        <v>84.173000000000002</v>
      </c>
      <c r="D12" s="1825" t="s">
        <v>2118</v>
      </c>
      <c r="E12" s="1826"/>
      <c r="F12" s="1826">
        <v>32749</v>
      </c>
      <c r="G12" s="1826"/>
      <c r="H12" s="1826"/>
      <c r="I12" s="1826">
        <v>32749</v>
      </c>
      <c r="J12" s="1826"/>
      <c r="K12" s="1826"/>
      <c r="L12" s="1823">
        <f t="shared" ref="L12:L26" si="0">+G12+I12+K12</f>
        <v>32749</v>
      </c>
      <c r="M12" s="1826">
        <v>55640</v>
      </c>
    </row>
    <row r="13" spans="2:14" ht="20.100000000000001" customHeight="1" x14ac:dyDescent="0.2">
      <c r="B13" s="2114" t="s">
        <v>2145</v>
      </c>
      <c r="C13" s="1824">
        <v>84.027000000000001</v>
      </c>
      <c r="D13" s="1825" t="s">
        <v>2119</v>
      </c>
      <c r="E13" s="1826"/>
      <c r="F13" s="1826">
        <v>876125</v>
      </c>
      <c r="G13" s="1826"/>
      <c r="H13" s="1826"/>
      <c r="I13" s="1826">
        <v>876125</v>
      </c>
      <c r="J13" s="1826"/>
      <c r="K13" s="1826"/>
      <c r="L13" s="1823">
        <f t="shared" si="0"/>
        <v>876125</v>
      </c>
      <c r="M13" s="1826">
        <v>1133019</v>
      </c>
    </row>
    <row r="14" spans="2:14" ht="20.100000000000001" customHeight="1" x14ac:dyDescent="0.2">
      <c r="B14" s="2114" t="s">
        <v>2146</v>
      </c>
      <c r="C14" s="1824">
        <v>84.027000000000001</v>
      </c>
      <c r="D14" s="1825" t="s">
        <v>2120</v>
      </c>
      <c r="E14" s="1826">
        <f>947884+44</f>
        <v>947928</v>
      </c>
      <c r="F14" s="1826">
        <v>12565</v>
      </c>
      <c r="G14" s="1826">
        <v>947928</v>
      </c>
      <c r="H14" s="1826"/>
      <c r="I14" s="1826">
        <v>12565</v>
      </c>
      <c r="J14" s="1826"/>
      <c r="K14" s="1826"/>
      <c r="L14" s="1823">
        <f t="shared" si="0"/>
        <v>960493</v>
      </c>
      <c r="M14" s="1826">
        <v>1228348</v>
      </c>
    </row>
    <row r="15" spans="2:14" ht="20.100000000000001" customHeight="1" x14ac:dyDescent="0.2">
      <c r="B15" s="2082" t="s">
        <v>2145</v>
      </c>
      <c r="C15" s="1824">
        <v>84.027000000000001</v>
      </c>
      <c r="D15" s="1825" t="s">
        <v>2147</v>
      </c>
      <c r="E15" s="1826"/>
      <c r="F15" s="1826">
        <v>49521</v>
      </c>
      <c r="G15" s="1826"/>
      <c r="H15" s="1826"/>
      <c r="I15" s="1826">
        <v>49521</v>
      </c>
      <c r="J15" s="1826"/>
      <c r="K15" s="1826"/>
      <c r="L15" s="1823">
        <f>+G15+I15+K15</f>
        <v>49521</v>
      </c>
      <c r="M15" s="1826">
        <v>159139</v>
      </c>
    </row>
    <row r="16" spans="2:14" ht="20.100000000000001" customHeight="1" x14ac:dyDescent="0.2">
      <c r="B16" s="2082" t="s">
        <v>2148</v>
      </c>
      <c r="C16" s="1824"/>
      <c r="D16" s="1825"/>
      <c r="E16" s="1826">
        <f>+E12+E13+E14+E15</f>
        <v>947928</v>
      </c>
      <c r="F16" s="1826">
        <f>+F12+F13+F14+F15</f>
        <v>970960</v>
      </c>
      <c r="G16" s="1826">
        <f>+G12+G14+G13+G15</f>
        <v>947928</v>
      </c>
      <c r="H16" s="1826"/>
      <c r="I16" s="1826">
        <f>+I12+I13+I14+I15</f>
        <v>970960</v>
      </c>
      <c r="J16" s="1826"/>
      <c r="K16" s="1826"/>
      <c r="L16" s="1823"/>
      <c r="M16" s="1826"/>
    </row>
    <row r="17" spans="2:14" ht="20.100000000000001" customHeight="1" x14ac:dyDescent="0.2">
      <c r="B17" s="2082"/>
      <c r="C17" s="1824"/>
      <c r="D17" s="1825"/>
      <c r="E17" s="1826"/>
      <c r="F17" s="1826"/>
      <c r="G17" s="1826"/>
      <c r="H17" s="1826"/>
      <c r="I17" s="1826"/>
      <c r="J17" s="1826"/>
      <c r="K17" s="1826"/>
      <c r="L17" s="1823"/>
      <c r="M17" s="1826"/>
    </row>
    <row r="18" spans="2:14" ht="20.100000000000001" customHeight="1" x14ac:dyDescent="0.2">
      <c r="B18" s="2082"/>
      <c r="C18" s="1824"/>
      <c r="D18" s="1825"/>
      <c r="E18" s="1826"/>
      <c r="F18" s="1826"/>
      <c r="G18" s="1826"/>
      <c r="H18" s="1826"/>
      <c r="I18" s="1826"/>
      <c r="J18" s="1826"/>
      <c r="K18" s="1826"/>
      <c r="L18" s="1823"/>
      <c r="M18" s="1826"/>
    </row>
    <row r="19" spans="2:14" ht="20.100000000000001" customHeight="1" x14ac:dyDescent="0.2">
      <c r="B19" s="2115" t="s">
        <v>2127</v>
      </c>
      <c r="C19" s="1824">
        <v>84.287000000000006</v>
      </c>
      <c r="D19" s="1825" t="s">
        <v>2129</v>
      </c>
      <c r="E19" s="1826"/>
      <c r="F19" s="1826">
        <f>10709+253019</f>
        <v>263728</v>
      </c>
      <c r="G19" s="1826"/>
      <c r="H19" s="1826"/>
      <c r="I19" s="1826">
        <v>263728</v>
      </c>
      <c r="J19" s="1826"/>
      <c r="K19" s="1826"/>
      <c r="L19" s="1823">
        <f t="shared" si="0"/>
        <v>263728</v>
      </c>
      <c r="M19" s="1826">
        <v>540000</v>
      </c>
    </row>
    <row r="20" spans="2:14" ht="20.100000000000001" customHeight="1" x14ac:dyDescent="0.2">
      <c r="B20" s="2115" t="s">
        <v>2124</v>
      </c>
      <c r="C20" s="1824">
        <v>84.287000000000006</v>
      </c>
      <c r="D20" s="1825" t="s">
        <v>2130</v>
      </c>
      <c r="E20" s="1826">
        <v>368252</v>
      </c>
      <c r="F20" s="1826">
        <v>152567</v>
      </c>
      <c r="G20" s="1826">
        <v>368252</v>
      </c>
      <c r="H20" s="1826"/>
      <c r="I20" s="1826">
        <v>152567</v>
      </c>
      <c r="J20" s="1826"/>
      <c r="K20" s="1826"/>
      <c r="L20" s="1823">
        <f t="shared" si="0"/>
        <v>520819</v>
      </c>
      <c r="M20" s="1826">
        <v>540000</v>
      </c>
    </row>
    <row r="21" spans="2:14" ht="20.100000000000001" customHeight="1" x14ac:dyDescent="0.2">
      <c r="B21" s="2115" t="s">
        <v>2128</v>
      </c>
      <c r="C21" s="1824">
        <v>84.287000000000006</v>
      </c>
      <c r="D21" s="1825" t="s">
        <v>2131</v>
      </c>
      <c r="E21" s="1826"/>
      <c r="F21" s="1826">
        <f>267383+10710</f>
        <v>278093</v>
      </c>
      <c r="G21" s="1826"/>
      <c r="H21" s="1826"/>
      <c r="I21" s="1826">
        <v>278093</v>
      </c>
      <c r="J21" s="1826"/>
      <c r="K21" s="1826"/>
      <c r="L21" s="1823">
        <f t="shared" si="0"/>
        <v>278093</v>
      </c>
      <c r="M21" s="1826">
        <v>540000</v>
      </c>
    </row>
    <row r="22" spans="2:14" ht="20.100000000000001" customHeight="1" x14ac:dyDescent="0.2">
      <c r="B22" s="2115" t="s">
        <v>2125</v>
      </c>
      <c r="C22" s="1824">
        <v>84.287000000000006</v>
      </c>
      <c r="D22" s="1825" t="s">
        <v>2132</v>
      </c>
      <c r="E22" s="1826">
        <v>395920</v>
      </c>
      <c r="F22" s="1826">
        <v>115265</v>
      </c>
      <c r="G22" s="1826">
        <v>395920</v>
      </c>
      <c r="H22" s="1826"/>
      <c r="I22" s="1826">
        <v>115265</v>
      </c>
      <c r="J22" s="1826"/>
      <c r="K22" s="1826"/>
      <c r="L22" s="1823">
        <f t="shared" si="0"/>
        <v>511185</v>
      </c>
      <c r="M22" s="1826">
        <v>540000</v>
      </c>
    </row>
    <row r="23" spans="2:14" ht="20.100000000000001" customHeight="1" x14ac:dyDescent="0.2">
      <c r="B23" s="2115" t="s">
        <v>2126</v>
      </c>
      <c r="C23" s="1824"/>
      <c r="D23" s="1825"/>
      <c r="E23" s="1826">
        <f>+E19+E20+E21+E22</f>
        <v>764172</v>
      </c>
      <c r="F23" s="1826">
        <f>+F19+F20+F21+F22</f>
        <v>809653</v>
      </c>
      <c r="G23" s="1826">
        <f>+G19+G20+G21+G22</f>
        <v>764172</v>
      </c>
      <c r="H23" s="1826"/>
      <c r="I23" s="1826">
        <f>+I19+I20+I22+I21</f>
        <v>809653</v>
      </c>
      <c r="J23" s="1826"/>
      <c r="K23" s="1826"/>
      <c r="L23" s="1823">
        <f t="shared" si="0"/>
        <v>1573825</v>
      </c>
      <c r="M23" s="1826"/>
    </row>
    <row r="24" spans="2:14" ht="20.100000000000001" customHeight="1" x14ac:dyDescent="0.2">
      <c r="B24" s="2082"/>
      <c r="C24" s="1824"/>
      <c r="D24" s="1825"/>
      <c r="E24" s="1826"/>
      <c r="F24" s="1826"/>
      <c r="G24" s="1826"/>
      <c r="H24" s="1826"/>
      <c r="I24" s="1826"/>
      <c r="J24" s="1826"/>
      <c r="K24" s="1826"/>
      <c r="L24" s="1823"/>
      <c r="M24" s="1826"/>
    </row>
    <row r="25" spans="2:14" ht="20.100000000000001" customHeight="1" x14ac:dyDescent="0.2">
      <c r="B25" s="2116" t="s">
        <v>2114</v>
      </c>
      <c r="C25" s="1824">
        <v>84.424000000000007</v>
      </c>
      <c r="D25" s="1825" t="s">
        <v>2116</v>
      </c>
      <c r="E25" s="1826"/>
      <c r="F25" s="1826">
        <v>181583</v>
      </c>
      <c r="G25" s="1826"/>
      <c r="H25" s="1826"/>
      <c r="I25" s="1826">
        <v>181583</v>
      </c>
      <c r="J25" s="1826"/>
      <c r="K25" s="1826"/>
      <c r="L25" s="1823">
        <f t="shared" si="0"/>
        <v>181583</v>
      </c>
      <c r="M25" s="1826">
        <v>226349</v>
      </c>
    </row>
    <row r="26" spans="2:14" ht="20.100000000000001" customHeight="1" x14ac:dyDescent="0.2">
      <c r="B26" s="2082" t="s">
        <v>2115</v>
      </c>
      <c r="C26" s="1824">
        <v>84.424000000000007</v>
      </c>
      <c r="D26" s="1825" t="s">
        <v>2117</v>
      </c>
      <c r="E26" s="1826">
        <v>144817</v>
      </c>
      <c r="F26" s="1826">
        <v>19746</v>
      </c>
      <c r="G26" s="1826">
        <v>144817</v>
      </c>
      <c r="H26" s="1826"/>
      <c r="I26" s="1826">
        <v>19746</v>
      </c>
      <c r="J26" s="1826"/>
      <c r="K26" s="1826"/>
      <c r="L26" s="1823">
        <f t="shared" si="0"/>
        <v>164563</v>
      </c>
      <c r="M26" s="1826">
        <v>198989</v>
      </c>
    </row>
    <row r="27" spans="2:14" ht="20.100000000000001" customHeight="1" x14ac:dyDescent="0.2">
      <c r="B27" s="2082" t="s">
        <v>2142</v>
      </c>
      <c r="C27" s="1824"/>
      <c r="D27" s="1825"/>
      <c r="E27" s="1826">
        <f>+E25+E26</f>
        <v>144817</v>
      </c>
      <c r="F27" s="1826">
        <f>+F25+F26</f>
        <v>201329</v>
      </c>
      <c r="G27" s="1826">
        <f>+G25+G26</f>
        <v>144817</v>
      </c>
      <c r="H27" s="1826"/>
      <c r="I27" s="1826">
        <f>+I25+I26</f>
        <v>201329</v>
      </c>
      <c r="J27" s="1826"/>
      <c r="K27" s="1826"/>
      <c r="L27" s="1823"/>
      <c r="M27" s="1826"/>
      <c r="N27" s="2083"/>
    </row>
    <row r="28" spans="2:14" ht="12.75" customHeight="1" x14ac:dyDescent="0.2">
      <c r="B28" s="2084"/>
      <c r="C28" s="2085"/>
      <c r="D28" s="2086"/>
      <c r="E28" s="2087"/>
      <c r="F28" s="2087"/>
      <c r="G28" s="2087"/>
      <c r="H28" s="2087"/>
      <c r="I28" s="2087"/>
      <c r="J28" s="2087"/>
      <c r="K28" s="2087"/>
      <c r="L28" s="2087"/>
      <c r="M28" s="2087"/>
      <c r="N28" s="2083"/>
    </row>
    <row r="29" spans="2:14" x14ac:dyDescent="0.2">
      <c r="B29" s="2039"/>
      <c r="C29" s="2088"/>
      <c r="D29" s="2089"/>
      <c r="E29" s="2039"/>
      <c r="F29" s="2039"/>
      <c r="G29" s="2038"/>
      <c r="H29" s="2038"/>
      <c r="I29" s="2038"/>
      <c r="J29" s="2038"/>
      <c r="K29" s="2038"/>
      <c r="L29" s="2038"/>
      <c r="M29" s="2039"/>
      <c r="N29" s="2083"/>
    </row>
    <row r="30" spans="2:14" ht="13.5" customHeight="1" x14ac:dyDescent="0.2">
      <c r="B30" s="2044" t="s">
        <v>1711</v>
      </c>
      <c r="C30" s="2088"/>
      <c r="D30" s="2089"/>
      <c r="E30" s="2039"/>
      <c r="F30" s="2039"/>
      <c r="G30" s="2038"/>
      <c r="H30" s="2038"/>
      <c r="I30" s="2038"/>
      <c r="J30" s="2038"/>
      <c r="K30" s="2038"/>
      <c r="L30" s="2038"/>
      <c r="M30" s="2039"/>
      <c r="N30" s="2083"/>
    </row>
    <row r="31" spans="2:14" ht="8.25" customHeight="1" x14ac:dyDescent="0.2">
      <c r="B31" s="2044"/>
      <c r="C31" s="2088"/>
      <c r="D31" s="2089"/>
      <c r="E31" s="2039"/>
      <c r="F31" s="2039"/>
      <c r="G31" s="2038"/>
      <c r="H31" s="2038"/>
      <c r="I31" s="2038"/>
      <c r="J31" s="2038"/>
      <c r="K31" s="2038"/>
      <c r="L31" s="2038"/>
      <c r="M31" s="2039"/>
      <c r="N31" s="2083"/>
    </row>
    <row r="32" spans="2:14" x14ac:dyDescent="0.2">
      <c r="B32" s="2090" t="s">
        <v>1809</v>
      </c>
      <c r="C32" s="2091"/>
      <c r="D32" s="2092"/>
      <c r="E32" s="2093"/>
      <c r="F32" s="2093"/>
      <c r="G32" s="2093"/>
      <c r="H32" s="2093"/>
      <c r="I32" s="2036"/>
      <c r="J32" s="2036"/>
    </row>
    <row r="33" spans="2:13" x14ac:dyDescent="0.2">
      <c r="B33" s="2042"/>
      <c r="C33" s="2094"/>
      <c r="D33" s="2095"/>
      <c r="E33" s="2043"/>
      <c r="F33" s="2043"/>
      <c r="G33" s="2036"/>
      <c r="H33" s="2036"/>
      <c r="I33" s="2036"/>
      <c r="J33" s="2036"/>
    </row>
    <row r="34" spans="2:13" ht="13.5" customHeight="1" x14ac:dyDescent="0.2">
      <c r="B34" s="2041" t="s">
        <v>1235</v>
      </c>
      <c r="G34" s="2036"/>
      <c r="H34" s="2036"/>
      <c r="I34" s="2036"/>
      <c r="J34" s="2036"/>
    </row>
    <row r="35" spans="2:13" ht="13.5" customHeight="1" x14ac:dyDescent="0.2">
      <c r="B35" s="2098"/>
      <c r="C35" s="2099"/>
      <c r="D35" s="2100"/>
      <c r="E35" s="2045"/>
      <c r="F35" s="2045"/>
      <c r="G35" s="2045"/>
      <c r="H35" s="2045"/>
      <c r="I35" s="2045"/>
      <c r="J35" s="2045"/>
      <c r="K35" s="2101"/>
      <c r="L35" s="2101"/>
      <c r="M35" s="2045"/>
    </row>
    <row r="36" spans="2:13" ht="9.6" customHeight="1" x14ac:dyDescent="0.2">
      <c r="B36" s="2102"/>
      <c r="G36" s="2036"/>
      <c r="H36" s="2036"/>
      <c r="I36" s="2036"/>
      <c r="J36" s="2036"/>
    </row>
    <row r="37" spans="2:13" ht="11.25" customHeight="1" x14ac:dyDescent="0.2">
      <c r="B37" s="2103" t="s">
        <v>1712</v>
      </c>
      <c r="C37" s="2104"/>
      <c r="D37" s="2104"/>
      <c r="E37" s="2104"/>
      <c r="F37" s="2104"/>
      <c r="G37" s="2104"/>
      <c r="H37" s="2104"/>
      <c r="I37" s="2105"/>
      <c r="J37" s="2105"/>
      <c r="K37" s="2105"/>
      <c r="L37" s="2105"/>
      <c r="M37" s="2105"/>
    </row>
    <row r="38" spans="2:13" ht="11.25" customHeight="1" x14ac:dyDescent="0.2">
      <c r="B38" s="2106" t="s">
        <v>1567</v>
      </c>
      <c r="C38" s="2105"/>
      <c r="D38" s="2105"/>
      <c r="E38" s="2105"/>
      <c r="F38" s="2105"/>
      <c r="G38" s="2105"/>
      <c r="H38" s="2105"/>
      <c r="I38" s="2105"/>
      <c r="J38" s="2105"/>
      <c r="K38" s="2105"/>
      <c r="L38" s="2105"/>
      <c r="M38" s="2105"/>
    </row>
    <row r="39" spans="2:13" ht="3.95" customHeight="1" x14ac:dyDescent="0.2">
      <c r="B39" s="2106"/>
      <c r="C39" s="2105"/>
      <c r="D39" s="2105"/>
      <c r="E39" s="2105"/>
      <c r="F39" s="2105"/>
      <c r="G39" s="2105"/>
      <c r="H39" s="2105"/>
      <c r="I39" s="2105"/>
      <c r="J39" s="2105"/>
      <c r="K39" s="2105"/>
      <c r="L39" s="2105"/>
      <c r="M39" s="2105"/>
    </row>
    <row r="40" spans="2:13" ht="11.25" customHeight="1" x14ac:dyDescent="0.2">
      <c r="B40" s="2103" t="s">
        <v>1713</v>
      </c>
      <c r="C40" s="2105"/>
      <c r="D40" s="2105"/>
      <c r="E40" s="2105"/>
      <c r="F40" s="2105"/>
      <c r="G40" s="2105"/>
      <c r="H40" s="2105"/>
      <c r="I40" s="2105"/>
      <c r="J40" s="2105"/>
      <c r="K40" s="2105"/>
      <c r="L40" s="2105"/>
      <c r="M40" s="2105"/>
    </row>
    <row r="41" spans="2:13" ht="11.25" customHeight="1" x14ac:dyDescent="0.2">
      <c r="B41" s="2046" t="s">
        <v>1568</v>
      </c>
      <c r="C41" s="2107"/>
      <c r="D41" s="2108"/>
      <c r="E41" s="2046"/>
      <c r="F41" s="2046"/>
      <c r="G41" s="2046"/>
      <c r="H41" s="2046"/>
      <c r="I41" s="2046"/>
      <c r="J41" s="2046"/>
      <c r="K41" s="2109"/>
      <c r="L41" s="2109"/>
      <c r="M41" s="2046"/>
    </row>
    <row r="42" spans="2:13" ht="3.95" customHeight="1" x14ac:dyDescent="0.2">
      <c r="B42" s="2046"/>
      <c r="C42" s="2107"/>
      <c r="D42" s="2108"/>
      <c r="E42" s="2046"/>
      <c r="F42" s="2046"/>
      <c r="G42" s="2046"/>
      <c r="H42" s="2046"/>
      <c r="I42" s="2046"/>
      <c r="J42" s="2046"/>
      <c r="K42" s="2109"/>
      <c r="L42" s="2109"/>
      <c r="M42" s="2046"/>
    </row>
    <row r="43" spans="2:13" ht="11.25" customHeight="1" x14ac:dyDescent="0.2">
      <c r="B43" s="2110" t="s">
        <v>1714</v>
      </c>
      <c r="C43" s="2107"/>
      <c r="D43" s="2108"/>
      <c r="E43" s="2046"/>
      <c r="F43" s="2046"/>
      <c r="G43" s="2046"/>
      <c r="H43" s="2046"/>
      <c r="I43" s="2046"/>
      <c r="J43" s="2046"/>
      <c r="K43" s="2109"/>
      <c r="L43" s="2109"/>
      <c r="M43" s="2046"/>
    </row>
    <row r="44" spans="2:13" ht="3.95" customHeight="1" x14ac:dyDescent="0.2">
      <c r="B44" s="2110"/>
      <c r="C44" s="2107"/>
      <c r="D44" s="2108"/>
      <c r="E44" s="2046"/>
      <c r="F44" s="2046"/>
      <c r="G44" s="2046"/>
      <c r="H44" s="2046"/>
      <c r="I44" s="2046"/>
      <c r="J44" s="2046"/>
      <c r="K44" s="2109"/>
      <c r="L44" s="2109"/>
      <c r="M44" s="2046"/>
    </row>
    <row r="45" spans="2:13" ht="11.25" customHeight="1" x14ac:dyDescent="0.2">
      <c r="B45" s="2111" t="s">
        <v>1715</v>
      </c>
      <c r="C45" s="2107"/>
      <c r="D45" s="2108"/>
      <c r="E45" s="2046"/>
      <c r="F45" s="2046"/>
      <c r="G45" s="2046"/>
      <c r="H45" s="2046"/>
      <c r="I45" s="2046"/>
      <c r="J45" s="2046"/>
      <c r="K45" s="2109"/>
      <c r="L45" s="2109"/>
      <c r="M45" s="2046"/>
    </row>
    <row r="46" spans="2:13" ht="11.25" customHeight="1" x14ac:dyDescent="0.2">
      <c r="B46" s="2046" t="s">
        <v>1569</v>
      </c>
      <c r="G46" s="2036"/>
      <c r="H46" s="2036"/>
      <c r="I46" s="2036"/>
      <c r="J46" s="2036"/>
    </row>
    <row r="47" spans="2:13" ht="11.1" customHeight="1" x14ac:dyDescent="0.2">
      <c r="B47" s="2046"/>
      <c r="G47" s="2036"/>
      <c r="H47" s="2036"/>
      <c r="I47" s="2036"/>
      <c r="J47" s="2036"/>
    </row>
    <row r="48" spans="2:13" ht="11.1" customHeight="1" x14ac:dyDescent="0.2">
      <c r="B48" s="2046"/>
      <c r="G48" s="2036"/>
      <c r="H48" s="2036"/>
      <c r="I48" s="2036"/>
      <c r="J48" s="2036"/>
    </row>
    <row r="49" spans="7:13" ht="13.5" customHeight="1" x14ac:dyDescent="0.2">
      <c r="M49" s="2112"/>
    </row>
    <row r="50" spans="7:13" ht="13.5" customHeight="1" x14ac:dyDescent="0.2">
      <c r="M50" s="2112"/>
    </row>
    <row r="51" spans="7:13" ht="13.5" customHeight="1" x14ac:dyDescent="0.2">
      <c r="M51" s="2112"/>
    </row>
    <row r="52" spans="7:13" ht="13.5" customHeight="1" x14ac:dyDescent="0.2">
      <c r="G52" s="2036"/>
      <c r="H52" s="2036"/>
      <c r="I52" s="2036"/>
      <c r="J52" s="2036"/>
    </row>
    <row r="53" spans="7:13" ht="13.5" customHeight="1" x14ac:dyDescent="0.2">
      <c r="G53" s="2036"/>
      <c r="H53" s="2036"/>
      <c r="I53" s="2036"/>
      <c r="J53" s="2036"/>
    </row>
    <row r="54" spans="7:13" ht="13.5" customHeight="1" x14ac:dyDescent="0.2">
      <c r="G54" s="2036"/>
      <c r="H54" s="2036"/>
      <c r="I54" s="2036"/>
      <c r="J54" s="2036"/>
    </row>
    <row r="55" spans="7:13" ht="13.5" customHeight="1" x14ac:dyDescent="0.2">
      <c r="G55" s="2036"/>
      <c r="H55" s="2036"/>
      <c r="I55" s="2036"/>
      <c r="J55" s="2036"/>
    </row>
    <row r="56" spans="7:13" ht="13.5" customHeight="1" x14ac:dyDescent="0.2">
      <c r="G56" s="2036"/>
      <c r="H56" s="2036"/>
      <c r="I56" s="2036"/>
      <c r="J56" s="2036"/>
    </row>
    <row r="57" spans="7:13" ht="13.5" customHeight="1" x14ac:dyDescent="0.2">
      <c r="G57" s="2036"/>
      <c r="H57" s="2036"/>
      <c r="I57" s="2036"/>
      <c r="J57" s="2036"/>
    </row>
    <row r="58" spans="7:13" ht="13.5" customHeight="1" x14ac:dyDescent="0.2">
      <c r="G58" s="2036"/>
      <c r="H58" s="2036"/>
      <c r="I58" s="2036"/>
      <c r="J58" s="203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31EDE-A9E7-4240-95FF-78F9E5040E5B}">
  <sheetPr>
    <tabColor rgb="FF92D050"/>
  </sheetPr>
  <dimension ref="B1:N152"/>
  <sheetViews>
    <sheetView showGridLines="0" zoomScaleNormal="100" workbookViewId="0">
      <selection activeCell="G24" sqref="G24"/>
    </sheetView>
  </sheetViews>
  <sheetFormatPr defaultColWidth="33.5703125" defaultRowHeight="12.75" x14ac:dyDescent="0.2"/>
  <cols>
    <col min="1" max="1" width="0.140625" style="2036" customWidth="1"/>
    <col min="2" max="2" width="32.85546875" style="2036" customWidth="1"/>
    <col min="3" max="3" width="8.7109375" style="2096" customWidth="1"/>
    <col min="4" max="4" width="12.7109375" style="2097" customWidth="1"/>
    <col min="5" max="6" width="11.7109375" style="2036" customWidth="1"/>
    <col min="7" max="7" width="11.7109375" style="2040" customWidth="1"/>
    <col min="8" max="8" width="13.7109375" style="2040" bestFit="1" customWidth="1"/>
    <col min="9" max="9" width="11.7109375" style="2040" customWidth="1"/>
    <col min="10" max="10" width="13.7109375" style="2040" customWidth="1"/>
    <col min="11" max="12" width="11.7109375" style="2040" customWidth="1"/>
    <col min="13" max="13" width="11.7109375" style="2036" customWidth="1"/>
    <col min="14" max="14" width="2.7109375" style="2036" customWidth="1"/>
    <col min="15" max="16384" width="33.5703125" style="2036"/>
  </cols>
  <sheetData>
    <row r="1" spans="2:14" ht="11.85" customHeight="1" x14ac:dyDescent="0.2">
      <c r="B1" s="2673" t="str">
        <f>'Single Audit Cover'!A7</f>
        <v xml:space="preserve"> Cahokia USD 187</v>
      </c>
      <c r="C1" s="2695"/>
      <c r="D1" s="2695"/>
      <c r="E1" s="2695"/>
      <c r="F1" s="2695"/>
      <c r="G1" s="2695"/>
      <c r="H1" s="2695"/>
      <c r="I1" s="2695"/>
      <c r="J1" s="2695"/>
      <c r="K1" s="2695"/>
      <c r="L1" s="2695"/>
      <c r="M1" s="2695"/>
    </row>
    <row r="2" spans="2:14" ht="15" x14ac:dyDescent="0.2">
      <c r="B2" s="2696">
        <f>'Single Audit Cover'!E7</f>
        <v>50082187026</v>
      </c>
      <c r="C2" s="2696"/>
      <c r="D2" s="2696"/>
      <c r="E2" s="2696"/>
      <c r="F2" s="2696"/>
      <c r="G2" s="2696"/>
      <c r="H2" s="2696"/>
      <c r="I2" s="2696"/>
      <c r="J2" s="2696"/>
      <c r="K2" s="2696"/>
      <c r="L2" s="2696"/>
      <c r="M2" s="2696"/>
      <c r="N2" s="2047"/>
    </row>
    <row r="3" spans="2:14" ht="15" x14ac:dyDescent="0.2">
      <c r="B3" s="2697" t="s">
        <v>1208</v>
      </c>
      <c r="C3" s="2697"/>
      <c r="D3" s="2697"/>
      <c r="E3" s="2697"/>
      <c r="F3" s="2697"/>
      <c r="G3" s="2697"/>
      <c r="H3" s="2697"/>
      <c r="I3" s="2697"/>
      <c r="J3" s="2697"/>
      <c r="K3" s="2697"/>
      <c r="L3" s="2697"/>
      <c r="M3" s="2697"/>
      <c r="N3" s="2047"/>
    </row>
    <row r="4" spans="2:14" ht="15" x14ac:dyDescent="0.2">
      <c r="B4" s="2698" t="str">
        <f>'Single Audit Cover'!A4</f>
        <v>Year Ending June 30, 2020</v>
      </c>
      <c r="C4" s="2698"/>
      <c r="D4" s="2698"/>
      <c r="E4" s="2698"/>
      <c r="F4" s="2698"/>
      <c r="G4" s="2698"/>
      <c r="H4" s="2698"/>
      <c r="I4" s="2698"/>
      <c r="J4" s="2698"/>
      <c r="K4" s="2698"/>
      <c r="L4" s="2698"/>
      <c r="M4" s="2698"/>
      <c r="N4" s="2047"/>
    </row>
    <row r="5" spans="2:14" x14ac:dyDescent="0.2">
      <c r="H5" s="1915"/>
      <c r="J5" s="1915"/>
    </row>
    <row r="6" spans="2:14" x14ac:dyDescent="0.2">
      <c r="B6" s="2048"/>
      <c r="C6" s="2049"/>
      <c r="D6" s="2050" t="s">
        <v>1254</v>
      </c>
      <c r="E6" s="2051" t="s">
        <v>524</v>
      </c>
      <c r="F6" s="2052"/>
      <c r="G6" s="2053" t="s">
        <v>1708</v>
      </c>
      <c r="H6" s="2051"/>
      <c r="I6" s="2051"/>
      <c r="J6" s="1916"/>
      <c r="K6" s="2054"/>
      <c r="L6" s="2055"/>
      <c r="M6" s="2056"/>
    </row>
    <row r="7" spans="2:14" x14ac:dyDescent="0.2">
      <c r="B7" s="2057" t="s">
        <v>1564</v>
      </c>
      <c r="C7" s="2058"/>
      <c r="D7" s="2059"/>
      <c r="E7" s="2060"/>
      <c r="F7" s="2061"/>
      <c r="G7" s="2060"/>
      <c r="H7" s="2062" t="s">
        <v>1251</v>
      </c>
      <c r="I7" s="2060"/>
      <c r="J7" s="2063" t="s">
        <v>1251</v>
      </c>
      <c r="K7" s="2064"/>
      <c r="L7" s="2065" t="s">
        <v>1249</v>
      </c>
      <c r="M7" s="2066"/>
    </row>
    <row r="8" spans="2:14" x14ac:dyDescent="0.2">
      <c r="B8" s="2113"/>
      <c r="C8" s="2058" t="s">
        <v>1253</v>
      </c>
      <c r="D8" s="2059" t="s">
        <v>1252</v>
      </c>
      <c r="E8" s="2067" t="s">
        <v>1251</v>
      </c>
      <c r="F8" s="2068" t="s">
        <v>1251</v>
      </c>
      <c r="G8" s="2069" t="s">
        <v>1251</v>
      </c>
      <c r="H8" s="1819" t="str">
        <f>"7/1/"&amp;MID('AFR20'!$E$2,3,2)-2&amp;"-6/30/"&amp;MID('AFR20'!$E$2,3,2)-1</f>
        <v>7/1/18-6/30/19</v>
      </c>
      <c r="I8" s="2064" t="s">
        <v>1251</v>
      </c>
      <c r="J8" s="1820" t="str">
        <f>"7/1/"&amp;MID('AFR20'!$E$2,3,2)-1&amp;"-6/30/"&amp;MID('AFR20'!$E$2,3,2)</f>
        <v>7/1/19-6/30/20</v>
      </c>
      <c r="K8" s="2064" t="s">
        <v>1250</v>
      </c>
      <c r="L8" s="2065" t="s">
        <v>1246</v>
      </c>
      <c r="M8" s="2066" t="s">
        <v>30</v>
      </c>
    </row>
    <row r="9" spans="2:14" ht="14.25" x14ac:dyDescent="0.2">
      <c r="B9" s="2070" t="s">
        <v>1248</v>
      </c>
      <c r="C9" s="2058" t="s">
        <v>1709</v>
      </c>
      <c r="D9" s="2059" t="s">
        <v>1710</v>
      </c>
      <c r="E9" s="1914" t="str">
        <f>"7/1/"&amp;MID('AFR20'!$E$2,3,2)-2&amp;"-6/30/"&amp;MID('AFR20'!$E$2,3,2)-1</f>
        <v>7/1/18-6/30/19</v>
      </c>
      <c r="F9" s="1914" t="str">
        <f>"7/1/"&amp;MID('AFR20'!$E$2,3,2)-1&amp;"-6/30/"&amp;MID('AFR20'!$E$2,3,2)</f>
        <v>7/1/19-6/30/20</v>
      </c>
      <c r="G9" s="1914" t="str">
        <f>"7/1/"&amp;MID('AFR20'!$E$2,3,2)-2&amp;"-6/30/"&amp;MID('AFR20'!$E$2,3,2)-1</f>
        <v>7/1/18-6/30/19</v>
      </c>
      <c r="H9" s="2062" t="s">
        <v>1565</v>
      </c>
      <c r="I9" s="1914" t="str">
        <f>"7/1/"&amp;MID('AFR20'!$E$2,3,2)-1&amp;"-6/30/"&amp;MID('AFR20'!$E$2,3,2)</f>
        <v>7/1/19-6/30/20</v>
      </c>
      <c r="J9" s="2063" t="s">
        <v>1565</v>
      </c>
      <c r="K9" s="2064" t="s">
        <v>1247</v>
      </c>
      <c r="L9" s="2071" t="s">
        <v>1566</v>
      </c>
      <c r="M9" s="2066"/>
    </row>
    <row r="10" spans="2:14" ht="11.85" customHeight="1" x14ac:dyDescent="0.2">
      <c r="B10" s="2070" t="s">
        <v>1245</v>
      </c>
      <c r="C10" s="2072" t="s">
        <v>1244</v>
      </c>
      <c r="D10" s="2073" t="s">
        <v>1243</v>
      </c>
      <c r="E10" s="2074" t="s">
        <v>1242</v>
      </c>
      <c r="F10" s="2075" t="s">
        <v>1241</v>
      </c>
      <c r="G10" s="2076" t="s">
        <v>1240</v>
      </c>
      <c r="H10" s="2077" t="s">
        <v>1255</v>
      </c>
      <c r="I10" s="2078" t="s">
        <v>1239</v>
      </c>
      <c r="J10" s="2079" t="s">
        <v>1255</v>
      </c>
      <c r="K10" s="2080" t="s">
        <v>1238</v>
      </c>
      <c r="L10" s="2080" t="s">
        <v>1237</v>
      </c>
      <c r="M10" s="2081" t="s">
        <v>1236</v>
      </c>
    </row>
    <row r="11" spans="2:14" ht="20.100000000000001" customHeight="1" x14ac:dyDescent="0.2">
      <c r="B11" s="2116" t="s">
        <v>2143</v>
      </c>
      <c r="C11" s="1821"/>
      <c r="D11" s="1822"/>
      <c r="E11" s="1823"/>
      <c r="F11" s="1823"/>
      <c r="G11" s="1823"/>
      <c r="H11" s="1823"/>
      <c r="I11" s="1823"/>
      <c r="J11" s="1823"/>
      <c r="K11" s="1823"/>
      <c r="L11" s="1823"/>
      <c r="M11" s="1823"/>
    </row>
    <row r="12" spans="2:14" ht="20.100000000000001" customHeight="1" x14ac:dyDescent="0.2">
      <c r="B12" s="2116" t="s">
        <v>2121</v>
      </c>
      <c r="C12" s="1824" t="s">
        <v>2122</v>
      </c>
      <c r="D12" s="1825" t="s">
        <v>2123</v>
      </c>
      <c r="E12" s="1826">
        <v>627498</v>
      </c>
      <c r="F12" s="1826">
        <v>49501</v>
      </c>
      <c r="G12" s="1826">
        <v>627498</v>
      </c>
      <c r="H12" s="1826"/>
      <c r="I12" s="1826">
        <v>49501</v>
      </c>
      <c r="J12" s="1826"/>
      <c r="K12" s="1826"/>
      <c r="L12" s="1823">
        <f t="shared" ref="L12:L26" si="0">+G12+I12+K12</f>
        <v>676999</v>
      </c>
      <c r="M12" s="1826">
        <v>694400</v>
      </c>
    </row>
    <row r="13" spans="2:14" ht="20.100000000000001" customHeight="1" x14ac:dyDescent="0.2">
      <c r="B13" s="2116"/>
      <c r="C13" s="1824"/>
      <c r="D13" s="1825"/>
      <c r="E13" s="1826"/>
      <c r="F13" s="1826"/>
      <c r="G13" s="1826"/>
      <c r="H13" s="1826"/>
      <c r="I13" s="1826"/>
      <c r="J13" s="1826"/>
      <c r="K13" s="1826"/>
      <c r="L13" s="1823"/>
      <c r="M13" s="1826"/>
    </row>
    <row r="14" spans="2:14" ht="20.100000000000001" customHeight="1" x14ac:dyDescent="0.2">
      <c r="B14" s="2116" t="s">
        <v>2243</v>
      </c>
      <c r="C14" s="1824" t="s">
        <v>2189</v>
      </c>
      <c r="D14" s="1825" t="s">
        <v>2190</v>
      </c>
      <c r="E14" s="1826"/>
      <c r="F14" s="1826">
        <v>42851</v>
      </c>
      <c r="G14" s="1826"/>
      <c r="H14" s="1826"/>
      <c r="I14" s="1826">
        <v>42851</v>
      </c>
      <c r="J14" s="1826"/>
      <c r="K14" s="1826"/>
      <c r="L14" s="1823">
        <f t="shared" si="0"/>
        <v>42851</v>
      </c>
      <c r="M14" s="1826">
        <v>3092843</v>
      </c>
    </row>
    <row r="15" spans="2:14" ht="20.100000000000001" customHeight="1" x14ac:dyDescent="0.2">
      <c r="B15" s="2116" t="s">
        <v>1159</v>
      </c>
      <c r="C15" s="1824"/>
      <c r="D15" s="1825"/>
      <c r="E15" s="1826"/>
      <c r="F15" s="1826"/>
      <c r="G15" s="1826"/>
      <c r="H15" s="1826"/>
      <c r="I15" s="1826"/>
      <c r="J15" s="1826"/>
      <c r="K15" s="1826"/>
      <c r="L15" s="1823"/>
      <c r="M15" s="1826"/>
    </row>
    <row r="16" spans="2:14" ht="20.100000000000001" customHeight="1" x14ac:dyDescent="0.2">
      <c r="B16" s="2116" t="s">
        <v>2191</v>
      </c>
      <c r="C16" s="1824"/>
      <c r="D16" s="1825"/>
      <c r="E16" s="1826">
        <f>+' SEFA (3)'!E20+' SEFA (3)'!E26+' SEFA (4)'!E16+' SEFA (4)'!E23+' SEFA (4)'!E27+' SEFA (5)'!E12+' SEFA (5)'!E14</f>
        <v>6082144</v>
      </c>
      <c r="F16" s="1826">
        <f>+' SEFA (3)'!F20+' SEFA (3)'!F26+' SEFA (4)'!F16+' SEFA (4)'!F23+' SEFA (4)'!F27+' SEFA (5)'!F12+' SEFA (5)'!F14</f>
        <v>6860190</v>
      </c>
      <c r="G16" s="1826">
        <f>+' SEFA (3)'!G20+' SEFA (3)'!G26+' SEFA (4)'!G16+' SEFA (4)'!G23+' SEFA (4)'!G27+' SEFA (5)'!G12+' SEFA (5)'!G14</f>
        <v>6082144</v>
      </c>
      <c r="H16" s="1826"/>
      <c r="I16" s="1826">
        <f>+' SEFA (3)'!I20+' SEFA (3)'!I26+' SEFA (4)'!I16+' SEFA (4)'!I23+' SEFA (4)'!I27+' SEFA (5)'!I12+' SEFA (5)'!I14</f>
        <v>6860190</v>
      </c>
      <c r="J16" s="1826"/>
      <c r="K16" s="1826"/>
      <c r="L16" s="1823">
        <f t="shared" si="0"/>
        <v>12942334</v>
      </c>
      <c r="M16" s="1826"/>
    </row>
    <row r="17" spans="2:14" ht="20.100000000000001" customHeight="1" x14ac:dyDescent="0.2">
      <c r="B17" s="2116"/>
      <c r="C17" s="1824"/>
      <c r="D17" s="1825"/>
      <c r="E17" s="1826"/>
      <c r="F17" s="1826"/>
      <c r="G17" s="1826"/>
      <c r="H17" s="1826"/>
      <c r="I17" s="1826"/>
      <c r="J17" s="1826"/>
      <c r="K17" s="1826"/>
      <c r="L17" s="1823"/>
      <c r="M17" s="1826"/>
    </row>
    <row r="18" spans="2:14" ht="20.100000000000001" customHeight="1" x14ac:dyDescent="0.2">
      <c r="B18" s="2116" t="s">
        <v>2192</v>
      </c>
      <c r="C18" s="1824"/>
      <c r="D18" s="1825"/>
      <c r="E18" s="1826"/>
      <c r="F18" s="1826"/>
      <c r="G18" s="1826"/>
      <c r="H18" s="1826"/>
      <c r="I18" s="1826"/>
      <c r="J18" s="1826"/>
      <c r="K18" s="1826"/>
      <c r="L18" s="1823"/>
      <c r="M18" s="1826"/>
    </row>
    <row r="19" spans="2:14" ht="20.100000000000001" customHeight="1" x14ac:dyDescent="0.2">
      <c r="B19" s="2116" t="s">
        <v>2194</v>
      </c>
      <c r="C19" s="1824">
        <v>94.006</v>
      </c>
      <c r="D19" s="1825" t="s">
        <v>2193</v>
      </c>
      <c r="E19" s="1826"/>
      <c r="F19" s="1826">
        <v>240053</v>
      </c>
      <c r="G19" s="1826"/>
      <c r="H19" s="1826"/>
      <c r="I19" s="1826">
        <v>240053</v>
      </c>
      <c r="J19" s="1826"/>
      <c r="K19" s="1826"/>
      <c r="L19" s="1823">
        <f t="shared" si="0"/>
        <v>240053</v>
      </c>
      <c r="M19" s="1826">
        <v>767766</v>
      </c>
    </row>
    <row r="20" spans="2:14" ht="20.100000000000001" customHeight="1" x14ac:dyDescent="0.2">
      <c r="B20" s="2116" t="s">
        <v>2195</v>
      </c>
      <c r="C20" s="1824">
        <v>94.006</v>
      </c>
      <c r="D20" s="1825" t="s">
        <v>2196</v>
      </c>
      <c r="E20" s="1826"/>
      <c r="F20" s="1826">
        <v>68282</v>
      </c>
      <c r="G20" s="1826"/>
      <c r="H20" s="1826"/>
      <c r="I20" s="1826">
        <v>68282</v>
      </c>
      <c r="J20" s="1826"/>
      <c r="K20" s="1826"/>
      <c r="L20" s="1823">
        <f t="shared" si="0"/>
        <v>68282</v>
      </c>
      <c r="M20" s="1826">
        <v>767766</v>
      </c>
    </row>
    <row r="21" spans="2:14" ht="20.100000000000001" customHeight="1" x14ac:dyDescent="0.2">
      <c r="B21" s="2116" t="s">
        <v>2197</v>
      </c>
      <c r="C21" s="1824"/>
      <c r="D21" s="1825"/>
      <c r="E21" s="1826"/>
      <c r="F21" s="1826">
        <f>+F19+F20</f>
        <v>308335</v>
      </c>
      <c r="G21" s="1826"/>
      <c r="H21" s="1826"/>
      <c r="I21" s="1826">
        <f>+I19+I20</f>
        <v>308335</v>
      </c>
      <c r="J21" s="1826"/>
      <c r="K21" s="1826"/>
      <c r="L21" s="1823" t="s">
        <v>1159</v>
      </c>
      <c r="M21" s="1826"/>
    </row>
    <row r="22" spans="2:14" ht="20.100000000000001" customHeight="1" x14ac:dyDescent="0.2">
      <c r="B22" s="2116"/>
      <c r="C22" s="1824"/>
      <c r="D22" s="1825"/>
      <c r="E22" s="1826"/>
      <c r="F22" s="1826"/>
      <c r="G22" s="1826"/>
      <c r="H22" s="1826"/>
      <c r="I22" s="1826"/>
      <c r="J22" s="1826"/>
      <c r="K22" s="1826"/>
      <c r="L22" s="1823" t="s">
        <v>1159</v>
      </c>
      <c r="M22" s="1826"/>
    </row>
    <row r="23" spans="2:14" ht="20.100000000000001" customHeight="1" x14ac:dyDescent="0.2">
      <c r="B23" s="2118" t="s">
        <v>2198</v>
      </c>
      <c r="C23" s="1824"/>
      <c r="D23" s="1825"/>
      <c r="E23" s="1826"/>
      <c r="F23" s="1826"/>
      <c r="G23" s="1826"/>
      <c r="H23" s="1826"/>
      <c r="I23" s="1826"/>
      <c r="J23" s="1826"/>
      <c r="K23" s="1826"/>
      <c r="L23" s="1823" t="s">
        <v>1159</v>
      </c>
      <c r="M23" s="1826"/>
    </row>
    <row r="24" spans="2:14" ht="20.100000000000001" customHeight="1" x14ac:dyDescent="0.2">
      <c r="B24" s="2116" t="s">
        <v>2199</v>
      </c>
      <c r="C24" s="1824">
        <v>84.048000000000002</v>
      </c>
      <c r="D24" s="1825" t="s">
        <v>2200</v>
      </c>
      <c r="E24" s="1826"/>
      <c r="F24" s="1826">
        <v>99613</v>
      </c>
      <c r="G24" s="1826"/>
      <c r="H24" s="1826"/>
      <c r="I24" s="1826">
        <v>99613</v>
      </c>
      <c r="J24" s="1826"/>
      <c r="K24" s="1826"/>
      <c r="L24" s="1823">
        <f t="shared" si="0"/>
        <v>99613</v>
      </c>
      <c r="M24" s="1826" t="s">
        <v>2138</v>
      </c>
    </row>
    <row r="25" spans="2:14" ht="20.100000000000001" customHeight="1" x14ac:dyDescent="0.2">
      <c r="B25" s="2116"/>
      <c r="C25" s="1824"/>
      <c r="D25" s="1825"/>
      <c r="E25" s="1826"/>
      <c r="F25" s="1826"/>
      <c r="G25" s="1826"/>
      <c r="H25" s="1826"/>
      <c r="I25" s="1826"/>
      <c r="J25" s="1826"/>
      <c r="K25" s="1826"/>
      <c r="L25" s="1823"/>
      <c r="M25" s="1826"/>
    </row>
    <row r="26" spans="2:14" ht="20.100000000000001" customHeight="1" x14ac:dyDescent="0.2">
      <c r="B26" s="2116" t="s">
        <v>2201</v>
      </c>
      <c r="C26" s="1824"/>
      <c r="D26" s="1825"/>
      <c r="E26" s="1826">
        <f>+' SEFA (2)'!E27+' SEFA (5)'!E16+' SEFA (5)'!E21+' SEFA (5)'!E24</f>
        <v>8064981</v>
      </c>
      <c r="F26" s="1826">
        <f>+' SEFA (2)'!F27+' SEFA (3)'!F12+' SEFA (3)'!F15+' SEFA (5)'!F16+' SEFA (5)'!F21+' SEFA (5)'!F24</f>
        <v>9537193</v>
      </c>
      <c r="G26" s="1826">
        <f>+' SEFA (2)'!G27+' SEFA (5)'!G16+' SEFA (5)'!G21+' SEFA (5)'!G24</f>
        <v>8064981</v>
      </c>
      <c r="H26" s="1826"/>
      <c r="I26" s="1826">
        <f>+' SEFA (2)'!I27+' SEFA (3)'!I12+' SEFA (3)'!I15+' SEFA (5)'!I16+' SEFA (5)'!I21+' SEFA (5)'!I24</f>
        <v>9537193</v>
      </c>
      <c r="J26" s="1826"/>
      <c r="K26" s="1826"/>
      <c r="L26" s="1823">
        <f t="shared" si="0"/>
        <v>17602174</v>
      </c>
      <c r="M26" s="1826"/>
    </row>
    <row r="27" spans="2:14" ht="20.100000000000001" customHeight="1" x14ac:dyDescent="0.2">
      <c r="B27" s="2116"/>
      <c r="C27" s="1824"/>
      <c r="D27" s="1825"/>
      <c r="E27" s="1826"/>
      <c r="F27" s="1826"/>
      <c r="G27" s="1826"/>
      <c r="H27" s="1826"/>
      <c r="I27" s="1826"/>
      <c r="J27" s="1826"/>
      <c r="K27" s="1826"/>
      <c r="L27" s="1823"/>
      <c r="M27" s="1826"/>
      <c r="N27" s="2083"/>
    </row>
    <row r="28" spans="2:14" ht="12.75" customHeight="1" x14ac:dyDescent="0.2">
      <c r="B28" s="2084"/>
      <c r="C28" s="2085"/>
      <c r="D28" s="2086"/>
      <c r="E28" s="2087"/>
      <c r="F28" s="2087"/>
      <c r="G28" s="2087"/>
      <c r="H28" s="2087"/>
      <c r="I28" s="2087"/>
      <c r="J28" s="2087"/>
      <c r="K28" s="2087"/>
      <c r="L28" s="2087"/>
      <c r="M28" s="2087"/>
      <c r="N28" s="2083"/>
    </row>
    <row r="29" spans="2:14" x14ac:dyDescent="0.2">
      <c r="B29" s="2039"/>
      <c r="C29" s="2088"/>
      <c r="D29" s="2089"/>
      <c r="E29" s="2039"/>
      <c r="F29" s="2039"/>
      <c r="G29" s="2038"/>
      <c r="H29" s="2038"/>
      <c r="I29" s="2038"/>
      <c r="J29" s="2038"/>
      <c r="K29" s="2038"/>
      <c r="L29" s="2038"/>
      <c r="M29" s="2039"/>
      <c r="N29" s="2083"/>
    </row>
    <row r="30" spans="2:14" ht="13.5" customHeight="1" x14ac:dyDescent="0.2">
      <c r="B30" s="2044" t="s">
        <v>1711</v>
      </c>
      <c r="C30" s="2088"/>
      <c r="D30" s="2089"/>
      <c r="E30" s="2039"/>
      <c r="F30" s="2039"/>
      <c r="G30" s="2038"/>
      <c r="H30" s="2038"/>
      <c r="I30" s="2038"/>
      <c r="J30" s="2038"/>
      <c r="K30" s="2038"/>
      <c r="L30" s="2038"/>
      <c r="M30" s="2039"/>
      <c r="N30" s="2083"/>
    </row>
    <row r="31" spans="2:14" ht="8.25" customHeight="1" x14ac:dyDescent="0.2">
      <c r="B31" s="2044"/>
      <c r="C31" s="2088"/>
      <c r="D31" s="2089"/>
      <c r="E31" s="2039"/>
      <c r="F31" s="2039"/>
      <c r="G31" s="2038"/>
      <c r="H31" s="2038"/>
      <c r="I31" s="2038"/>
      <c r="J31" s="2038"/>
      <c r="K31" s="2038"/>
      <c r="L31" s="2038"/>
      <c r="M31" s="2039"/>
      <c r="N31" s="2083"/>
    </row>
    <row r="32" spans="2:14" x14ac:dyDescent="0.2">
      <c r="B32" s="2090" t="s">
        <v>1809</v>
      </c>
      <c r="C32" s="2091"/>
      <c r="D32" s="2092"/>
      <c r="E32" s="2093"/>
      <c r="F32" s="2093"/>
      <c r="G32" s="2093"/>
      <c r="H32" s="2093"/>
      <c r="I32" s="2036"/>
      <c r="J32" s="2036"/>
    </row>
    <row r="33" spans="2:13" x14ac:dyDescent="0.2">
      <c r="B33" s="2042"/>
      <c r="C33" s="2094"/>
      <c r="D33" s="2095"/>
      <c r="E33" s="2043"/>
      <c r="F33" s="2043"/>
      <c r="G33" s="2036"/>
      <c r="H33" s="2036"/>
      <c r="I33" s="2036"/>
      <c r="J33" s="2036"/>
    </row>
    <row r="34" spans="2:13" ht="13.5" customHeight="1" x14ac:dyDescent="0.2">
      <c r="B34" s="2041" t="s">
        <v>1235</v>
      </c>
      <c r="G34" s="2036"/>
      <c r="H34" s="2036"/>
      <c r="I34" s="2036"/>
      <c r="J34" s="2036"/>
    </row>
    <row r="35" spans="2:13" ht="13.5" customHeight="1" x14ac:dyDescent="0.2">
      <c r="B35" s="2098"/>
      <c r="C35" s="2099"/>
      <c r="D35" s="2100"/>
      <c r="E35" s="2045"/>
      <c r="F35" s="2045"/>
      <c r="G35" s="2045"/>
      <c r="H35" s="2045"/>
      <c r="I35" s="2045"/>
      <c r="J35" s="2045"/>
      <c r="K35" s="2101"/>
      <c r="L35" s="2101"/>
      <c r="M35" s="2045"/>
    </row>
    <row r="36" spans="2:13" ht="9.6" customHeight="1" x14ac:dyDescent="0.2">
      <c r="B36" s="2102"/>
      <c r="G36" s="2036"/>
      <c r="H36" s="2036"/>
      <c r="I36" s="2036"/>
      <c r="J36" s="2036"/>
    </row>
    <row r="37" spans="2:13" ht="11.25" customHeight="1" x14ac:dyDescent="0.2">
      <c r="B37" s="2103" t="s">
        <v>1712</v>
      </c>
      <c r="C37" s="2104"/>
      <c r="D37" s="2104"/>
      <c r="E37" s="2104"/>
      <c r="F37" s="2104"/>
      <c r="G37" s="2104"/>
      <c r="H37" s="2104"/>
      <c r="I37" s="2105"/>
      <c r="J37" s="2105"/>
      <c r="K37" s="2105"/>
      <c r="L37" s="2105"/>
      <c r="M37" s="2105"/>
    </row>
    <row r="38" spans="2:13" ht="11.25" customHeight="1" x14ac:dyDescent="0.2">
      <c r="B38" s="2106" t="s">
        <v>1567</v>
      </c>
      <c r="C38" s="2105"/>
      <c r="D38" s="2105"/>
      <c r="E38" s="2105"/>
      <c r="F38" s="2105"/>
      <c r="G38" s="2105"/>
      <c r="H38" s="2105"/>
      <c r="I38" s="2105"/>
      <c r="J38" s="2105"/>
      <c r="K38" s="2105"/>
      <c r="L38" s="2105"/>
      <c r="M38" s="2105"/>
    </row>
    <row r="39" spans="2:13" ht="3.95" customHeight="1" x14ac:dyDescent="0.2">
      <c r="B39" s="2106"/>
      <c r="C39" s="2105"/>
      <c r="D39" s="2105"/>
      <c r="E39" s="2105"/>
      <c r="F39" s="2105"/>
      <c r="G39" s="2105"/>
      <c r="H39" s="2105"/>
      <c r="I39" s="2105"/>
      <c r="J39" s="2105"/>
      <c r="K39" s="2105"/>
      <c r="L39" s="2105"/>
      <c r="M39" s="2105"/>
    </row>
    <row r="40" spans="2:13" ht="11.25" customHeight="1" x14ac:dyDescent="0.2">
      <c r="B40" s="2103" t="s">
        <v>1713</v>
      </c>
      <c r="C40" s="2105"/>
      <c r="D40" s="2105"/>
      <c r="E40" s="2105"/>
      <c r="F40" s="2105"/>
      <c r="G40" s="2105"/>
      <c r="H40" s="2105"/>
      <c r="I40" s="2105"/>
      <c r="J40" s="2105"/>
      <c r="K40" s="2105"/>
      <c r="L40" s="2105"/>
      <c r="M40" s="2105"/>
    </row>
    <row r="41" spans="2:13" ht="11.25" customHeight="1" x14ac:dyDescent="0.2">
      <c r="B41" s="2046" t="s">
        <v>1568</v>
      </c>
      <c r="C41" s="2107"/>
      <c r="D41" s="2108"/>
      <c r="E41" s="2046"/>
      <c r="F41" s="2046"/>
      <c r="G41" s="2046"/>
      <c r="H41" s="2046"/>
      <c r="I41" s="2046"/>
      <c r="J41" s="2046"/>
      <c r="K41" s="2109"/>
      <c r="L41" s="2109"/>
      <c r="M41" s="2046"/>
    </row>
    <row r="42" spans="2:13" ht="3.95" customHeight="1" x14ac:dyDescent="0.2">
      <c r="B42" s="2046"/>
      <c r="C42" s="2107"/>
      <c r="D42" s="2108"/>
      <c r="E42" s="2046"/>
      <c r="F42" s="2046"/>
      <c r="G42" s="2046"/>
      <c r="H42" s="2046"/>
      <c r="I42" s="2046"/>
      <c r="J42" s="2046"/>
      <c r="K42" s="2109"/>
      <c r="L42" s="2109"/>
      <c r="M42" s="2046"/>
    </row>
    <row r="43" spans="2:13" ht="11.25" customHeight="1" x14ac:dyDescent="0.2">
      <c r="B43" s="2110" t="s">
        <v>1714</v>
      </c>
      <c r="C43" s="2107"/>
      <c r="D43" s="2108"/>
      <c r="E43" s="2046"/>
      <c r="F43" s="2046"/>
      <c r="G43" s="2046"/>
      <c r="H43" s="2046"/>
      <c r="I43" s="2046"/>
      <c r="J43" s="2046"/>
      <c r="K43" s="2109"/>
      <c r="L43" s="2109"/>
      <c r="M43" s="2046"/>
    </row>
    <row r="44" spans="2:13" ht="3.95" customHeight="1" x14ac:dyDescent="0.2">
      <c r="B44" s="2110"/>
      <c r="C44" s="2107"/>
      <c r="D44" s="2108"/>
      <c r="E44" s="2046"/>
      <c r="F44" s="2046"/>
      <c r="G44" s="2046"/>
      <c r="H44" s="2046"/>
      <c r="I44" s="2046"/>
      <c r="J44" s="2046"/>
      <c r="K44" s="2109"/>
      <c r="L44" s="2109"/>
      <c r="M44" s="2046"/>
    </row>
    <row r="45" spans="2:13" ht="11.25" customHeight="1" x14ac:dyDescent="0.2">
      <c r="B45" s="2111" t="s">
        <v>1715</v>
      </c>
      <c r="C45" s="2107"/>
      <c r="D45" s="2108"/>
      <c r="E45" s="2046"/>
      <c r="F45" s="2046"/>
      <c r="G45" s="2046"/>
      <c r="H45" s="2046"/>
      <c r="I45" s="2046"/>
      <c r="J45" s="2046"/>
      <c r="K45" s="2109"/>
      <c r="L45" s="2109"/>
      <c r="M45" s="2046"/>
    </row>
    <row r="46" spans="2:13" ht="11.25" customHeight="1" x14ac:dyDescent="0.2">
      <c r="B46" s="2046" t="s">
        <v>1569</v>
      </c>
      <c r="G46" s="2036"/>
      <c r="H46" s="2036"/>
      <c r="I46" s="2036"/>
      <c r="J46" s="2036"/>
    </row>
    <row r="47" spans="2:13" ht="11.1" customHeight="1" x14ac:dyDescent="0.2">
      <c r="B47" s="2046"/>
      <c r="G47" s="2036"/>
      <c r="H47" s="2036"/>
      <c r="I47" s="2036"/>
      <c r="J47" s="2036"/>
    </row>
    <row r="48" spans="2:13" ht="11.1" customHeight="1" x14ac:dyDescent="0.2">
      <c r="B48" s="2046"/>
      <c r="G48" s="2036"/>
      <c r="H48" s="2036"/>
      <c r="I48" s="2036"/>
      <c r="J48" s="2036"/>
    </row>
    <row r="49" spans="7:13" ht="13.5" customHeight="1" x14ac:dyDescent="0.2">
      <c r="M49" s="2112"/>
    </row>
    <row r="50" spans="7:13" ht="13.5" customHeight="1" x14ac:dyDescent="0.2">
      <c r="M50" s="2112"/>
    </row>
    <row r="51" spans="7:13" ht="13.5" customHeight="1" x14ac:dyDescent="0.2">
      <c r="M51" s="2112"/>
    </row>
    <row r="52" spans="7:13" ht="13.5" customHeight="1" x14ac:dyDescent="0.2">
      <c r="G52" s="2036"/>
      <c r="H52" s="2036"/>
      <c r="I52" s="2036"/>
      <c r="J52" s="2036"/>
    </row>
    <row r="53" spans="7:13" ht="13.5" customHeight="1" x14ac:dyDescent="0.2">
      <c r="G53" s="2036"/>
      <c r="H53" s="2036"/>
      <c r="I53" s="2036"/>
      <c r="J53" s="2036"/>
    </row>
    <row r="54" spans="7:13" ht="13.5" customHeight="1" x14ac:dyDescent="0.2">
      <c r="G54" s="2036"/>
      <c r="H54" s="2036"/>
      <c r="I54" s="2036"/>
      <c r="J54" s="2036"/>
    </row>
    <row r="55" spans="7:13" ht="13.5" customHeight="1" x14ac:dyDescent="0.2">
      <c r="G55" s="2036"/>
      <c r="H55" s="2036"/>
      <c r="I55" s="2036"/>
      <c r="J55" s="2036"/>
    </row>
    <row r="56" spans="7:13" ht="13.5" customHeight="1" x14ac:dyDescent="0.2">
      <c r="G56" s="2036"/>
      <c r="H56" s="2036"/>
      <c r="I56" s="2036"/>
      <c r="J56" s="2036"/>
    </row>
    <row r="57" spans="7:13" ht="13.5" customHeight="1" x14ac:dyDescent="0.2">
      <c r="G57" s="2036"/>
      <c r="H57" s="2036"/>
      <c r="I57" s="2036"/>
      <c r="J57" s="2036"/>
    </row>
    <row r="58" spans="7:13" ht="13.5" customHeight="1" x14ac:dyDescent="0.2">
      <c r="G58" s="2036"/>
      <c r="H58" s="2036"/>
      <c r="I58" s="2036"/>
      <c r="J58" s="203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N152"/>
  <sheetViews>
    <sheetView showGridLines="0" zoomScaleNormal="100" workbookViewId="0">
      <selection activeCell="G24" sqref="G24"/>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73" t="str">
        <f>'Single Audit Cover'!A7</f>
        <v xml:space="preserve"> Cahokia USD 187</v>
      </c>
      <c r="C1" s="2695"/>
      <c r="D1" s="2695"/>
      <c r="E1" s="2695"/>
      <c r="F1" s="2695"/>
      <c r="G1" s="2695"/>
      <c r="H1" s="2695"/>
      <c r="I1" s="2695"/>
      <c r="J1" s="2695"/>
      <c r="K1" s="2695"/>
      <c r="L1" s="2695"/>
      <c r="M1" s="2695"/>
    </row>
    <row r="2" spans="2:14" ht="15" x14ac:dyDescent="0.2">
      <c r="B2" s="2696">
        <f>'Single Audit Cover'!E7</f>
        <v>50082187026</v>
      </c>
      <c r="C2" s="2696"/>
      <c r="D2" s="2696"/>
      <c r="E2" s="2696"/>
      <c r="F2" s="2696"/>
      <c r="G2" s="2696"/>
      <c r="H2" s="2696"/>
      <c r="I2" s="2696"/>
      <c r="J2" s="2696"/>
      <c r="K2" s="2696"/>
      <c r="L2" s="2696"/>
      <c r="M2" s="2696"/>
      <c r="N2" s="1078"/>
    </row>
    <row r="3" spans="2:14" ht="15" x14ac:dyDescent="0.2">
      <c r="B3" s="2697" t="s">
        <v>1208</v>
      </c>
      <c r="C3" s="2697"/>
      <c r="D3" s="2697"/>
      <c r="E3" s="2697"/>
      <c r="F3" s="2697"/>
      <c r="G3" s="2697"/>
      <c r="H3" s="2697"/>
      <c r="I3" s="2697"/>
      <c r="J3" s="2697"/>
      <c r="K3" s="2697"/>
      <c r="L3" s="2697"/>
      <c r="M3" s="2697"/>
      <c r="N3" s="1078"/>
    </row>
    <row r="4" spans="2:14" ht="15" x14ac:dyDescent="0.2">
      <c r="B4" s="2698" t="str">
        <f>'Single Audit Cover'!A4</f>
        <v>Year Ending June 30, 2020</v>
      </c>
      <c r="C4" s="2698"/>
      <c r="D4" s="2698"/>
      <c r="E4" s="2698"/>
      <c r="F4" s="2698"/>
      <c r="G4" s="2698"/>
      <c r="H4" s="2698"/>
      <c r="I4" s="2698"/>
      <c r="J4" s="2698"/>
      <c r="K4" s="2698"/>
      <c r="L4" s="2698"/>
      <c r="M4" s="2698"/>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116"/>
      <c r="C11" s="1821"/>
      <c r="D11" s="1822"/>
      <c r="E11" s="1823"/>
      <c r="F11" s="1823"/>
      <c r="G11" s="1823"/>
      <c r="H11" s="1823"/>
      <c r="I11" s="1823"/>
      <c r="J11" s="1823"/>
      <c r="K11" s="1823"/>
      <c r="L11" s="1823"/>
      <c r="M11" s="1823"/>
    </row>
    <row r="12" spans="2:14" ht="20.100000000000001" customHeight="1" x14ac:dyDescent="0.2">
      <c r="B12" s="1113" t="s">
        <v>2235</v>
      </c>
      <c r="C12" s="1824">
        <v>10.555</v>
      </c>
      <c r="D12" s="1825"/>
      <c r="E12" s="1826"/>
      <c r="F12" s="1826">
        <v>166834</v>
      </c>
      <c r="G12" s="1826"/>
      <c r="H12" s="1826"/>
      <c r="I12" s="1826">
        <v>166834</v>
      </c>
      <c r="J12" s="1826"/>
      <c r="K12" s="1826"/>
      <c r="L12" s="1823">
        <f t="shared" ref="L12:L25" si="0">+G12+I12+K12</f>
        <v>166834</v>
      </c>
      <c r="M12" s="1826"/>
    </row>
    <row r="13" spans="2:14" ht="20.100000000000001" customHeight="1" x14ac:dyDescent="0.2">
      <c r="B13" s="1113"/>
      <c r="C13" s="1824"/>
      <c r="D13" s="1825"/>
      <c r="E13" s="1826"/>
      <c r="F13" s="1826"/>
      <c r="G13" s="1826"/>
      <c r="H13" s="1826"/>
      <c r="I13" s="1826"/>
      <c r="J13" s="1826"/>
      <c r="K13" s="1826"/>
      <c r="L13" s="1823"/>
      <c r="M13" s="1826"/>
    </row>
    <row r="14" spans="2:14" ht="20.100000000000001" customHeight="1" x14ac:dyDescent="0.2">
      <c r="B14" s="1113" t="s">
        <v>2202</v>
      </c>
      <c r="C14" s="1824"/>
      <c r="D14" s="1825"/>
      <c r="E14" s="1826"/>
      <c r="F14" s="1826">
        <f>+' SEFA (5)'!F26+' SEFA'!F12</f>
        <v>9704027</v>
      </c>
      <c r="G14" s="1826"/>
      <c r="H14" s="1826"/>
      <c r="I14" s="1826">
        <f>+' SEFA (5)'!I26+' SEFA'!I12</f>
        <v>9704027</v>
      </c>
      <c r="J14" s="1826"/>
      <c r="K14" s="1826"/>
      <c r="L14" s="1823"/>
      <c r="M14" s="1826"/>
    </row>
    <row r="15" spans="2:14" ht="20.100000000000001" customHeight="1" x14ac:dyDescent="0.2">
      <c r="B15" s="1113" t="s">
        <v>1159</v>
      </c>
      <c r="C15" s="1824"/>
      <c r="D15" s="1825"/>
      <c r="E15" s="1826"/>
      <c r="F15" s="1826"/>
      <c r="G15" s="1826"/>
      <c r="H15" s="1826"/>
      <c r="I15" s="1826"/>
      <c r="J15" s="1826"/>
      <c r="K15" s="1826"/>
      <c r="L15" s="1823"/>
      <c r="M15" s="1826"/>
    </row>
    <row r="16" spans="2:14" ht="20.100000000000001" customHeight="1" x14ac:dyDescent="0.2">
      <c r="B16" s="1113"/>
      <c r="C16" s="1824"/>
      <c r="D16" s="1825"/>
      <c r="E16" s="1826"/>
      <c r="F16" s="1826"/>
      <c r="G16" s="1826"/>
      <c r="H16" s="1826"/>
      <c r="I16" s="1826"/>
      <c r="J16" s="1826"/>
      <c r="K16" s="1826"/>
      <c r="L16" s="1823"/>
      <c r="M16" s="1826"/>
    </row>
    <row r="17" spans="2:14" ht="20.100000000000001" customHeight="1" x14ac:dyDescent="0.2">
      <c r="B17" s="1113"/>
      <c r="C17" s="1824"/>
      <c r="D17" s="1825"/>
      <c r="E17" s="1826"/>
      <c r="F17" s="1826"/>
      <c r="G17" s="1826"/>
      <c r="H17" s="1826"/>
      <c r="I17" s="1826"/>
      <c r="J17" s="1826"/>
      <c r="K17" s="1826"/>
      <c r="L17" s="1823"/>
      <c r="M17" s="1826"/>
    </row>
    <row r="18" spans="2:14" ht="20.100000000000001" customHeight="1" x14ac:dyDescent="0.2">
      <c r="B18" s="1113"/>
      <c r="C18" s="1824"/>
      <c r="D18" s="1825"/>
      <c r="E18" s="1826"/>
      <c r="F18" s="1826"/>
      <c r="G18" s="1826"/>
      <c r="H18" s="1826"/>
      <c r="I18" s="1826"/>
      <c r="J18" s="1826"/>
      <c r="K18" s="1826"/>
      <c r="L18" s="1823"/>
      <c r="M18" s="1826"/>
    </row>
    <row r="19" spans="2:14" ht="20.100000000000001" customHeight="1" x14ac:dyDescent="0.2">
      <c r="B19" s="1113"/>
      <c r="C19" s="1824"/>
      <c r="D19" s="1825"/>
      <c r="E19" s="1826"/>
      <c r="F19" s="1826"/>
      <c r="G19" s="1826"/>
      <c r="H19" s="1826"/>
      <c r="I19" s="1826"/>
      <c r="J19" s="1826"/>
      <c r="K19" s="1826"/>
      <c r="L19" s="1823"/>
      <c r="M19" s="1826"/>
    </row>
    <row r="20" spans="2:14" ht="20.100000000000001" customHeight="1" x14ac:dyDescent="0.2">
      <c r="B20" s="1113"/>
      <c r="C20" s="1824"/>
      <c r="D20" s="1825"/>
      <c r="E20" s="1826"/>
      <c r="F20" s="1826"/>
      <c r="G20" s="1826"/>
      <c r="H20" s="1826"/>
      <c r="I20" s="1826"/>
      <c r="J20" s="1826"/>
      <c r="K20" s="1826"/>
      <c r="L20" s="1823"/>
      <c r="M20" s="1826"/>
    </row>
    <row r="21" spans="2:14" ht="20.100000000000001" customHeight="1" x14ac:dyDescent="0.2">
      <c r="B21" s="1113"/>
      <c r="C21" s="1824"/>
      <c r="D21" s="1825"/>
      <c r="E21" s="1826"/>
      <c r="F21" s="1826"/>
      <c r="G21" s="1826"/>
      <c r="H21" s="1826"/>
      <c r="I21" s="1826"/>
      <c r="J21" s="1826"/>
      <c r="K21" s="1826"/>
      <c r="L21" s="1823"/>
      <c r="M21" s="1826"/>
    </row>
    <row r="22" spans="2:14" ht="20.100000000000001" customHeight="1" x14ac:dyDescent="0.2">
      <c r="B22" s="2129" t="s">
        <v>2203</v>
      </c>
      <c r="C22" s="1824"/>
      <c r="D22" s="1825"/>
      <c r="E22" s="1826"/>
      <c r="F22" s="1826"/>
      <c r="G22" s="1826"/>
      <c r="H22" s="1826"/>
      <c r="I22" s="1826"/>
      <c r="J22" s="1826"/>
      <c r="K22" s="1826"/>
      <c r="L22" s="1823"/>
      <c r="M22" s="1826"/>
    </row>
    <row r="23" spans="2:14" ht="20.100000000000001" customHeight="1" x14ac:dyDescent="0.2">
      <c r="B23" s="1113" t="s">
        <v>2204</v>
      </c>
      <c r="C23" s="1824"/>
      <c r="D23" s="1825"/>
      <c r="E23" s="1826"/>
      <c r="F23" s="1826"/>
      <c r="G23" s="1826"/>
      <c r="H23" s="1826"/>
      <c r="I23" s="1826">
        <v>2031449</v>
      </c>
      <c r="J23" s="1826"/>
      <c r="K23" s="1826"/>
      <c r="L23" s="1823">
        <f t="shared" si="0"/>
        <v>2031449</v>
      </c>
      <c r="M23" s="1826"/>
    </row>
    <row r="24" spans="2:14" ht="20.100000000000001" customHeight="1" x14ac:dyDescent="0.2">
      <c r="B24" s="1113" t="s">
        <v>2205</v>
      </c>
      <c r="C24" s="1824"/>
      <c r="D24" s="1825"/>
      <c r="E24" s="1826"/>
      <c r="F24" s="1826"/>
      <c r="G24" s="1826"/>
      <c r="H24" s="1826"/>
      <c r="I24" s="1826">
        <f>+' SEFA (3)'!I26</f>
        <v>4483740</v>
      </c>
      <c r="J24" s="1826"/>
      <c r="K24" s="1826"/>
      <c r="L24" s="1823">
        <f t="shared" si="0"/>
        <v>4483740</v>
      </c>
      <c r="M24" s="1826"/>
    </row>
    <row r="25" spans="2:14" ht="20.100000000000001" customHeight="1" x14ac:dyDescent="0.2">
      <c r="B25" s="1113" t="s">
        <v>2206</v>
      </c>
      <c r="C25" s="1824"/>
      <c r="D25" s="1825"/>
      <c r="E25" s="1826"/>
      <c r="F25" s="1826"/>
      <c r="G25" s="1826"/>
      <c r="H25" s="1826"/>
      <c r="I25" s="1826">
        <f>+' SEFA (4)'!I16</f>
        <v>970960</v>
      </c>
      <c r="J25" s="1826"/>
      <c r="K25" s="1826"/>
      <c r="L25" s="1823">
        <f t="shared" si="0"/>
        <v>970960</v>
      </c>
      <c r="M25" s="1826"/>
    </row>
    <row r="26" spans="2:14" ht="20.100000000000001" customHeight="1" x14ac:dyDescent="0.2">
      <c r="B26" s="1113"/>
      <c r="C26" s="1824"/>
      <c r="D26" s="1825"/>
      <c r="E26" s="1826"/>
      <c r="F26" s="1826"/>
      <c r="G26" s="1826"/>
      <c r="H26" s="1826"/>
      <c r="I26" s="1826"/>
      <c r="J26" s="1826"/>
      <c r="K26" s="1826"/>
      <c r="L26" s="1823"/>
      <c r="M26" s="1826"/>
    </row>
    <row r="27" spans="2:14" ht="20.100000000000001" customHeight="1" x14ac:dyDescent="0.2">
      <c r="B27" s="1113"/>
      <c r="C27" s="1824"/>
      <c r="D27" s="1825"/>
      <c r="E27" s="1826"/>
      <c r="F27" s="1826"/>
      <c r="G27" s="1826"/>
      <c r="H27" s="1826"/>
      <c r="I27" s="1826"/>
      <c r="J27" s="1826"/>
      <c r="K27" s="1826"/>
      <c r="L27" s="1823"/>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31" zoomScale="120" zoomScaleNormal="120" workbookViewId="0">
      <selection activeCell="G24" sqref="G2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708" t="str">
        <f>'Single Audit Cover'!A7</f>
        <v xml:space="preserve"> Cahokia USD 187</v>
      </c>
      <c r="B1" s="2708"/>
      <c r="C1" s="2708"/>
      <c r="D1" s="2708"/>
      <c r="E1" s="2708"/>
      <c r="F1" s="2708"/>
    </row>
    <row r="2" spans="1:7" ht="13.5" customHeight="1" x14ac:dyDescent="0.2">
      <c r="A2" s="2696">
        <f>'Single Audit Cover'!E7</f>
        <v>50082187026</v>
      </c>
      <c r="B2" s="2696"/>
      <c r="C2" s="2696"/>
      <c r="D2" s="2696"/>
      <c r="E2" s="2696"/>
      <c r="F2" s="2696"/>
      <c r="G2" s="1051"/>
    </row>
    <row r="3" spans="1:7" ht="15.75" customHeight="1" x14ac:dyDescent="0.2">
      <c r="A3" s="2709" t="s">
        <v>1260</v>
      </c>
      <c r="B3" s="2709"/>
      <c r="C3" s="2709"/>
      <c r="D3" s="2709"/>
      <c r="E3" s="2709"/>
      <c r="F3" s="2709"/>
    </row>
    <row r="4" spans="1:7" ht="13.5" customHeight="1" x14ac:dyDescent="0.2">
      <c r="A4" s="2710" t="str">
        <f>'Single Audit Cover'!A4</f>
        <v>Year Ending June 30, 2020</v>
      </c>
      <c r="B4" s="2710"/>
      <c r="C4" s="2710"/>
      <c r="D4" s="2710"/>
      <c r="E4" s="2710"/>
      <c r="F4" s="2710"/>
    </row>
    <row r="5" spans="1:7" ht="8.25" customHeight="1" x14ac:dyDescent="0.2">
      <c r="C5" s="295"/>
      <c r="D5" s="295"/>
    </row>
    <row r="6" spans="1:7" ht="13.5" customHeight="1" x14ac:dyDescent="0.2">
      <c r="A6" s="1052" t="s">
        <v>1705</v>
      </c>
      <c r="C6" s="295"/>
      <c r="D6" s="295"/>
    </row>
    <row r="7" spans="1:7" ht="60.95" customHeight="1" x14ac:dyDescent="0.2">
      <c r="A7" s="2707" t="s">
        <v>2133</v>
      </c>
      <c r="B7" s="2707"/>
      <c r="C7" s="2707"/>
      <c r="D7" s="2707"/>
      <c r="E7" s="2707"/>
      <c r="F7" s="2707"/>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707" t="s">
        <v>2134</v>
      </c>
      <c r="B13" s="2707"/>
      <c r="C13" s="2707"/>
      <c r="D13" s="2707"/>
      <c r="E13" s="2707"/>
      <c r="F13" s="2707"/>
    </row>
    <row r="14" spans="1:7" ht="9.75" customHeight="1" x14ac:dyDescent="0.2">
      <c r="C14" s="1036"/>
      <c r="D14" s="1036"/>
    </row>
    <row r="15" spans="1:7" ht="13.5" customHeight="1" x14ac:dyDescent="0.2">
      <c r="C15" s="1476" t="s">
        <v>1259</v>
      </c>
      <c r="D15" s="2705" t="s">
        <v>1258</v>
      </c>
      <c r="E15" s="2705"/>
      <c r="F15" s="2705"/>
    </row>
    <row r="16" spans="1:7" ht="13.5" customHeight="1" x14ac:dyDescent="0.2">
      <c r="A16" s="1058"/>
      <c r="B16" s="1052" t="s">
        <v>1257</v>
      </c>
      <c r="C16" s="1476" t="s">
        <v>1256</v>
      </c>
      <c r="D16" s="2706" t="s">
        <v>1571</v>
      </c>
      <c r="E16" s="2706"/>
      <c r="F16" s="2706"/>
    </row>
    <row r="17" spans="1:6" ht="20.45" customHeight="1" x14ac:dyDescent="0.2">
      <c r="A17" s="1059"/>
      <c r="B17" s="1060" t="s">
        <v>2135</v>
      </c>
      <c r="C17" s="1061"/>
      <c r="D17" s="2700"/>
      <c r="E17" s="2700"/>
      <c r="F17" s="2700"/>
    </row>
    <row r="18" spans="1:6" ht="20.65" customHeight="1" x14ac:dyDescent="0.2">
      <c r="A18" s="1059"/>
      <c r="B18" s="1060"/>
      <c r="C18" s="1061"/>
      <c r="D18" s="2700"/>
      <c r="E18" s="2700"/>
      <c r="F18" s="2700"/>
    </row>
    <row r="19" spans="1:6" ht="20.65" customHeight="1" x14ac:dyDescent="0.2">
      <c r="A19" s="1059"/>
      <c r="B19" s="1060"/>
      <c r="C19" s="1061"/>
      <c r="D19" s="2700"/>
      <c r="E19" s="2700"/>
      <c r="F19" s="2700"/>
    </row>
    <row r="20" spans="1:6" ht="20.65" customHeight="1" x14ac:dyDescent="0.2">
      <c r="A20" s="1059"/>
      <c r="B20" s="1060"/>
      <c r="C20" s="1061"/>
      <c r="D20" s="2700"/>
      <c r="E20" s="2700"/>
      <c r="F20" s="2700"/>
    </row>
    <row r="21" spans="1:6" ht="20.65" customHeight="1" x14ac:dyDescent="0.2">
      <c r="A21" s="1059"/>
      <c r="B21" s="1060"/>
      <c r="C21" s="1061"/>
      <c r="D21" s="2700"/>
      <c r="E21" s="2700"/>
      <c r="F21" s="2700"/>
    </row>
    <row r="22" spans="1:6" ht="20.65" customHeight="1" x14ac:dyDescent="0.2">
      <c r="A22" s="1059"/>
      <c r="B22" s="1060"/>
      <c r="C22" s="1061"/>
      <c r="D22" s="2700"/>
      <c r="E22" s="2700"/>
      <c r="F22" s="2700"/>
    </row>
    <row r="23" spans="1:6" ht="20.65" customHeight="1" x14ac:dyDescent="0.2">
      <c r="A23" s="1059"/>
      <c r="B23" s="1060"/>
      <c r="C23" s="1061"/>
      <c r="D23" s="2700"/>
      <c r="E23" s="2700"/>
      <c r="F23" s="2700"/>
    </row>
    <row r="24" spans="1:6" ht="20.65" customHeight="1" x14ac:dyDescent="0.2">
      <c r="A24" s="1059"/>
      <c r="B24" s="1060"/>
      <c r="C24" s="1061"/>
      <c r="D24" s="2700"/>
      <c r="E24" s="2700"/>
      <c r="F24" s="2700"/>
    </row>
    <row r="25" spans="1:6" ht="20.65" customHeight="1" x14ac:dyDescent="0.2">
      <c r="A25" s="1059"/>
      <c r="B25" s="1060"/>
      <c r="C25" s="1061"/>
      <c r="D25" s="2700"/>
      <c r="E25" s="2700"/>
      <c r="F25" s="2700"/>
    </row>
    <row r="26" spans="1:6" ht="20.65" customHeight="1" x14ac:dyDescent="0.2">
      <c r="A26" s="1059"/>
      <c r="B26" s="1060"/>
      <c r="C26" s="1061"/>
      <c r="D26" s="2700"/>
      <c r="E26" s="2700"/>
      <c r="F26" s="2700"/>
    </row>
    <row r="27" spans="1:6" ht="20.65" customHeight="1" x14ac:dyDescent="0.2">
      <c r="A27" s="1059"/>
      <c r="B27" s="1060"/>
      <c r="C27" s="1061"/>
      <c r="D27" s="2700"/>
      <c r="E27" s="2700"/>
      <c r="F27" s="2700"/>
    </row>
    <row r="28" spans="1:6" ht="20.65" customHeight="1" x14ac:dyDescent="0.2">
      <c r="A28" s="1059"/>
      <c r="B28" s="1060"/>
      <c r="C28" s="1061"/>
      <c r="D28" s="2700"/>
      <c r="E28" s="2700"/>
      <c r="F28" s="2700"/>
    </row>
    <row r="29" spans="1:6" ht="20.65" customHeight="1" x14ac:dyDescent="0.2">
      <c r="A29" s="1059"/>
      <c r="B29" s="1060"/>
      <c r="C29" s="1061"/>
      <c r="D29" s="2700"/>
      <c r="E29" s="2700"/>
      <c r="F29" s="2700"/>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701" t="s">
        <v>2136</v>
      </c>
      <c r="B32" s="2701"/>
      <c r="C32" s="2701"/>
      <c r="D32" s="2701"/>
      <c r="E32" s="2701"/>
      <c r="F32" s="2701"/>
    </row>
    <row r="33" spans="1:6" ht="13.5" customHeight="1" x14ac:dyDescent="0.2">
      <c r="A33" s="306" t="s">
        <v>1417</v>
      </c>
      <c r="B33" s="306"/>
      <c r="C33" s="1064">
        <v>166834</v>
      </c>
      <c r="D33" s="1526"/>
      <c r="E33" s="1062"/>
    </row>
    <row r="34" spans="1:6" ht="13.5" customHeight="1" x14ac:dyDescent="0.2">
      <c r="A34" s="306" t="s">
        <v>1808</v>
      </c>
      <c r="B34" s="306"/>
      <c r="C34" s="1065">
        <v>0</v>
      </c>
      <c r="D34" s="1526" t="s">
        <v>1572</v>
      </c>
      <c r="E34" s="2702">
        <f>+C33+C34</f>
        <v>166834</v>
      </c>
      <c r="F34" s="2703"/>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99</v>
      </c>
      <c r="D38" s="1526"/>
      <c r="E38" s="1062"/>
    </row>
    <row r="39" spans="1:6" ht="14.25" customHeight="1" x14ac:dyDescent="0.2">
      <c r="A39" s="306"/>
      <c r="B39" s="306" t="s">
        <v>1419</v>
      </c>
      <c r="C39" s="1068" t="s">
        <v>99</v>
      </c>
      <c r="D39" s="1526"/>
      <c r="E39" s="1062"/>
    </row>
    <row r="40" spans="1:6" ht="14.25" customHeight="1" x14ac:dyDescent="0.2">
      <c r="A40" s="306"/>
      <c r="B40" s="306" t="s">
        <v>1420</v>
      </c>
      <c r="C40" s="1068" t="s">
        <v>99</v>
      </c>
      <c r="D40" s="1526"/>
      <c r="E40" s="1062"/>
    </row>
    <row r="41" spans="1:6" ht="14.25" customHeight="1" x14ac:dyDescent="0.2">
      <c r="A41" s="306"/>
      <c r="B41" s="306" t="s">
        <v>1421</v>
      </c>
      <c r="C41" s="1068" t="s">
        <v>99</v>
      </c>
      <c r="D41" s="1526"/>
      <c r="E41" s="1062"/>
    </row>
    <row r="42" spans="1:6" ht="14.25" customHeight="1" x14ac:dyDescent="0.2">
      <c r="A42" s="306" t="s">
        <v>1422</v>
      </c>
      <c r="B42" s="306"/>
      <c r="C42" s="1524" t="s">
        <v>99</v>
      </c>
      <c r="D42" s="1526"/>
      <c r="E42" s="1062"/>
    </row>
    <row r="43" spans="1:6" ht="14.25" customHeight="1" x14ac:dyDescent="0.2">
      <c r="A43" s="306" t="s">
        <v>1423</v>
      </c>
      <c r="B43" s="306"/>
      <c r="C43" s="1069" t="s">
        <v>99</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704" t="s">
        <v>1573</v>
      </c>
      <c r="C49" s="2704"/>
      <c r="D49" s="2704"/>
      <c r="E49" s="1168"/>
    </row>
    <row r="50" spans="1:5" s="1076" customFormat="1" ht="3.75" customHeight="1" x14ac:dyDescent="0.2">
      <c r="A50" s="1075"/>
      <c r="B50" s="1475"/>
      <c r="C50" s="1475"/>
      <c r="D50" s="1475"/>
      <c r="E50" s="1168"/>
    </row>
    <row r="51" spans="1:5" s="1076" customFormat="1" ht="20.25" customHeight="1" x14ac:dyDescent="0.2">
      <c r="A51" s="1077">
        <v>6</v>
      </c>
      <c r="B51" s="2699" t="s">
        <v>1534</v>
      </c>
      <c r="C51" s="2699"/>
      <c r="D51" s="2699"/>
    </row>
    <row r="52" spans="1:5" ht="14.25" customHeight="1" x14ac:dyDescent="0.2">
      <c r="A52" s="1077"/>
      <c r="B52" s="2699"/>
      <c r="C52" s="2699"/>
      <c r="D52" s="269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&amp;R&amp;8Page 42</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4" zoomScale="110" zoomScaleNormal="110" workbookViewId="0">
      <selection activeCell="G24" sqref="G24"/>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22" t="str">
        <f>'Single Audit Cover'!A7</f>
        <v xml:space="preserve"> Cahokia USD 187</v>
      </c>
      <c r="C1" s="2723"/>
      <c r="D1" s="2723"/>
      <c r="E1" s="2723"/>
      <c r="F1" s="2723"/>
      <c r="G1" s="2723"/>
      <c r="H1" s="2723"/>
      <c r="I1" s="2723"/>
      <c r="J1" s="1178"/>
    </row>
    <row r="2" spans="2:10" s="295" customFormat="1" ht="12.75" customHeight="1" x14ac:dyDescent="0.2">
      <c r="B2" s="2724">
        <f>'Single Audit Cover'!E7</f>
        <v>50082187026</v>
      </c>
      <c r="C2" s="2725"/>
      <c r="D2" s="2725"/>
      <c r="E2" s="2725"/>
      <c r="F2" s="2725"/>
      <c r="G2" s="2725"/>
      <c r="H2" s="2725"/>
      <c r="I2" s="2725"/>
      <c r="J2" s="1178"/>
    </row>
    <row r="3" spans="2:10" s="295" customFormat="1" ht="12.75" customHeight="1" x14ac:dyDescent="0.2">
      <c r="B3" s="2726" t="s">
        <v>1274</v>
      </c>
      <c r="C3" s="2727"/>
      <c r="D3" s="2727"/>
      <c r="E3" s="2727"/>
      <c r="F3" s="2727"/>
      <c r="G3" s="2727"/>
      <c r="H3" s="2727"/>
      <c r="I3" s="2727"/>
      <c r="J3" s="1179"/>
    </row>
    <row r="4" spans="2:10" s="295" customFormat="1" ht="12.75" customHeight="1" x14ac:dyDescent="0.2">
      <c r="B4" s="2726" t="str">
        <f>'Single Audit Cover'!A4</f>
        <v>Year Ending June 30, 2020</v>
      </c>
      <c r="C4" s="2727"/>
      <c r="D4" s="2727"/>
      <c r="E4" s="2727"/>
      <c r="F4" s="2727"/>
      <c r="G4" s="2727"/>
      <c r="H4" s="2727"/>
      <c r="I4" s="2727"/>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726" t="s">
        <v>1273</v>
      </c>
      <c r="C7" s="2727"/>
      <c r="D7" s="2727"/>
      <c r="E7" s="2727"/>
      <c r="F7" s="2727"/>
      <c r="G7" s="2727"/>
      <c r="H7" s="2727"/>
      <c r="I7" s="2727"/>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728" t="s">
        <v>2137</v>
      </c>
      <c r="D11" s="2728"/>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2048</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t="s">
        <v>2048</v>
      </c>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2048</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2048</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t="s">
        <v>2048</v>
      </c>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729" t="s">
        <v>2137</v>
      </c>
      <c r="E29" s="2729"/>
      <c r="F29" s="2729"/>
      <c r="G29" s="2729"/>
      <c r="H29" s="2729"/>
      <c r="I29" s="2729"/>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t="s">
        <v>2048</v>
      </c>
      <c r="F33" s="1076" t="s">
        <v>879</v>
      </c>
      <c r="G33" s="1194"/>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730" t="s">
        <v>1725</v>
      </c>
      <c r="D37" s="2731"/>
      <c r="E37" s="2731"/>
      <c r="F37" s="2732"/>
      <c r="G37" s="2730" t="s">
        <v>1575</v>
      </c>
      <c r="H37" s="2731"/>
      <c r="I37" s="2732"/>
    </row>
    <row r="38" spans="2:9" ht="16.5" customHeight="1" x14ac:dyDescent="0.2">
      <c r="B38" s="1200">
        <v>84.01</v>
      </c>
      <c r="C38" s="2718" t="s">
        <v>2224</v>
      </c>
      <c r="D38" s="2719"/>
      <c r="E38" s="2719"/>
      <c r="F38" s="2720"/>
      <c r="G38" s="2733">
        <v>4483740</v>
      </c>
      <c r="H38" s="2734"/>
      <c r="I38" s="2735"/>
    </row>
    <row r="39" spans="2:9" ht="16.5" customHeight="1" x14ac:dyDescent="0.2">
      <c r="B39" s="1200" t="s">
        <v>2225</v>
      </c>
      <c r="C39" s="2718" t="s">
        <v>2226</v>
      </c>
      <c r="D39" s="2719"/>
      <c r="E39" s="2719"/>
      <c r="F39" s="2720"/>
      <c r="G39" s="2721">
        <v>2066037</v>
      </c>
      <c r="H39" s="2721"/>
      <c r="I39" s="2721"/>
    </row>
    <row r="40" spans="2:9" ht="16.5" customHeight="1" x14ac:dyDescent="0.2">
      <c r="B40" s="1200"/>
      <c r="C40" s="2718"/>
      <c r="D40" s="2719"/>
      <c r="E40" s="2719"/>
      <c r="F40" s="2720"/>
      <c r="G40" s="2721"/>
      <c r="H40" s="2721"/>
      <c r="I40" s="2721"/>
    </row>
    <row r="41" spans="2:9" ht="16.5" customHeight="1" x14ac:dyDescent="0.2">
      <c r="B41" s="1200"/>
      <c r="C41" s="2718"/>
      <c r="D41" s="2719"/>
      <c r="E41" s="2719"/>
      <c r="F41" s="2720"/>
      <c r="G41" s="2721"/>
      <c r="H41" s="2721"/>
      <c r="I41" s="2721"/>
    </row>
    <row r="42" spans="2:9" ht="16.5" customHeight="1" x14ac:dyDescent="0.2">
      <c r="B42" s="1200"/>
      <c r="C42" s="2718"/>
      <c r="D42" s="2719"/>
      <c r="E42" s="2719"/>
      <c r="F42" s="2720"/>
      <c r="G42" s="2721"/>
      <c r="H42" s="2721"/>
      <c r="I42" s="2721"/>
    </row>
    <row r="43" spans="2:9" ht="16.5" customHeight="1" x14ac:dyDescent="0.2">
      <c r="B43" s="1200"/>
      <c r="C43" s="2711" t="s">
        <v>1576</v>
      </c>
      <c r="D43" s="2712"/>
      <c r="E43" s="2712"/>
      <c r="F43" s="2713"/>
      <c r="G43" s="2714">
        <f>SUM(G38:I42)</f>
        <v>6549777</v>
      </c>
      <c r="H43" s="2714"/>
      <c r="I43" s="2714"/>
    </row>
    <row r="44" spans="2:9" ht="12.75" customHeight="1" x14ac:dyDescent="0.2"/>
    <row r="45" spans="2:9" ht="12.75" customHeight="1" x14ac:dyDescent="0.2">
      <c r="B45" s="1917" t="str">
        <f>"Total Federal Expenditures for 7/1/"&amp;MID('AFR20'!E2,3,2)-1&amp;"-6/30/"&amp;MID('AFR20'!E2,3,2)</f>
        <v>Total Federal Expenditures for 7/1/19-6/30/20</v>
      </c>
      <c r="C45" s="1918"/>
      <c r="D45" s="2715">
        <v>9704567</v>
      </c>
      <c r="E45" s="2716"/>
    </row>
    <row r="46" spans="2:9" ht="5.25" customHeight="1" x14ac:dyDescent="0.2">
      <c r="B46" s="1201"/>
      <c r="D46" s="1202"/>
      <c r="E46" s="1203"/>
    </row>
    <row r="47" spans="2:9" ht="12.75" customHeight="1" x14ac:dyDescent="0.2">
      <c r="B47" s="1076" t="s">
        <v>1577</v>
      </c>
      <c r="C47" s="1076"/>
      <c r="D47" s="1204">
        <f>+G43/D45</f>
        <v>0.67491697465739586</v>
      </c>
      <c r="E47" s="1205"/>
      <c r="F47" s="1206"/>
      <c r="I47" s="1207"/>
    </row>
    <row r="48" spans="2:9" ht="9.9499999999999993" customHeight="1" x14ac:dyDescent="0.2"/>
    <row r="49" spans="1:9" x14ac:dyDescent="0.2">
      <c r="B49" s="1138" t="s">
        <v>1262</v>
      </c>
      <c r="C49" s="1058"/>
      <c r="D49" s="1058"/>
      <c r="E49" s="2717">
        <v>750000</v>
      </c>
      <c r="F49" s="2717"/>
      <c r="G49" s="2717"/>
      <c r="H49" s="300"/>
    </row>
    <row r="51" spans="1:9" ht="13.5" customHeight="1" x14ac:dyDescent="0.2">
      <c r="B51" s="1138" t="s">
        <v>1261</v>
      </c>
      <c r="C51" s="1058"/>
      <c r="E51" s="1194" t="s">
        <v>2153</v>
      </c>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647CC-A6C6-45F2-9171-2B3F1B5AFB59}">
  <sheetPr>
    <tabColor rgb="FF99FF33"/>
  </sheetPr>
  <dimension ref="A1:M41"/>
  <sheetViews>
    <sheetView showGridLines="0" zoomScale="110" zoomScaleNormal="110" workbookViewId="0">
      <selection activeCell="G24" sqref="G24"/>
    </sheetView>
  </sheetViews>
  <sheetFormatPr defaultColWidth="9.140625" defaultRowHeight="12.75" x14ac:dyDescent="0.2"/>
  <cols>
    <col min="1" max="1" width="1.5703125" style="2036" customWidth="1"/>
    <col min="2" max="2" width="21.42578125" style="2036" customWidth="1"/>
    <col min="3" max="3" width="6.140625" style="2036" customWidth="1"/>
    <col min="4" max="4" width="4.42578125" style="2036" customWidth="1"/>
    <col min="5" max="5" width="3.5703125" style="2036" customWidth="1"/>
    <col min="6" max="6" width="20.140625" style="2036" customWidth="1"/>
    <col min="7" max="7" width="3.5703125" style="2040" customWidth="1"/>
    <col min="8" max="8" width="10.5703125" style="2036" customWidth="1"/>
    <col min="9" max="9" width="3.42578125" style="2040" customWidth="1"/>
    <col min="10" max="10" width="15.42578125" style="2036" customWidth="1"/>
    <col min="11" max="11" width="8.5703125" style="2036" customWidth="1"/>
    <col min="12" max="12" width="1.42578125" style="2036" customWidth="1"/>
    <col min="13" max="13" width="3.42578125" style="2036" customWidth="1"/>
    <col min="14" max="16384" width="9.140625" style="2036"/>
  </cols>
  <sheetData>
    <row r="1" spans="1:13" ht="11.1" customHeight="1" x14ac:dyDescent="0.2">
      <c r="B1" s="2722" t="str">
        <f>'Single Audit Cover'!A7</f>
        <v xml:space="preserve"> Cahokia USD 187</v>
      </c>
      <c r="C1" s="2722"/>
      <c r="D1" s="2722"/>
      <c r="E1" s="2722"/>
      <c r="F1" s="2722"/>
      <c r="G1" s="2722"/>
      <c r="H1" s="2722"/>
      <c r="I1" s="2722"/>
      <c r="J1" s="2722"/>
      <c r="K1" s="2722"/>
      <c r="L1" s="1144"/>
      <c r="M1" s="1144"/>
    </row>
    <row r="2" spans="1:13" ht="12" customHeight="1" x14ac:dyDescent="0.2">
      <c r="B2" s="2724">
        <f>'Single Audit Cover'!E7</f>
        <v>50082187026</v>
      </c>
      <c r="C2" s="2724"/>
      <c r="D2" s="2724"/>
      <c r="E2" s="2724"/>
      <c r="F2" s="2724"/>
      <c r="G2" s="2724"/>
      <c r="H2" s="2724"/>
      <c r="I2" s="2724"/>
      <c r="J2" s="2724"/>
      <c r="K2" s="2724"/>
      <c r="L2" s="1145"/>
      <c r="M2" s="1146"/>
    </row>
    <row r="3" spans="1:13" ht="10.35" customHeight="1" x14ac:dyDescent="0.2">
      <c r="B3" s="2738" t="s">
        <v>1274</v>
      </c>
      <c r="C3" s="2738"/>
      <c r="D3" s="2738"/>
      <c r="E3" s="2738"/>
      <c r="F3" s="2738"/>
      <c r="G3" s="2738"/>
      <c r="H3" s="2738"/>
      <c r="I3" s="2738"/>
      <c r="J3" s="2738"/>
      <c r="K3" s="2738"/>
      <c r="L3" s="2117"/>
      <c r="M3" s="2117"/>
    </row>
    <row r="4" spans="1:13" ht="14.25" customHeight="1" x14ac:dyDescent="0.2">
      <c r="B4" s="2739" t="str">
        <f>'Single Audit Cover'!A4</f>
        <v>Year Ending June 30, 2020</v>
      </c>
      <c r="C4" s="2739"/>
      <c r="D4" s="2739"/>
      <c r="E4" s="2739"/>
      <c r="F4" s="2739"/>
      <c r="G4" s="2739"/>
      <c r="H4" s="2739"/>
      <c r="I4" s="2739"/>
      <c r="J4" s="2739"/>
      <c r="K4" s="273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2044"/>
      <c r="B7" s="2739" t="s">
        <v>1285</v>
      </c>
      <c r="C7" s="2739"/>
      <c r="D7" s="2740"/>
      <c r="E7" s="2740"/>
      <c r="F7" s="2740"/>
      <c r="G7" s="2740"/>
      <c r="H7" s="2740"/>
      <c r="I7" s="2740"/>
      <c r="J7" s="2740"/>
      <c r="K7" s="274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v>1</v>
      </c>
      <c r="E10" s="300"/>
      <c r="F10" s="1156" t="s">
        <v>1284</v>
      </c>
      <c r="G10" s="1157"/>
      <c r="H10" s="1158" t="s">
        <v>1283</v>
      </c>
      <c r="I10" s="1157" t="s">
        <v>2153</v>
      </c>
      <c r="J10" s="1159" t="s">
        <v>1282</v>
      </c>
      <c r="K10" s="300"/>
      <c r="L10" s="1151"/>
    </row>
    <row r="11" spans="1:13" ht="13.5" customHeight="1" x14ac:dyDescent="0.2">
      <c r="B11" s="300"/>
      <c r="C11" s="300"/>
      <c r="D11" s="300"/>
      <c r="E11" s="300"/>
      <c r="F11" s="300"/>
      <c r="G11" s="1153"/>
      <c r="H11" s="300"/>
      <c r="I11" s="1160" t="s">
        <v>1281</v>
      </c>
      <c r="J11" s="300"/>
      <c r="K11" s="1161">
        <v>2007</v>
      </c>
      <c r="L11" s="1151"/>
    </row>
    <row r="12" spans="1:13" ht="13.5" customHeight="1" x14ac:dyDescent="0.2">
      <c r="B12" s="1070"/>
      <c r="C12" s="1070"/>
      <c r="D12" s="300"/>
      <c r="E12" s="300"/>
      <c r="F12" s="300"/>
      <c r="G12" s="1153"/>
      <c r="H12" s="300"/>
      <c r="I12" s="1153"/>
      <c r="J12" s="300"/>
      <c r="L12" s="1151"/>
    </row>
    <row r="13" spans="1:13" s="2044" customFormat="1" ht="13.5" customHeight="1" x14ac:dyDescent="0.2">
      <c r="B13" s="1162" t="s">
        <v>1280</v>
      </c>
      <c r="C13" s="1162"/>
      <c r="D13" s="1163"/>
      <c r="E13" s="1163"/>
      <c r="F13" s="1163"/>
      <c r="G13" s="1164"/>
      <c r="H13" s="1163"/>
      <c r="I13" s="1164"/>
      <c r="J13" s="1163"/>
      <c r="K13" s="1163"/>
      <c r="L13" s="1165"/>
    </row>
    <row r="14" spans="1:13" ht="45.75" customHeight="1" x14ac:dyDescent="0.2">
      <c r="B14" s="2737" t="s">
        <v>2237</v>
      </c>
      <c r="C14" s="2737"/>
      <c r="D14" s="2737"/>
      <c r="E14" s="2737"/>
      <c r="F14" s="2737"/>
      <c r="G14" s="2737"/>
      <c r="H14" s="2737"/>
      <c r="I14" s="2737"/>
      <c r="J14" s="2737"/>
      <c r="K14" s="2737"/>
      <c r="L14" s="1166"/>
    </row>
    <row r="15" spans="1:13" ht="4.5" customHeight="1" x14ac:dyDescent="0.2">
      <c r="B15" s="1167"/>
      <c r="C15" s="1167"/>
      <c r="D15" s="1168"/>
      <c r="E15" s="1168"/>
      <c r="F15" s="1168"/>
      <c r="H15" s="1168"/>
      <c r="J15" s="1168"/>
      <c r="K15" s="1168"/>
      <c r="L15" s="1166"/>
    </row>
    <row r="16" spans="1:13" s="2044" customFormat="1" ht="13.5" customHeight="1" x14ac:dyDescent="0.2">
      <c r="B16" s="1162" t="s">
        <v>1279</v>
      </c>
      <c r="C16" s="1162"/>
      <c r="D16" s="1163"/>
      <c r="E16" s="1163"/>
      <c r="F16" s="1163"/>
      <c r="G16" s="1164"/>
      <c r="H16" s="1163"/>
      <c r="I16" s="1164"/>
      <c r="J16" s="1163"/>
      <c r="K16" s="1163"/>
      <c r="L16" s="1165"/>
    </row>
    <row r="17" spans="2:12" ht="45.75" customHeight="1" x14ac:dyDescent="0.2">
      <c r="B17" s="2737" t="s">
        <v>2156</v>
      </c>
      <c r="C17" s="2737"/>
      <c r="D17" s="2737"/>
      <c r="E17" s="2737"/>
      <c r="F17" s="2737"/>
      <c r="G17" s="2737"/>
      <c r="H17" s="2737"/>
      <c r="I17" s="2737"/>
      <c r="J17" s="2737"/>
      <c r="K17" s="2737"/>
      <c r="L17" s="1151"/>
    </row>
    <row r="18" spans="2:12" ht="4.5" customHeight="1" x14ac:dyDescent="0.2">
      <c r="B18" s="1167"/>
      <c r="C18" s="1167"/>
      <c r="L18" s="1151"/>
    </row>
    <row r="19" spans="2:12" s="2044" customFormat="1" ht="13.5" customHeight="1" x14ac:dyDescent="0.2">
      <c r="B19" s="1162" t="s">
        <v>1717</v>
      </c>
      <c r="C19" s="1162"/>
      <c r="D19" s="1163"/>
      <c r="E19" s="1163"/>
      <c r="F19" s="1163"/>
      <c r="G19" s="1164"/>
      <c r="H19" s="1163"/>
      <c r="I19" s="1164"/>
      <c r="J19" s="1163"/>
      <c r="K19" s="1163"/>
      <c r="L19" s="1165"/>
    </row>
    <row r="20" spans="2:12" ht="45.75" customHeight="1" x14ac:dyDescent="0.2">
      <c r="B20" s="2741" t="s">
        <v>2157</v>
      </c>
      <c r="C20" s="2741"/>
      <c r="D20" s="2737"/>
      <c r="E20" s="2737"/>
      <c r="F20" s="2737"/>
      <c r="G20" s="2737"/>
      <c r="H20" s="2737"/>
      <c r="I20" s="2737"/>
      <c r="J20" s="2737"/>
      <c r="K20" s="273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737" t="s">
        <v>2159</v>
      </c>
      <c r="C23" s="2737"/>
      <c r="D23" s="2737"/>
      <c r="E23" s="2737"/>
      <c r="F23" s="2737"/>
      <c r="G23" s="2737"/>
      <c r="H23" s="2737"/>
      <c r="I23" s="2737"/>
      <c r="J23" s="2737"/>
      <c r="K23" s="273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737" t="s">
        <v>2154</v>
      </c>
      <c r="C26" s="2737"/>
      <c r="D26" s="2737"/>
      <c r="E26" s="2737"/>
      <c r="F26" s="2737"/>
      <c r="G26" s="2737"/>
      <c r="H26" s="2737"/>
      <c r="I26" s="2737"/>
      <c r="J26" s="2737"/>
      <c r="K26" s="273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736" t="s">
        <v>2158</v>
      </c>
      <c r="C29" s="2736"/>
      <c r="D29" s="2737"/>
      <c r="E29" s="2737"/>
      <c r="F29" s="2737"/>
      <c r="G29" s="2737"/>
      <c r="H29" s="2737"/>
      <c r="I29" s="2737"/>
      <c r="J29" s="2737"/>
      <c r="K29" s="273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55.9" customHeight="1" x14ac:dyDescent="0.2">
      <c r="B32" s="2736" t="s">
        <v>2160</v>
      </c>
      <c r="C32" s="2736"/>
      <c r="D32" s="2737"/>
      <c r="E32" s="2737"/>
      <c r="F32" s="2737"/>
      <c r="G32" s="2737"/>
      <c r="H32" s="2737"/>
      <c r="I32" s="2737"/>
      <c r="J32" s="2737"/>
      <c r="K32" s="2737"/>
      <c r="L32" s="1151"/>
    </row>
    <row r="33" spans="1:13" s="300" customFormat="1" ht="4.5" customHeight="1" x14ac:dyDescent="0.2">
      <c r="B33" s="1171"/>
      <c r="C33" s="1171"/>
      <c r="G33" s="1153"/>
      <c r="I33" s="1153"/>
      <c r="L33" s="1151"/>
    </row>
    <row r="34" spans="1:13" s="300" customFormat="1" x14ac:dyDescent="0.2">
      <c r="A34" s="2045"/>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2046" t="s">
        <v>1810</v>
      </c>
      <c r="C36" s="2046"/>
      <c r="L36" s="1151"/>
    </row>
    <row r="37" spans="1:13" ht="9.6" customHeight="1" x14ac:dyDescent="0.2">
      <c r="B37" s="2046" t="s">
        <v>1811</v>
      </c>
      <c r="C37" s="2046"/>
    </row>
    <row r="38" spans="1:13" ht="11.85" customHeight="1" x14ac:dyDescent="0.2">
      <c r="B38" s="1176" t="s">
        <v>1720</v>
      </c>
      <c r="C38" s="1176"/>
    </row>
    <row r="39" spans="1:13" ht="9.6" customHeight="1" x14ac:dyDescent="0.2">
      <c r="B39" s="2046" t="s">
        <v>1275</v>
      </c>
      <c r="C39" s="2046"/>
      <c r="M39" s="1177"/>
    </row>
    <row r="40" spans="1:13" ht="12.6" customHeight="1" x14ac:dyDescent="0.2">
      <c r="B40" s="1176" t="s">
        <v>1721</v>
      </c>
      <c r="C40" s="1176"/>
      <c r="M40" s="1177"/>
    </row>
    <row r="41" spans="1:13" ht="9.6" customHeight="1" x14ac:dyDescent="0.2">
      <c r="B41" s="2046"/>
      <c r="C41" s="204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topLeftCell="A10" zoomScale="110" zoomScaleNormal="110" workbookViewId="0">
      <selection activeCell="G24" sqref="G2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22" t="str">
        <f>'Single Audit Cover'!A7</f>
        <v xml:space="preserve"> Cahokia USD 187</v>
      </c>
      <c r="C1" s="2722"/>
      <c r="D1" s="2722"/>
      <c r="E1" s="2722"/>
      <c r="F1" s="2722"/>
      <c r="G1" s="2722"/>
      <c r="H1" s="2722"/>
      <c r="I1" s="2722"/>
      <c r="J1" s="2722"/>
      <c r="K1" s="2722"/>
      <c r="L1" s="1144"/>
      <c r="M1" s="1144"/>
    </row>
    <row r="2" spans="1:13" ht="12" customHeight="1" x14ac:dyDescent="0.2">
      <c r="B2" s="2724">
        <f>'Single Audit Cover'!E7</f>
        <v>50082187026</v>
      </c>
      <c r="C2" s="2724"/>
      <c r="D2" s="2724"/>
      <c r="E2" s="2724"/>
      <c r="F2" s="2724"/>
      <c r="G2" s="2724"/>
      <c r="H2" s="2724"/>
      <c r="I2" s="2724"/>
      <c r="J2" s="2724"/>
      <c r="K2" s="2724"/>
      <c r="L2" s="1145"/>
      <c r="M2" s="1146"/>
    </row>
    <row r="3" spans="1:13" ht="10.35" customHeight="1" x14ac:dyDescent="0.2">
      <c r="B3" s="2738" t="s">
        <v>1274</v>
      </c>
      <c r="C3" s="2738"/>
      <c r="D3" s="2738"/>
      <c r="E3" s="2738"/>
      <c r="F3" s="2738"/>
      <c r="G3" s="2738"/>
      <c r="H3" s="2738"/>
      <c r="I3" s="2738"/>
      <c r="J3" s="2738"/>
      <c r="K3" s="2738"/>
      <c r="L3" s="1147"/>
      <c r="M3" s="1147"/>
    </row>
    <row r="4" spans="1:13" ht="14.25" customHeight="1" x14ac:dyDescent="0.2">
      <c r="B4" s="2739" t="str">
        <f>'Single Audit Cover'!A4</f>
        <v>Year Ending June 30, 2020</v>
      </c>
      <c r="C4" s="2739"/>
      <c r="D4" s="2739"/>
      <c r="E4" s="2739"/>
      <c r="F4" s="2739"/>
      <c r="G4" s="2739"/>
      <c r="H4" s="2739"/>
      <c r="I4" s="2739"/>
      <c r="J4" s="2739"/>
      <c r="K4" s="273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739" t="s">
        <v>1285</v>
      </c>
      <c r="C7" s="2739"/>
      <c r="D7" s="2740"/>
      <c r="E7" s="2740"/>
      <c r="F7" s="2740"/>
      <c r="G7" s="2740"/>
      <c r="H7" s="2740"/>
      <c r="I7" s="2740"/>
      <c r="J7" s="2740"/>
      <c r="K7" s="274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v>2</v>
      </c>
      <c r="E10" s="300"/>
      <c r="F10" s="1156" t="s">
        <v>1284</v>
      </c>
      <c r="G10" s="1157"/>
      <c r="H10" s="1158" t="s">
        <v>1283</v>
      </c>
      <c r="I10" s="1157" t="s">
        <v>2153</v>
      </c>
      <c r="J10" s="1159" t="s">
        <v>1282</v>
      </c>
      <c r="K10" s="300"/>
      <c r="L10" s="1151"/>
    </row>
    <row r="11" spans="1:13" ht="13.5" customHeight="1" x14ac:dyDescent="0.2">
      <c r="B11" s="300"/>
      <c r="C11" s="300"/>
      <c r="D11" s="300"/>
      <c r="E11" s="300"/>
      <c r="F11" s="300"/>
      <c r="G11" s="1153"/>
      <c r="H11" s="300"/>
      <c r="I11" s="1160" t="s">
        <v>1281</v>
      </c>
      <c r="J11" s="300"/>
      <c r="K11" s="1161">
        <v>2007</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737" t="s">
        <v>2238</v>
      </c>
      <c r="C14" s="2737"/>
      <c r="D14" s="2737"/>
      <c r="E14" s="2737"/>
      <c r="F14" s="2737"/>
      <c r="G14" s="2737"/>
      <c r="H14" s="2737"/>
      <c r="I14" s="2737"/>
      <c r="J14" s="2737"/>
      <c r="K14" s="273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737" t="s">
        <v>2162</v>
      </c>
      <c r="C17" s="2737"/>
      <c r="D17" s="2737"/>
      <c r="E17" s="2737"/>
      <c r="F17" s="2737"/>
      <c r="G17" s="2737"/>
      <c r="H17" s="2737"/>
      <c r="I17" s="2737"/>
      <c r="J17" s="2737"/>
      <c r="K17" s="2737"/>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741" t="s">
        <v>2236</v>
      </c>
      <c r="C20" s="2741"/>
      <c r="D20" s="2737"/>
      <c r="E20" s="2737"/>
      <c r="F20" s="2737"/>
      <c r="G20" s="2737"/>
      <c r="H20" s="2737"/>
      <c r="I20" s="2737"/>
      <c r="J20" s="2737"/>
      <c r="K20" s="273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737" t="s">
        <v>2161</v>
      </c>
      <c r="C23" s="2737"/>
      <c r="D23" s="2737"/>
      <c r="E23" s="2737"/>
      <c r="F23" s="2737"/>
      <c r="G23" s="2737"/>
      <c r="H23" s="2737"/>
      <c r="I23" s="2737"/>
      <c r="J23" s="2737"/>
      <c r="K23" s="273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737" t="s">
        <v>2239</v>
      </c>
      <c r="C26" s="2737"/>
      <c r="D26" s="2737"/>
      <c r="E26" s="2737"/>
      <c r="F26" s="2737"/>
      <c r="G26" s="2737"/>
      <c r="H26" s="2737"/>
      <c r="I26" s="2737"/>
      <c r="J26" s="2737"/>
      <c r="K26" s="273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736" t="s">
        <v>2163</v>
      </c>
      <c r="C29" s="2736"/>
      <c r="D29" s="2737"/>
      <c r="E29" s="2737"/>
      <c r="F29" s="2737"/>
      <c r="G29" s="2737"/>
      <c r="H29" s="2737"/>
      <c r="I29" s="2737"/>
      <c r="J29" s="2737"/>
      <c r="K29" s="273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736" t="s">
        <v>2164</v>
      </c>
      <c r="C32" s="2736"/>
      <c r="D32" s="2737"/>
      <c r="E32" s="2737"/>
      <c r="F32" s="2737"/>
      <c r="G32" s="2737"/>
      <c r="H32" s="2737"/>
      <c r="I32" s="2737"/>
      <c r="J32" s="2737"/>
      <c r="K32" s="273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C972D-62DC-4AAC-B3E1-365274345AF1}">
  <sheetPr>
    <tabColor rgb="FF92D050"/>
  </sheetPr>
  <dimension ref="A1:L48"/>
  <sheetViews>
    <sheetView showGridLines="0" zoomScale="110" zoomScaleNormal="110" workbookViewId="0">
      <selection activeCell="G24" sqref="G24"/>
    </sheetView>
  </sheetViews>
  <sheetFormatPr defaultColWidth="9.140625" defaultRowHeight="12.75" x14ac:dyDescent="0.2"/>
  <cols>
    <col min="1" max="1" width="1.5703125" style="2120" customWidth="1"/>
    <col min="2" max="2" width="21.5703125" style="2120" customWidth="1"/>
    <col min="3" max="3" width="6.140625" style="2120" customWidth="1"/>
    <col min="4" max="4" width="4.7109375" style="2120" customWidth="1"/>
    <col min="5" max="5" width="3.5703125" style="2120" customWidth="1"/>
    <col min="6" max="6" width="20.140625" style="2120" customWidth="1"/>
    <col min="7" max="7" width="3.5703125" style="2124" customWidth="1"/>
    <col min="8" max="8" width="10.5703125" style="2120" customWidth="1"/>
    <col min="9" max="9" width="3.42578125" style="2124" customWidth="1"/>
    <col min="10" max="10" width="15.5703125" style="2120" customWidth="1"/>
    <col min="11" max="11" width="8.5703125" style="2120" customWidth="1"/>
    <col min="12" max="12" width="1.5703125" style="2120" customWidth="1"/>
    <col min="13" max="13" width="3.42578125" style="2120" customWidth="1"/>
    <col min="14" max="16384" width="9.140625" style="2120"/>
  </cols>
  <sheetData>
    <row r="1" spans="1:12" ht="12.75" customHeight="1" x14ac:dyDescent="0.2">
      <c r="B1" s="2742" t="str">
        <f>'Single Audit Cover'!A7</f>
        <v xml:space="preserve"> Cahokia USD 187</v>
      </c>
      <c r="C1" s="2742"/>
      <c r="D1" s="2742"/>
      <c r="E1" s="2742"/>
      <c r="F1" s="2742"/>
      <c r="G1" s="2742"/>
      <c r="H1" s="2742"/>
      <c r="I1" s="2742"/>
      <c r="J1" s="2742"/>
      <c r="K1" s="2742"/>
      <c r="L1" s="2145"/>
    </row>
    <row r="2" spans="1:12" ht="12.75" customHeight="1" x14ac:dyDescent="0.2">
      <c r="B2" s="2743">
        <f>'Single Audit Cover'!E7</f>
        <v>50082187026</v>
      </c>
      <c r="C2" s="2743"/>
      <c r="D2" s="2743"/>
      <c r="E2" s="2743"/>
      <c r="F2" s="2743"/>
      <c r="G2" s="2743"/>
      <c r="H2" s="2743"/>
      <c r="I2" s="2743"/>
      <c r="J2" s="2743"/>
      <c r="K2" s="2743"/>
      <c r="L2" s="2146"/>
    </row>
    <row r="3" spans="1:12" ht="12.75" customHeight="1" x14ac:dyDescent="0.2">
      <c r="B3" s="2738" t="s">
        <v>1274</v>
      </c>
      <c r="C3" s="2738"/>
      <c r="D3" s="2738"/>
      <c r="E3" s="2738"/>
      <c r="F3" s="2738"/>
      <c r="G3" s="2738"/>
      <c r="H3" s="2738"/>
      <c r="I3" s="2738"/>
      <c r="J3" s="2738"/>
      <c r="K3" s="2738"/>
      <c r="L3" s="2131"/>
    </row>
    <row r="4" spans="1:12" ht="12.75" customHeight="1" x14ac:dyDescent="0.2">
      <c r="B4" s="2738" t="str">
        <f>'Single Audit Cover'!A4</f>
        <v>Year Ending June 30, 2020</v>
      </c>
      <c r="C4" s="2738"/>
      <c r="D4" s="2738"/>
      <c r="E4" s="2738"/>
      <c r="F4" s="2738"/>
      <c r="G4" s="2738"/>
      <c r="H4" s="2738"/>
      <c r="I4" s="2738"/>
      <c r="J4" s="2738"/>
      <c r="K4" s="2738"/>
      <c r="L4" s="2131"/>
    </row>
    <row r="5" spans="1:12" ht="5.25" customHeight="1" x14ac:dyDescent="0.2">
      <c r="B5" s="2125" t="s">
        <v>1159</v>
      </c>
      <c r="C5" s="2125"/>
      <c r="L5" s="2121"/>
    </row>
    <row r="6" spans="1:12" ht="30.75" customHeight="1" x14ac:dyDescent="0.2">
      <c r="A6" s="2121"/>
      <c r="B6" s="2744" t="s">
        <v>1297</v>
      </c>
      <c r="C6" s="2744"/>
      <c r="D6" s="2744"/>
      <c r="E6" s="2744"/>
      <c r="F6" s="2744"/>
      <c r="G6" s="2744"/>
      <c r="H6" s="2744"/>
      <c r="I6" s="2744"/>
      <c r="J6" s="2744"/>
      <c r="K6" s="2744"/>
      <c r="L6" s="2121"/>
    </row>
    <row r="7" spans="1:12" ht="4.5" customHeight="1" x14ac:dyDescent="0.2">
      <c r="B7" s="2133"/>
      <c r="C7" s="2133"/>
      <c r="D7" s="2133"/>
      <c r="E7" s="2133"/>
      <c r="F7" s="2133"/>
      <c r="G7" s="2134"/>
      <c r="H7" s="2133"/>
      <c r="I7" s="2134"/>
      <c r="J7" s="2133"/>
      <c r="K7" s="2133"/>
      <c r="L7" s="2121"/>
    </row>
    <row r="8" spans="1:12" ht="13.5" customHeight="1" x14ac:dyDescent="0.2">
      <c r="B8" s="2137" t="s">
        <v>1730</v>
      </c>
      <c r="C8" s="1919" t="str">
        <f>'AFR20'!$E$2&amp;"-"</f>
        <v>2020-</v>
      </c>
      <c r="D8" s="2147">
        <v>3</v>
      </c>
      <c r="E8" s="2121"/>
      <c r="F8" s="2136" t="s">
        <v>1284</v>
      </c>
      <c r="G8" s="2148"/>
      <c r="H8" s="2149" t="s">
        <v>1296</v>
      </c>
      <c r="I8" s="2148" t="s">
        <v>2048</v>
      </c>
      <c r="J8" s="2150" t="s">
        <v>1295</v>
      </c>
      <c r="L8" s="2121"/>
    </row>
    <row r="9" spans="1:12" ht="13.5" customHeight="1" x14ac:dyDescent="0.2">
      <c r="D9" s="2121"/>
      <c r="E9" s="2121"/>
      <c r="F9" s="2121"/>
      <c r="G9" s="2135"/>
      <c r="H9" s="2121"/>
      <c r="I9" s="2151" t="s">
        <v>1281</v>
      </c>
      <c r="J9" s="2121"/>
      <c r="K9" s="2152">
        <v>2018</v>
      </c>
      <c r="L9" s="2121"/>
    </row>
    <row r="10" spans="1:12" ht="4.5" customHeight="1" x14ac:dyDescent="0.2">
      <c r="B10" s="2153"/>
      <c r="C10" s="2153"/>
      <c r="D10" s="2142"/>
      <c r="E10" s="2142"/>
      <c r="F10" s="2142"/>
      <c r="G10" s="2143"/>
      <c r="H10" s="2142"/>
      <c r="I10" s="2143"/>
      <c r="J10" s="2142"/>
      <c r="K10" s="2142"/>
      <c r="L10" s="2121"/>
    </row>
    <row r="11" spans="1:12" ht="5.25" customHeight="1" x14ac:dyDescent="0.2">
      <c r="B11" s="2121"/>
      <c r="C11" s="2121"/>
      <c r="D11" s="2119"/>
      <c r="E11" s="2121"/>
      <c r="F11" s="2121"/>
      <c r="G11" s="2135"/>
      <c r="H11" s="2121"/>
      <c r="I11" s="2135"/>
      <c r="J11" s="2121"/>
      <c r="K11" s="2144"/>
      <c r="L11" s="2121"/>
    </row>
    <row r="12" spans="1:12" ht="13.5" customHeight="1" x14ac:dyDescent="0.2">
      <c r="B12" s="2136" t="s">
        <v>1294</v>
      </c>
      <c r="C12" s="2136"/>
      <c r="D12" s="2119"/>
      <c r="E12" s="2121"/>
      <c r="F12" s="2729" t="s">
        <v>2227</v>
      </c>
      <c r="G12" s="2729"/>
      <c r="H12" s="2729"/>
      <c r="I12" s="2729"/>
      <c r="J12" s="2729"/>
      <c r="K12" s="2729"/>
      <c r="L12" s="2121"/>
    </row>
    <row r="13" spans="1:12" ht="9.6" customHeight="1" x14ac:dyDescent="0.2">
      <c r="B13" s="2123"/>
      <c r="C13" s="2123"/>
      <c r="D13" s="2119"/>
      <c r="E13" s="2121"/>
      <c r="F13" s="2121"/>
      <c r="G13" s="2135"/>
      <c r="H13" s="2121"/>
      <c r="I13" s="2135"/>
      <c r="J13" s="2121"/>
      <c r="K13" s="2144"/>
      <c r="L13" s="2121"/>
    </row>
    <row r="14" spans="1:12" ht="13.5" customHeight="1" x14ac:dyDescent="0.2">
      <c r="B14" s="2137" t="s">
        <v>1293</v>
      </c>
      <c r="C14" s="2137"/>
      <c r="D14" s="2745">
        <v>4300</v>
      </c>
      <c r="E14" s="2745"/>
      <c r="F14" s="2745"/>
      <c r="H14" s="2154" t="s">
        <v>1292</v>
      </c>
      <c r="I14" s="2746" t="s">
        <v>2207</v>
      </c>
      <c r="J14" s="2747"/>
      <c r="K14" s="2747"/>
      <c r="L14" s="2121"/>
    </row>
    <row r="15" spans="1:12" ht="9.4" customHeight="1" x14ac:dyDescent="0.2">
      <c r="B15" s="2137"/>
      <c r="C15" s="2137"/>
      <c r="D15" s="2130"/>
      <c r="E15" s="2125"/>
      <c r="F15" s="2125"/>
      <c r="G15" s="2126"/>
      <c r="H15" s="2125"/>
      <c r="I15" s="2155"/>
      <c r="J15" s="2128"/>
      <c r="K15" s="2127"/>
      <c r="L15" s="2121"/>
    </row>
    <row r="16" spans="1:12" ht="13.5" customHeight="1" x14ac:dyDescent="0.2">
      <c r="B16" s="2137" t="s">
        <v>1291</v>
      </c>
      <c r="C16" s="2137"/>
      <c r="D16" s="2747" t="s">
        <v>2208</v>
      </c>
      <c r="E16" s="2747"/>
      <c r="F16" s="2747"/>
      <c r="G16" s="2747"/>
      <c r="H16" s="2747"/>
      <c r="I16" s="2747"/>
      <c r="J16" s="2747"/>
      <c r="K16" s="2747"/>
      <c r="L16" s="2121"/>
    </row>
    <row r="17" spans="2:12" ht="13.5" customHeight="1" x14ac:dyDescent="0.2">
      <c r="B17" s="2137" t="s">
        <v>1290</v>
      </c>
      <c r="C17" s="2137"/>
      <c r="D17" s="2748" t="s">
        <v>2209</v>
      </c>
      <c r="E17" s="2748"/>
      <c r="F17" s="2748"/>
      <c r="G17" s="2748"/>
      <c r="H17" s="2748"/>
      <c r="I17" s="2748"/>
      <c r="J17" s="2748"/>
      <c r="K17" s="2748"/>
      <c r="L17" s="2121"/>
    </row>
    <row r="18" spans="2:12" ht="9.4" customHeight="1" x14ac:dyDescent="0.2">
      <c r="B18" s="2142"/>
      <c r="C18" s="2142"/>
      <c r="D18" s="2142"/>
      <c r="E18" s="2142"/>
      <c r="F18" s="2142"/>
      <c r="G18" s="2143"/>
      <c r="H18" s="2142"/>
      <c r="I18" s="2143"/>
      <c r="J18" s="2142"/>
      <c r="K18" s="2142"/>
      <c r="L18" s="2121"/>
    </row>
    <row r="19" spans="2:12" ht="13.5" customHeight="1" x14ac:dyDescent="0.2">
      <c r="B19" s="2156" t="s">
        <v>1289</v>
      </c>
      <c r="C19" s="2156"/>
      <c r="D19" s="2122"/>
      <c r="E19" s="2122"/>
      <c r="F19" s="2122"/>
      <c r="G19" s="2157"/>
      <c r="H19" s="2122"/>
      <c r="I19" s="2157"/>
      <c r="J19" s="2121"/>
      <c r="K19" s="2121"/>
      <c r="L19" s="2121"/>
    </row>
    <row r="20" spans="2:12" ht="35.25" customHeight="1" x14ac:dyDescent="0.2">
      <c r="B20" s="2737" t="s">
        <v>2210</v>
      </c>
      <c r="C20" s="2737"/>
      <c r="D20" s="2737"/>
      <c r="E20" s="2737"/>
      <c r="F20" s="2737"/>
      <c r="G20" s="2737"/>
      <c r="H20" s="2737"/>
      <c r="I20" s="2737"/>
      <c r="J20" s="2737"/>
      <c r="K20" s="2737"/>
      <c r="L20" s="2144"/>
    </row>
    <row r="21" spans="2:12" ht="4.5" customHeight="1" x14ac:dyDescent="0.2">
      <c r="B21" s="2158"/>
      <c r="C21" s="2158"/>
      <c r="D21" s="2159"/>
      <c r="E21" s="2159"/>
      <c r="F21" s="2159"/>
      <c r="G21" s="2143"/>
      <c r="H21" s="2159"/>
      <c r="I21" s="2143"/>
      <c r="J21" s="2159"/>
      <c r="K21" s="2159"/>
      <c r="L21" s="2144"/>
    </row>
    <row r="22" spans="2:12" ht="13.35" customHeight="1" x14ac:dyDescent="0.2">
      <c r="B22" s="2156" t="s">
        <v>1731</v>
      </c>
      <c r="C22" s="2156"/>
      <c r="D22" s="2121"/>
      <c r="E22" s="2121"/>
      <c r="F22" s="2121"/>
      <c r="G22" s="2135"/>
      <c r="H22" s="2121"/>
      <c r="I22" s="2135"/>
      <c r="J22" s="2121"/>
      <c r="K22" s="2121"/>
      <c r="L22" s="2121"/>
    </row>
    <row r="23" spans="2:12" ht="37.5" customHeight="1" x14ac:dyDescent="0.2">
      <c r="B23" s="2737" t="s">
        <v>2240</v>
      </c>
      <c r="C23" s="2737"/>
      <c r="D23" s="2737"/>
      <c r="E23" s="2737"/>
      <c r="F23" s="2737"/>
      <c r="G23" s="2737"/>
      <c r="H23" s="2737"/>
      <c r="I23" s="2737"/>
      <c r="J23" s="2737"/>
      <c r="K23" s="2737"/>
      <c r="L23" s="2121"/>
    </row>
    <row r="24" spans="2:12" ht="4.5" customHeight="1" x14ac:dyDescent="0.2">
      <c r="B24" s="2158"/>
      <c r="C24" s="2158"/>
      <c r="D24" s="2142"/>
      <c r="E24" s="2142"/>
      <c r="F24" s="2142"/>
      <c r="G24" s="2143"/>
      <c r="H24" s="2142"/>
      <c r="I24" s="2143"/>
      <c r="J24" s="2142"/>
      <c r="K24" s="2142"/>
      <c r="L24" s="2121"/>
    </row>
    <row r="25" spans="2:12" ht="13.5" customHeight="1" x14ac:dyDescent="0.2">
      <c r="B25" s="2156" t="s">
        <v>1732</v>
      </c>
      <c r="C25" s="2156"/>
      <c r="D25" s="2121"/>
      <c r="E25" s="2121"/>
      <c r="F25" s="2121"/>
      <c r="G25" s="2135"/>
      <c r="H25" s="2121"/>
      <c r="I25" s="2135"/>
      <c r="J25" s="2121"/>
      <c r="K25" s="2121"/>
      <c r="L25" s="2121"/>
    </row>
    <row r="26" spans="2:12" ht="37.5" customHeight="1" x14ac:dyDescent="0.2">
      <c r="B26" s="2737" t="s">
        <v>2155</v>
      </c>
      <c r="C26" s="2737"/>
      <c r="D26" s="2737"/>
      <c r="E26" s="2737"/>
      <c r="F26" s="2737"/>
      <c r="G26" s="2737"/>
      <c r="H26" s="2737"/>
      <c r="I26" s="2737"/>
      <c r="J26" s="2737"/>
      <c r="K26" s="2737"/>
      <c r="L26" s="2121"/>
    </row>
    <row r="27" spans="2:12" ht="4.5" customHeight="1" x14ac:dyDescent="0.2">
      <c r="B27" s="2160"/>
      <c r="C27" s="2160"/>
      <c r="D27" s="2160"/>
      <c r="E27" s="2142"/>
      <c r="F27" s="2142"/>
      <c r="G27" s="2143"/>
      <c r="H27" s="2142"/>
      <c r="I27" s="2143"/>
      <c r="J27" s="2142"/>
      <c r="K27" s="2142"/>
      <c r="L27" s="2121"/>
    </row>
    <row r="28" spans="2:12" ht="13.5" customHeight="1" x14ac:dyDescent="0.2">
      <c r="B28" s="2156" t="s">
        <v>1733</v>
      </c>
      <c r="C28" s="2156"/>
      <c r="D28" s="2121"/>
      <c r="E28" s="2121"/>
      <c r="F28" s="2121"/>
      <c r="G28" s="2135"/>
      <c r="H28" s="2121"/>
      <c r="I28" s="2135"/>
      <c r="J28" s="2121"/>
      <c r="K28" s="2121"/>
      <c r="L28" s="2121"/>
    </row>
    <row r="29" spans="2:12" ht="37.5" customHeight="1" x14ac:dyDescent="0.2">
      <c r="B29" s="2737" t="s">
        <v>2211</v>
      </c>
      <c r="C29" s="2737"/>
      <c r="D29" s="2737"/>
      <c r="E29" s="2737"/>
      <c r="F29" s="2737"/>
      <c r="G29" s="2737"/>
      <c r="H29" s="2737"/>
      <c r="I29" s="2737"/>
      <c r="J29" s="2737"/>
      <c r="K29" s="2737"/>
      <c r="L29" s="2121"/>
    </row>
    <row r="30" spans="2:12" ht="4.5" customHeight="1" x14ac:dyDescent="0.2">
      <c r="B30" s="2158"/>
      <c r="C30" s="2158"/>
      <c r="D30" s="2142"/>
      <c r="E30" s="2142"/>
      <c r="F30" s="2142"/>
      <c r="G30" s="2143"/>
      <c r="H30" s="2142"/>
      <c r="I30" s="2143"/>
      <c r="J30" s="2142"/>
      <c r="K30" s="2142"/>
      <c r="L30" s="2121"/>
    </row>
    <row r="31" spans="2:12" ht="13.5" customHeight="1" x14ac:dyDescent="0.2">
      <c r="B31" s="2156" t="s">
        <v>1288</v>
      </c>
      <c r="C31" s="2156"/>
      <c r="D31" s="2121"/>
      <c r="E31" s="2121"/>
      <c r="F31" s="2121"/>
      <c r="G31" s="2135"/>
      <c r="H31" s="2121"/>
      <c r="I31" s="2135"/>
      <c r="J31" s="2121"/>
      <c r="K31" s="2121"/>
      <c r="L31" s="2121"/>
    </row>
    <row r="32" spans="2:12" ht="37.5" customHeight="1" x14ac:dyDescent="0.2">
      <c r="B32" s="2737" t="s">
        <v>2241</v>
      </c>
      <c r="C32" s="2737"/>
      <c r="D32" s="2737"/>
      <c r="E32" s="2737"/>
      <c r="F32" s="2737"/>
      <c r="G32" s="2737"/>
      <c r="H32" s="2737"/>
      <c r="I32" s="2737"/>
      <c r="J32" s="2737"/>
      <c r="K32" s="2737"/>
      <c r="L32" s="2121"/>
    </row>
    <row r="33" spans="2:12" ht="4.5" customHeight="1" x14ac:dyDescent="0.2">
      <c r="B33" s="2158"/>
      <c r="C33" s="2158"/>
      <c r="D33" s="2142"/>
      <c r="E33" s="2142"/>
      <c r="F33" s="2142"/>
      <c r="G33" s="2143"/>
      <c r="H33" s="2142"/>
      <c r="I33" s="2143"/>
      <c r="J33" s="2142"/>
      <c r="K33" s="2142"/>
      <c r="L33" s="2121"/>
    </row>
    <row r="34" spans="2:12" ht="13.5" customHeight="1" x14ac:dyDescent="0.2">
      <c r="B34" s="2136" t="s">
        <v>1287</v>
      </c>
      <c r="C34" s="2136"/>
      <c r="D34" s="2121"/>
      <c r="E34" s="2121"/>
      <c r="F34" s="2121"/>
      <c r="G34" s="2135"/>
      <c r="H34" s="2121"/>
      <c r="I34" s="2135"/>
      <c r="J34" s="2121"/>
      <c r="K34" s="2121"/>
      <c r="L34" s="2121"/>
    </row>
    <row r="35" spans="2:12" ht="37.5" customHeight="1" x14ac:dyDescent="0.2">
      <c r="B35" s="2737" t="s">
        <v>2212</v>
      </c>
      <c r="C35" s="2737"/>
      <c r="D35" s="2737"/>
      <c r="E35" s="2737"/>
      <c r="F35" s="2737"/>
      <c r="G35" s="2737"/>
      <c r="H35" s="2737"/>
      <c r="I35" s="2737"/>
      <c r="J35" s="2737"/>
      <c r="K35" s="2737"/>
      <c r="L35" s="2121"/>
    </row>
    <row r="36" spans="2:12" ht="4.5" customHeight="1" x14ac:dyDescent="0.2">
      <c r="B36" s="2158"/>
      <c r="C36" s="2158"/>
      <c r="D36" s="2142"/>
      <c r="E36" s="2142"/>
      <c r="F36" s="2142"/>
      <c r="G36" s="2143"/>
      <c r="H36" s="2142"/>
      <c r="I36" s="2143"/>
      <c r="J36" s="2142"/>
      <c r="K36" s="2142"/>
      <c r="L36" s="2121"/>
    </row>
    <row r="37" spans="2:12" ht="13.5" customHeight="1" x14ac:dyDescent="0.2">
      <c r="B37" s="2136" t="s">
        <v>1286</v>
      </c>
      <c r="C37" s="2136"/>
      <c r="D37" s="2121"/>
      <c r="E37" s="2121"/>
      <c r="F37" s="2121"/>
      <c r="G37" s="2135"/>
      <c r="H37" s="2121"/>
      <c r="I37" s="2135"/>
      <c r="J37" s="2121"/>
      <c r="K37" s="2121"/>
      <c r="L37" s="2121"/>
    </row>
    <row r="38" spans="2:12" ht="35.25" customHeight="1" x14ac:dyDescent="0.2">
      <c r="B38" s="2737" t="s">
        <v>2242</v>
      </c>
      <c r="C38" s="2737"/>
      <c r="D38" s="2737"/>
      <c r="E38" s="2737"/>
      <c r="F38" s="2737"/>
      <c r="G38" s="2737"/>
      <c r="H38" s="2737"/>
      <c r="I38" s="2737"/>
      <c r="J38" s="2737"/>
      <c r="K38" s="2737"/>
      <c r="L38" s="2121"/>
    </row>
    <row r="39" spans="2:12" ht="4.5" customHeight="1" x14ac:dyDescent="0.2">
      <c r="B39" s="2138"/>
      <c r="C39" s="2138"/>
      <c r="D39" s="2121"/>
      <c r="E39" s="2121"/>
      <c r="F39" s="2121"/>
      <c r="G39" s="2135"/>
      <c r="H39" s="2121"/>
      <c r="I39" s="2135"/>
      <c r="J39" s="2121"/>
      <c r="K39" s="2121"/>
      <c r="L39" s="2121"/>
    </row>
    <row r="40" spans="2:12" s="2121" customFormat="1" ht="13.5" customHeight="1" x14ac:dyDescent="0.2">
      <c r="B40" s="2139" t="s">
        <v>1734</v>
      </c>
      <c r="C40" s="2139"/>
      <c r="D40" s="2132"/>
      <c r="E40" s="2133"/>
      <c r="F40" s="2133"/>
      <c r="G40" s="2134"/>
      <c r="H40" s="2133"/>
      <c r="I40" s="2134"/>
      <c r="J40" s="2133"/>
      <c r="K40" s="2133"/>
    </row>
    <row r="41" spans="2:12" s="2121" customFormat="1" ht="33.75" customHeight="1" x14ac:dyDescent="0.2">
      <c r="B41" s="2737" t="s">
        <v>2213</v>
      </c>
      <c r="C41" s="2737"/>
      <c r="D41" s="2737"/>
      <c r="E41" s="2737"/>
      <c r="F41" s="2737"/>
      <c r="G41" s="2737"/>
      <c r="H41" s="2737"/>
      <c r="I41" s="2737"/>
      <c r="J41" s="2737"/>
      <c r="K41" s="2737"/>
    </row>
    <row r="42" spans="2:12" s="2121" customFormat="1" ht="4.5" customHeight="1" x14ac:dyDescent="0.2">
      <c r="B42" s="2138"/>
      <c r="C42" s="2138"/>
      <c r="G42" s="2135"/>
      <c r="I42" s="2135"/>
    </row>
    <row r="43" spans="2:12" ht="7.5" customHeight="1" x14ac:dyDescent="0.25">
      <c r="B43" s="2161"/>
      <c r="C43" s="2161"/>
      <c r="D43" s="2162"/>
      <c r="E43" s="2162"/>
      <c r="F43" s="2162"/>
      <c r="G43" s="2163"/>
      <c r="H43" s="2162"/>
      <c r="I43" s="2163"/>
      <c r="J43" s="2162"/>
      <c r="K43" s="2162"/>
    </row>
    <row r="44" spans="2:12" ht="13.5" customHeight="1" x14ac:dyDescent="0.2">
      <c r="B44" s="2140" t="s">
        <v>1735</v>
      </c>
      <c r="C44" s="2140"/>
      <c r="D44" s="2121"/>
      <c r="E44" s="2121"/>
      <c r="F44" s="2121"/>
    </row>
    <row r="45" spans="2:12" ht="10.5" customHeight="1" x14ac:dyDescent="0.2">
      <c r="B45" s="2141" t="s">
        <v>1736</v>
      </c>
      <c r="C45" s="2141"/>
      <c r="G45" s="2120"/>
      <c r="I45" s="2120"/>
    </row>
    <row r="46" spans="2:12" ht="11.1" customHeight="1" x14ac:dyDescent="0.2">
      <c r="B46" s="2141" t="s">
        <v>1737</v>
      </c>
      <c r="C46" s="2141"/>
      <c r="G46" s="2120"/>
      <c r="I46" s="2120"/>
    </row>
    <row r="47" spans="2:12" ht="11.1" customHeight="1" x14ac:dyDescent="0.2">
      <c r="B47" s="2141" t="s">
        <v>1738</v>
      </c>
      <c r="C47" s="2141"/>
      <c r="G47" s="2120"/>
      <c r="I47" s="2120"/>
    </row>
    <row r="48" spans="2:12" ht="11.1" customHeight="1" x14ac:dyDescent="0.2">
      <c r="B48" s="2141" t="s">
        <v>1739</v>
      </c>
      <c r="C48" s="2141"/>
      <c r="G48" s="2120"/>
      <c r="I48" s="2120"/>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25" zoomScale="110" zoomScaleNormal="110" workbookViewId="0">
      <selection activeCell="G24" sqref="G24"/>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42" t="str">
        <f>'Single Audit Cover'!A7</f>
        <v xml:space="preserve"> Cahokia USD 187</v>
      </c>
      <c r="C1" s="2742"/>
      <c r="D1" s="2742"/>
      <c r="E1" s="2742"/>
      <c r="F1" s="2742"/>
      <c r="G1" s="2742"/>
      <c r="H1" s="2742"/>
      <c r="I1" s="2742"/>
      <c r="J1" s="2742"/>
      <c r="K1" s="2742"/>
      <c r="L1" s="1221"/>
    </row>
    <row r="2" spans="1:12" ht="12.75" customHeight="1" x14ac:dyDescent="0.2">
      <c r="B2" s="2743">
        <f>'Single Audit Cover'!E7</f>
        <v>50082187026</v>
      </c>
      <c r="C2" s="2743"/>
      <c r="D2" s="2743"/>
      <c r="E2" s="2743"/>
      <c r="F2" s="2743"/>
      <c r="G2" s="2743"/>
      <c r="H2" s="2743"/>
      <c r="I2" s="2743"/>
      <c r="J2" s="2743"/>
      <c r="K2" s="2743"/>
      <c r="L2" s="1222"/>
    </row>
    <row r="3" spans="1:12" ht="12.75" customHeight="1" x14ac:dyDescent="0.2">
      <c r="B3" s="2738" t="s">
        <v>1274</v>
      </c>
      <c r="C3" s="2738"/>
      <c r="D3" s="2738"/>
      <c r="E3" s="2738"/>
      <c r="F3" s="2738"/>
      <c r="G3" s="2738"/>
      <c r="H3" s="2738"/>
      <c r="I3" s="2738"/>
      <c r="J3" s="2738"/>
      <c r="K3" s="2738"/>
      <c r="L3" s="1147"/>
    </row>
    <row r="4" spans="1:12" ht="12.75" customHeight="1" x14ac:dyDescent="0.2">
      <c r="B4" s="2738" t="str">
        <f>'Single Audit Cover'!A4</f>
        <v>Year Ending June 30, 2020</v>
      </c>
      <c r="C4" s="2738"/>
      <c r="D4" s="2738"/>
      <c r="E4" s="2738"/>
      <c r="F4" s="2738"/>
      <c r="G4" s="2738"/>
      <c r="H4" s="2738"/>
      <c r="I4" s="2738"/>
      <c r="J4" s="2738"/>
      <c r="K4" s="2738"/>
      <c r="L4" s="1147"/>
    </row>
    <row r="5" spans="1:12" ht="5.25" customHeight="1" x14ac:dyDescent="0.2">
      <c r="B5" s="1036" t="s">
        <v>1159</v>
      </c>
      <c r="C5" s="1036"/>
      <c r="L5" s="300"/>
    </row>
    <row r="6" spans="1:12" ht="30.75" customHeight="1" x14ac:dyDescent="0.2">
      <c r="A6" s="300"/>
      <c r="B6" s="2744" t="s">
        <v>1297</v>
      </c>
      <c r="C6" s="2744"/>
      <c r="D6" s="2744"/>
      <c r="E6" s="2744"/>
      <c r="F6" s="2744"/>
      <c r="G6" s="2744"/>
      <c r="H6" s="2744"/>
      <c r="I6" s="2744"/>
      <c r="J6" s="2744"/>
      <c r="K6" s="2744"/>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9" t="str">
        <f>'AFR20'!$E$2&amp;"-"</f>
        <v>2020-</v>
      </c>
      <c r="D8" s="1223">
        <v>4</v>
      </c>
      <c r="E8" s="300"/>
      <c r="F8" s="1154" t="s">
        <v>1284</v>
      </c>
      <c r="G8" s="1224" t="s">
        <v>2153</v>
      </c>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729" t="s">
        <v>2228</v>
      </c>
      <c r="G12" s="2729"/>
      <c r="H12" s="2729"/>
      <c r="I12" s="2729"/>
      <c r="J12" s="2729"/>
      <c r="K12" s="272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745" t="s">
        <v>2229</v>
      </c>
      <c r="E14" s="2745"/>
      <c r="F14" s="2745"/>
      <c r="H14" s="1230" t="s">
        <v>1292</v>
      </c>
      <c r="I14" s="2747" t="s">
        <v>2230</v>
      </c>
      <c r="J14" s="2747"/>
      <c r="K14" s="274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747" t="s">
        <v>2208</v>
      </c>
      <c r="E16" s="2747"/>
      <c r="F16" s="2747"/>
      <c r="G16" s="2747"/>
      <c r="H16" s="2747"/>
      <c r="I16" s="2747"/>
      <c r="J16" s="2747"/>
      <c r="K16" s="2747"/>
      <c r="L16" s="300"/>
    </row>
    <row r="17" spans="2:12" ht="13.5" customHeight="1" x14ac:dyDescent="0.2">
      <c r="B17" s="1156" t="s">
        <v>1290</v>
      </c>
      <c r="C17" s="1156"/>
      <c r="D17" s="2748" t="s">
        <v>2231</v>
      </c>
      <c r="E17" s="2748"/>
      <c r="F17" s="2748"/>
      <c r="G17" s="2748"/>
      <c r="H17" s="2748"/>
      <c r="I17" s="2748"/>
      <c r="J17" s="2748"/>
      <c r="K17" s="274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737" t="s">
        <v>2214</v>
      </c>
      <c r="C20" s="2737"/>
      <c r="D20" s="2737"/>
      <c r="E20" s="2737"/>
      <c r="F20" s="2737"/>
      <c r="G20" s="2737"/>
      <c r="H20" s="2737"/>
      <c r="I20" s="2737"/>
      <c r="J20" s="2737"/>
      <c r="K20" s="273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42.6" customHeight="1" x14ac:dyDescent="0.2">
      <c r="B23" s="2737" t="s">
        <v>2215</v>
      </c>
      <c r="C23" s="2737"/>
      <c r="D23" s="2737"/>
      <c r="E23" s="2737"/>
      <c r="F23" s="2737"/>
      <c r="G23" s="2737"/>
      <c r="H23" s="2737"/>
      <c r="I23" s="2737"/>
      <c r="J23" s="2737"/>
      <c r="K23" s="273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737" t="s">
        <v>2155</v>
      </c>
      <c r="C26" s="2737"/>
      <c r="D26" s="2737"/>
      <c r="E26" s="2737"/>
      <c r="F26" s="2737"/>
      <c r="G26" s="2737"/>
      <c r="H26" s="2737"/>
      <c r="I26" s="2737"/>
      <c r="J26" s="2737"/>
      <c r="K26" s="273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737" t="s">
        <v>2234</v>
      </c>
      <c r="C29" s="2737"/>
      <c r="D29" s="2737"/>
      <c r="E29" s="2737"/>
      <c r="F29" s="2737"/>
      <c r="G29" s="2737"/>
      <c r="H29" s="2737"/>
      <c r="I29" s="2737"/>
      <c r="J29" s="2737"/>
      <c r="K29" s="273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737" t="s">
        <v>2232</v>
      </c>
      <c r="C32" s="2737"/>
      <c r="D32" s="2737"/>
      <c r="E32" s="2737"/>
      <c r="F32" s="2737"/>
      <c r="G32" s="2737"/>
      <c r="H32" s="2737"/>
      <c r="I32" s="2737"/>
      <c r="J32" s="2737"/>
      <c r="K32" s="273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737" t="s">
        <v>2233</v>
      </c>
      <c r="C35" s="2737"/>
      <c r="D35" s="2737"/>
      <c r="E35" s="2737"/>
      <c r="F35" s="2737"/>
      <c r="G35" s="2737"/>
      <c r="H35" s="2737"/>
      <c r="I35" s="2737"/>
      <c r="J35" s="2737"/>
      <c r="K35" s="273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737" t="s">
        <v>2216</v>
      </c>
      <c r="C38" s="2737"/>
      <c r="D38" s="2737"/>
      <c r="E38" s="2737"/>
      <c r="F38" s="2737"/>
      <c r="G38" s="2737"/>
      <c r="H38" s="2737"/>
      <c r="I38" s="2737"/>
      <c r="J38" s="2737"/>
      <c r="K38" s="273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737" t="s">
        <v>2217</v>
      </c>
      <c r="C41" s="2737"/>
      <c r="D41" s="2737"/>
      <c r="E41" s="2737"/>
      <c r="F41" s="2737"/>
      <c r="G41" s="2737"/>
      <c r="H41" s="2737"/>
      <c r="I41" s="2737"/>
      <c r="J41" s="2737"/>
      <c r="K41" s="273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topLeftCell="A10" zoomScale="110" zoomScaleNormal="110" workbookViewId="0">
      <selection activeCell="G24" sqref="G24"/>
    </sheetView>
  </sheetViews>
  <sheetFormatPr defaultColWidth="9.140625" defaultRowHeight="12.75" x14ac:dyDescent="0.2"/>
  <cols>
    <col min="1" max="1" width="1.5703125" style="295" customWidth="1"/>
    <col min="2" max="2" width="14.7109375" style="295" customWidth="1"/>
    <col min="3" max="3" width="40" style="295" customWidth="1"/>
    <col min="4" max="4" width="45.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722" t="str">
        <f>'Single Audit Cover'!A7</f>
        <v xml:space="preserve"> Cahokia USD 187</v>
      </c>
      <c r="C1" s="2722"/>
      <c r="D1" s="2722"/>
      <c r="E1" s="1240"/>
    </row>
    <row r="2" spans="2:5" s="1058" customFormat="1" ht="12.75" customHeight="1" x14ac:dyDescent="0.2">
      <c r="B2" s="2724">
        <f>'Single Audit Cover'!E7</f>
        <v>50082187026</v>
      </c>
      <c r="C2" s="2724"/>
      <c r="D2" s="2724"/>
      <c r="E2" s="1241"/>
    </row>
    <row r="3" spans="2:5" ht="12.75" customHeight="1" x14ac:dyDescent="0.2">
      <c r="B3" s="2738" t="s">
        <v>1740</v>
      </c>
      <c r="C3" s="2738"/>
      <c r="D3" s="2738"/>
      <c r="E3" s="1050"/>
    </row>
    <row r="4" spans="2:5" s="1058" customFormat="1" ht="12.75" customHeight="1" x14ac:dyDescent="0.2">
      <c r="B4" s="2749" t="str">
        <f>'Single Audit Cover'!A4</f>
        <v>Year Ending June 30, 2020</v>
      </c>
      <c r="C4" s="2749"/>
      <c r="D4" s="2749"/>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c r="C7" s="302"/>
      <c r="D7" s="302"/>
      <c r="E7" s="302"/>
    </row>
    <row r="8" spans="2:5" ht="13.5" customHeight="1" x14ac:dyDescent="0.2">
      <c r="B8" s="1245" t="s">
        <v>2165</v>
      </c>
      <c r="C8" s="302" t="s">
        <v>2166</v>
      </c>
      <c r="D8" s="302" t="s">
        <v>2167</v>
      </c>
      <c r="E8" s="302"/>
    </row>
    <row r="9" spans="2:5" ht="13.5" customHeight="1" x14ac:dyDescent="0.2">
      <c r="B9" s="1246"/>
      <c r="C9" s="301"/>
      <c r="D9" s="301" t="s">
        <v>2168</v>
      </c>
      <c r="E9" s="301"/>
    </row>
    <row r="10" spans="2:5" ht="13.5" customHeight="1" x14ac:dyDescent="0.2">
      <c r="B10" s="1245"/>
      <c r="C10" s="301"/>
      <c r="D10" s="301" t="s">
        <v>2169</v>
      </c>
      <c r="E10" s="301"/>
    </row>
    <row r="11" spans="2:5" ht="13.5" customHeight="1" x14ac:dyDescent="0.2">
      <c r="B11" s="1245"/>
      <c r="C11" s="301"/>
      <c r="D11" s="301" t="s">
        <v>2170</v>
      </c>
      <c r="E11" s="301"/>
    </row>
    <row r="12" spans="2:5" ht="13.5" customHeight="1" x14ac:dyDescent="0.2">
      <c r="B12" s="1245"/>
      <c r="C12" s="301"/>
      <c r="D12" s="301" t="s">
        <v>2171</v>
      </c>
      <c r="E12" s="301"/>
    </row>
    <row r="13" spans="2:5" ht="13.5" customHeight="1" x14ac:dyDescent="0.2">
      <c r="B13" s="1245"/>
      <c r="C13" s="301"/>
      <c r="D13" s="301"/>
      <c r="E13" s="301"/>
    </row>
    <row r="14" spans="2:5" ht="13.5" customHeight="1" x14ac:dyDescent="0.2">
      <c r="B14" s="1245" t="s">
        <v>2172</v>
      </c>
      <c r="C14" s="301" t="s">
        <v>2173</v>
      </c>
      <c r="D14" s="301" t="s">
        <v>2174</v>
      </c>
      <c r="E14" s="301"/>
    </row>
    <row r="15" spans="2:5" ht="13.5" customHeight="1" x14ac:dyDescent="0.2">
      <c r="B15" s="1245"/>
      <c r="C15" s="301"/>
      <c r="D15" s="301" t="s">
        <v>2175</v>
      </c>
      <c r="E15" s="301"/>
    </row>
    <row r="16" spans="2:5" ht="13.5" customHeight="1" x14ac:dyDescent="0.2">
      <c r="B16" s="1245" t="s">
        <v>1159</v>
      </c>
      <c r="C16" s="301"/>
      <c r="D16" s="301" t="s">
        <v>2176</v>
      </c>
      <c r="E16" s="301"/>
    </row>
    <row r="17" spans="2:5" ht="13.5" customHeight="1" x14ac:dyDescent="0.2">
      <c r="B17" s="1245"/>
      <c r="C17" s="301"/>
      <c r="D17" s="301" t="s">
        <v>2177</v>
      </c>
      <c r="E17" s="301"/>
    </row>
    <row r="18" spans="2:5" ht="13.5" customHeight="1" x14ac:dyDescent="0.2">
      <c r="B18" s="1245"/>
      <c r="C18" s="301"/>
      <c r="D18" s="301" t="s">
        <v>2178</v>
      </c>
      <c r="E18" s="301"/>
    </row>
    <row r="19" spans="2:5" ht="13.5" customHeight="1" x14ac:dyDescent="0.2">
      <c r="B19" s="1245"/>
      <c r="C19" s="301"/>
      <c r="D19" s="301"/>
      <c r="E19" s="301"/>
    </row>
    <row r="20" spans="2:5" ht="13.5" customHeight="1" x14ac:dyDescent="0.2">
      <c r="B20" s="1245" t="s">
        <v>2183</v>
      </c>
      <c r="C20" s="301" t="s">
        <v>2179</v>
      </c>
      <c r="D20" s="301" t="s">
        <v>2180</v>
      </c>
      <c r="E20" s="301"/>
    </row>
    <row r="21" spans="2:5" ht="13.5" customHeight="1" x14ac:dyDescent="0.2">
      <c r="B21" s="1245"/>
      <c r="C21" s="301"/>
      <c r="D21" s="301" t="s">
        <v>2181</v>
      </c>
      <c r="E21" s="301"/>
    </row>
    <row r="22" spans="2:5" ht="13.5" customHeight="1" x14ac:dyDescent="0.2">
      <c r="B22" s="1245"/>
      <c r="C22" s="301"/>
      <c r="D22" s="301" t="s">
        <v>2182</v>
      </c>
      <c r="E22" s="301"/>
    </row>
    <row r="23" spans="2:5" ht="13.5" customHeight="1" x14ac:dyDescent="0.2">
      <c r="B23" s="1245"/>
      <c r="C23" s="301"/>
      <c r="D23" s="301"/>
      <c r="E23" s="301"/>
    </row>
    <row r="24" spans="2:5" ht="13.5" customHeight="1" x14ac:dyDescent="0.2">
      <c r="B24" s="1245" t="s">
        <v>2184</v>
      </c>
      <c r="C24" s="301" t="s">
        <v>2185</v>
      </c>
      <c r="D24" s="301" t="s">
        <v>2186</v>
      </c>
      <c r="E24" s="301"/>
    </row>
    <row r="25" spans="2:5" ht="13.5" customHeight="1" x14ac:dyDescent="0.2">
      <c r="B25" s="1245"/>
      <c r="C25" s="301"/>
      <c r="D25" s="301" t="s">
        <v>2187</v>
      </c>
      <c r="E25" s="301"/>
    </row>
    <row r="26" spans="2:5" ht="13.5" customHeight="1" x14ac:dyDescent="0.2">
      <c r="B26" s="1245"/>
      <c r="C26" s="301"/>
      <c r="D26" s="301" t="s">
        <v>2188</v>
      </c>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G24" sqref="G2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318" t="s">
        <v>383</v>
      </c>
      <c r="B1" s="2318"/>
      <c r="C1" s="2318"/>
      <c r="D1" s="2318"/>
      <c r="E1" s="2318"/>
      <c r="F1" s="2318"/>
      <c r="G1" s="2318"/>
      <c r="H1" s="2318"/>
      <c r="I1" s="2318"/>
      <c r="J1" s="2318"/>
      <c r="K1" s="2318"/>
      <c r="L1" s="2318"/>
      <c r="M1" s="231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73286776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1.7144E-2</v>
      </c>
      <c r="E10" s="333" t="s">
        <v>998</v>
      </c>
      <c r="F10" s="332">
        <v>3.7499999999999999E-3</v>
      </c>
      <c r="G10" s="333" t="s">
        <v>998</v>
      </c>
      <c r="H10" s="332">
        <v>2E-3</v>
      </c>
      <c r="I10" s="333" t="s">
        <v>999</v>
      </c>
      <c r="J10" s="1424">
        <f>ROUND(D10+F10+H10,5)</f>
        <v>2.2890000000000001E-2</v>
      </c>
      <c r="K10" s="217"/>
      <c r="L10" s="332">
        <v>5.0000000000000001E-4</v>
      </c>
      <c r="M10" s="217"/>
    </row>
    <row r="11" spans="1:14" ht="7.5" customHeight="1" x14ac:dyDescent="0.2">
      <c r="B11" s="217"/>
      <c r="C11" s="217"/>
      <c r="D11" s="2328" t="str">
        <f>IF(SUM(J10)&lt;=0.0999999,"","Enter the Tax Rates by moving the decimal two places to the left.")</f>
        <v/>
      </c>
      <c r="E11" s="2329"/>
      <c r="F11" s="2329"/>
      <c r="G11" s="2329"/>
      <c r="H11" s="2329"/>
      <c r="I11" s="2329"/>
      <c r="J11" s="232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48943881</v>
      </c>
      <c r="E16" s="1547"/>
      <c r="F16" s="1546">
        <f>SUM('Acct Summary 7-8'!C17,'Acct Summary 7-8'!D17,'Acct Summary 7-8'!F17)</f>
        <v>48256728</v>
      </c>
      <c r="G16" s="1547"/>
      <c r="H16" s="1546">
        <f>SUM(D16-F16)</f>
        <v>687153</v>
      </c>
      <c r="I16" s="1548"/>
      <c r="J16" s="1546">
        <f>SUM('Acct Summary 7-8'!C81,'Acct Summary 7-8'!D81,'Acct Summary 7-8'!F81,'Acct Summary 7-8'!I81)</f>
        <v>26721538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1110326</v>
      </c>
      <c r="E24" s="1547" t="s">
        <v>999</v>
      </c>
      <c r="F24" s="1549">
        <f>SUM(D22,F22,H22,J22,L22, D24)</f>
        <v>1110326</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10113575.088000001</v>
      </c>
      <c r="I31" s="345"/>
      <c r="J31" s="217"/>
      <c r="K31" s="217"/>
      <c r="L31" s="217"/>
      <c r="M31" s="217"/>
    </row>
    <row r="32" spans="1:13" ht="13.35" customHeight="1" x14ac:dyDescent="0.2">
      <c r="B32" s="346" t="s">
        <v>2048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22715000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319" t="s">
        <v>2152</v>
      </c>
      <c r="C54" s="2320"/>
      <c r="D54" s="2320"/>
      <c r="E54" s="2320"/>
      <c r="F54" s="2320"/>
      <c r="G54" s="2320"/>
      <c r="H54" s="2320"/>
      <c r="I54" s="2320"/>
      <c r="J54" s="2320"/>
      <c r="K54" s="2320"/>
      <c r="L54" s="2321"/>
      <c r="M54" s="357"/>
    </row>
    <row r="55" spans="1:13" ht="12.75" customHeight="1" x14ac:dyDescent="0.2">
      <c r="B55" s="2322"/>
      <c r="C55" s="2323"/>
      <c r="D55" s="2323"/>
      <c r="E55" s="2323"/>
      <c r="F55" s="2323"/>
      <c r="G55" s="2323"/>
      <c r="H55" s="2323"/>
      <c r="I55" s="2323"/>
      <c r="J55" s="2323"/>
      <c r="K55" s="2323"/>
      <c r="L55" s="2324"/>
      <c r="M55" s="357"/>
    </row>
    <row r="56" spans="1:13" ht="12.75" customHeight="1" x14ac:dyDescent="0.2">
      <c r="B56" s="2322"/>
      <c r="C56" s="2323"/>
      <c r="D56" s="2323"/>
      <c r="E56" s="2323"/>
      <c r="F56" s="2323"/>
      <c r="G56" s="2323"/>
      <c r="H56" s="2323"/>
      <c r="I56" s="2323"/>
      <c r="J56" s="2323"/>
      <c r="K56" s="2323"/>
      <c r="L56" s="2324"/>
      <c r="M56" s="217"/>
    </row>
    <row r="57" spans="1:13" ht="12.75" customHeight="1" x14ac:dyDescent="0.2">
      <c r="B57" s="2322"/>
      <c r="C57" s="2323"/>
      <c r="D57" s="2323"/>
      <c r="E57" s="2323"/>
      <c r="F57" s="2323"/>
      <c r="G57" s="2323"/>
      <c r="H57" s="2323"/>
      <c r="I57" s="2323"/>
      <c r="J57" s="2323"/>
      <c r="K57" s="2323"/>
      <c r="L57" s="2324"/>
      <c r="M57" s="217"/>
    </row>
    <row r="58" spans="1:13" x14ac:dyDescent="0.2">
      <c r="B58" s="2325"/>
      <c r="C58" s="2326"/>
      <c r="D58" s="2326"/>
      <c r="E58" s="2326"/>
      <c r="F58" s="2326"/>
      <c r="G58" s="2326"/>
      <c r="H58" s="2326"/>
      <c r="I58" s="2326"/>
      <c r="J58" s="2326"/>
      <c r="K58" s="2326"/>
      <c r="L58" s="232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330"/>
      <c r="D61" s="233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activeCell="G24" sqref="G2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333"/>
      <c r="B1" s="2334"/>
      <c r="C1" s="2334"/>
      <c r="D1" s="361"/>
      <c r="E1" s="361"/>
      <c r="F1" s="361"/>
      <c r="G1" s="361"/>
      <c r="H1" s="361"/>
      <c r="I1" s="361"/>
      <c r="J1" s="361"/>
      <c r="K1" s="361"/>
      <c r="L1" s="361"/>
      <c r="M1" s="361"/>
      <c r="N1" s="361"/>
      <c r="O1" s="2333"/>
      <c r="P1" s="2334"/>
      <c r="Q1" s="2334"/>
    </row>
    <row r="2" spans="1:18" ht="15" x14ac:dyDescent="0.2">
      <c r="A2" s="2337" t="s">
        <v>552</v>
      </c>
      <c r="B2" s="2337"/>
      <c r="C2" s="2337"/>
      <c r="D2" s="2337"/>
      <c r="E2" s="2337"/>
      <c r="F2" s="2337"/>
      <c r="G2" s="2337"/>
      <c r="H2" s="2337"/>
      <c r="I2" s="2337"/>
      <c r="J2" s="2337"/>
      <c r="K2" s="2337"/>
      <c r="L2" s="2337"/>
      <c r="M2" s="2337"/>
      <c r="N2" s="2337"/>
      <c r="O2" s="2337"/>
      <c r="P2" s="2337"/>
      <c r="Q2" s="2337"/>
      <c r="R2" s="2337"/>
    </row>
    <row r="3" spans="1:18" ht="12.75" x14ac:dyDescent="0.2">
      <c r="A3" s="2338" t="s">
        <v>1396</v>
      </c>
      <c r="B3" s="2338"/>
      <c r="C3" s="2338"/>
      <c r="D3" s="2338"/>
      <c r="E3" s="2338"/>
      <c r="F3" s="2338"/>
      <c r="G3" s="2338"/>
      <c r="H3" s="2338"/>
      <c r="I3" s="2338"/>
      <c r="J3" s="2338"/>
      <c r="K3" s="2338"/>
      <c r="L3" s="2338"/>
      <c r="M3" s="2338"/>
      <c r="N3" s="2338"/>
      <c r="O3" s="2338"/>
      <c r="P3" s="2338"/>
      <c r="Q3" s="2338"/>
      <c r="R3" s="2338"/>
    </row>
    <row r="4" spans="1:18" x14ac:dyDescent="0.2">
      <c r="A4" s="2339" t="s">
        <v>1537</v>
      </c>
      <c r="B4" s="2339"/>
      <c r="C4" s="2339"/>
      <c r="D4" s="2339"/>
      <c r="E4" s="2339"/>
      <c r="F4" s="2339"/>
      <c r="G4" s="2339"/>
      <c r="H4" s="2339"/>
      <c r="I4" s="2339"/>
      <c r="J4" s="2339"/>
      <c r="K4" s="2339"/>
      <c r="L4" s="2339"/>
      <c r="M4" s="2339"/>
      <c r="N4" s="2339"/>
      <c r="O4" s="2339"/>
      <c r="P4" s="2339"/>
      <c r="Q4" s="2339"/>
      <c r="R4" s="233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Cahokia USD 187</v>
      </c>
      <c r="E7" s="368"/>
      <c r="G7" s="247"/>
      <c r="H7" s="364"/>
      <c r="I7" s="364"/>
      <c r="J7" s="364"/>
      <c r="K7" s="364"/>
      <c r="L7" s="307"/>
      <c r="M7" s="307"/>
      <c r="N7" s="307"/>
      <c r="O7" s="307"/>
      <c r="P7" s="307"/>
    </row>
    <row r="8" spans="1:18" ht="12.75" x14ac:dyDescent="0.2">
      <c r="A8" s="307"/>
      <c r="B8" s="307"/>
      <c r="C8" s="366" t="s">
        <v>1115</v>
      </c>
      <c r="D8" s="369">
        <f>COVER!A13</f>
        <v>50082187026</v>
      </c>
      <c r="E8" s="370"/>
      <c r="G8" s="307"/>
      <c r="H8" s="307"/>
      <c r="I8" s="307"/>
      <c r="J8" s="307"/>
      <c r="K8" s="307"/>
      <c r="L8" s="307"/>
      <c r="M8" s="307"/>
      <c r="N8" s="307"/>
      <c r="O8" s="307"/>
      <c r="P8" s="307"/>
    </row>
    <row r="9" spans="1:18" ht="12.75" x14ac:dyDescent="0.2">
      <c r="A9" s="307"/>
      <c r="B9" s="307"/>
      <c r="C9" s="366" t="s">
        <v>708</v>
      </c>
      <c r="D9" s="371" t="str">
        <f>COVER!A15</f>
        <v>ST. CLAIR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26721538</v>
      </c>
      <c r="I12" s="380"/>
      <c r="J12" s="380"/>
      <c r="K12" s="1559">
        <f>TRUNC((H12/H13*100000),5)/100000</f>
        <v>0.54596279349999999</v>
      </c>
      <c r="L12" s="381"/>
      <c r="M12" s="337" t="s">
        <v>1134</v>
      </c>
      <c r="N12" s="337"/>
      <c r="O12" s="1562">
        <v>0.35</v>
      </c>
      <c r="P12" s="213"/>
      <c r="Q12" s="213"/>
    </row>
    <row r="13" spans="1:18" s="382" customFormat="1" ht="12.75" x14ac:dyDescent="0.2">
      <c r="A13" s="213"/>
      <c r="B13" s="377"/>
      <c r="C13" s="2335" t="s">
        <v>1313</v>
      </c>
      <c r="D13" s="2336"/>
      <c r="E13" s="213"/>
      <c r="F13" s="383" t="s">
        <v>788</v>
      </c>
      <c r="G13" s="378"/>
      <c r="H13" s="1551">
        <f>SUM('Acct Summary 7-8'!C8+'Acct Summary 7-8'!D8+'Acct Summary 7-8'!F8+'Acct Summary 7-8'!I8)+H14</f>
        <v>48943881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48256728</v>
      </c>
      <c r="I17" s="380"/>
      <c r="J17" s="389"/>
      <c r="K17" s="1559">
        <f>TRUNC((H17/H18*100000),5)/100000</f>
        <v>0.98596039000000002</v>
      </c>
      <c r="L17" s="381"/>
      <c r="M17" s="390" t="s">
        <v>1161</v>
      </c>
      <c r="O17" s="1565" t="str">
        <f>IF(AND(O16="2", J20 &gt; 2),"1",IF(AND(O16 = "1", J20 &gt; 2),"2",IF(AND(O16="1", J20 &gt;1),"1","0")))</f>
        <v>0</v>
      </c>
      <c r="P17" s="213"/>
    </row>
    <row r="18" spans="1:18" s="382" customFormat="1" ht="11.25" x14ac:dyDescent="0.2">
      <c r="A18" s="213"/>
      <c r="B18" s="377"/>
      <c r="C18" s="2335" t="s">
        <v>1306</v>
      </c>
      <c r="D18" s="2336"/>
      <c r="E18" s="213"/>
      <c r="F18" s="391" t="s">
        <v>789</v>
      </c>
      <c r="G18" s="378"/>
      <c r="H18" s="1551">
        <f>SUM('Acct Summary 7-8'!C8+'Acct Summary 7-8'!D8+'Acct Summary 7-8'!F8+'Acct Summary 7-8'!I8)+H19</f>
        <v>48943881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332" t="s">
        <v>1395</v>
      </c>
      <c r="D24" s="2332"/>
      <c r="E24" s="213"/>
      <c r="F24" s="213" t="s">
        <v>442</v>
      </c>
      <c r="G24" s="378"/>
      <c r="H24" s="1551">
        <f>SUM('Assets-Liab 5-6'!C4+'Assets-Liab 5-6'!D4+'Assets-Liab 5-6'!F4+'Assets-Liab 5-6'!I4+'Assets-Liab 5-6'!C5+'Assets-Liab 5-6'!D5+'Assets-Liab 5-6'!F5+'Assets-Liab 5-6'!I5)</f>
        <v>26197785</v>
      </c>
      <c r="I24" s="394"/>
      <c r="J24" s="394"/>
      <c r="K24" s="1555">
        <f>TRUNC(((H24/H25*100000)/100000),2)</f>
        <v>195.43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134046.46666999999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1425904.1572400001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f>IF(K32&gt;=75,"4",IF(K32&gt;=50,"3",IF(K32&gt;=25,"2",1)))</f>
        <v>1</v>
      </c>
      <c r="P31" s="211"/>
    </row>
    <row r="32" spans="1:18" s="382" customFormat="1" ht="11.25" x14ac:dyDescent="0.2">
      <c r="A32" s="213"/>
      <c r="B32" s="377"/>
      <c r="C32" s="213" t="s">
        <v>842</v>
      </c>
      <c r="D32" s="213"/>
      <c r="E32" s="213"/>
      <c r="F32" s="213"/>
      <c r="G32" s="378"/>
      <c r="H32" s="1551">
        <f>'FP Info 3'!H37</f>
        <v>22715000</v>
      </c>
      <c r="I32" s="392"/>
      <c r="J32" s="392"/>
      <c r="K32" s="1555">
        <f>TRUNC(100-((((H32/H33*100))*100)/100),2)</f>
        <v>-124.59</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10113575.088000001</v>
      </c>
      <c r="I33" s="392"/>
      <c r="J33" s="392"/>
      <c r="K33" s="379"/>
      <c r="L33" s="213"/>
      <c r="M33" s="401" t="s">
        <v>1135</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18" activePane="bottomLeft" state="frozen"/>
      <selection activeCell="G24" sqref="G24"/>
      <selection pane="bottomLeft" activeCell="G24" sqref="G2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4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4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42" t="s">
        <v>967</v>
      </c>
      <c r="B3" s="2343"/>
      <c r="C3" s="1306"/>
      <c r="D3" s="1307"/>
      <c r="E3" s="1307"/>
      <c r="F3" s="1307"/>
      <c r="G3" s="1307"/>
      <c r="H3" s="1307"/>
      <c r="I3" s="1307"/>
      <c r="J3" s="1307"/>
      <c r="K3" s="1307"/>
      <c r="L3" s="1307"/>
      <c r="M3" s="1308"/>
      <c r="N3" s="1309"/>
    </row>
    <row r="4" spans="1:14" ht="13.5" customHeight="1" x14ac:dyDescent="0.2">
      <c r="A4" s="427" t="s">
        <v>1632</v>
      </c>
      <c r="B4" s="428"/>
      <c r="C4" s="1572">
        <f>-7323612+14036475+6864-341979</f>
        <v>6377748</v>
      </c>
      <c r="D4" s="1573">
        <f>559526+3234981</f>
        <v>3794507</v>
      </c>
      <c r="E4" s="1573">
        <f>-291209-50770+341979</f>
        <v>0</v>
      </c>
      <c r="F4" s="1573">
        <f>1539191+2512645</f>
        <v>4051836</v>
      </c>
      <c r="G4" s="1573">
        <f>753482+167782</f>
        <v>921264</v>
      </c>
      <c r="H4" s="1573">
        <f>804945+558765</f>
        <v>1363710</v>
      </c>
      <c r="I4" s="1573">
        <f>4121695+7835385</f>
        <v>11957080</v>
      </c>
      <c r="J4" s="1574">
        <f>+-1050147+2290118</f>
        <v>1239971</v>
      </c>
      <c r="K4" s="1573">
        <f>949331+2926412</f>
        <v>3875743</v>
      </c>
      <c r="L4" s="1573">
        <v>236846</v>
      </c>
      <c r="M4" s="1575"/>
      <c r="N4" s="1576"/>
    </row>
    <row r="5" spans="1:14" x14ac:dyDescent="0.2">
      <c r="A5" s="427" t="s">
        <v>985</v>
      </c>
      <c r="B5" s="429">
        <v>120</v>
      </c>
      <c r="C5" s="1572">
        <v>13368</v>
      </c>
      <c r="D5" s="1573"/>
      <c r="E5" s="1573"/>
      <c r="F5" s="1573"/>
      <c r="G5" s="1573"/>
      <c r="H5" s="1573"/>
      <c r="I5" s="1573">
        <v>3246</v>
      </c>
      <c r="J5" s="1574"/>
      <c r="K5" s="1577"/>
      <c r="L5" s="1578"/>
      <c r="M5" s="1575"/>
      <c r="N5" s="1576"/>
    </row>
    <row r="6" spans="1:14" ht="13.5" customHeight="1" x14ac:dyDescent="0.2">
      <c r="A6" s="430" t="s">
        <v>414</v>
      </c>
      <c r="B6" s="429">
        <v>130</v>
      </c>
      <c r="C6" s="1572">
        <v>1229135</v>
      </c>
      <c r="D6" s="1573">
        <v>255446</v>
      </c>
      <c r="E6" s="1573">
        <v>2832311</v>
      </c>
      <c r="F6" s="1573">
        <v>136238</v>
      </c>
      <c r="G6" s="1577">
        <v>1726198</v>
      </c>
      <c r="H6" s="1577"/>
      <c r="I6" s="1573">
        <v>34059</v>
      </c>
      <c r="J6" s="1579">
        <v>2384839</v>
      </c>
      <c r="K6" s="1577">
        <v>34059</v>
      </c>
      <c r="L6" s="1580"/>
      <c r="M6" s="1575"/>
      <c r="N6" s="1576"/>
    </row>
    <row r="7" spans="1:14" ht="13.5" customHeight="1" x14ac:dyDescent="0.2">
      <c r="A7" s="430" t="s">
        <v>415</v>
      </c>
      <c r="B7" s="429">
        <v>140</v>
      </c>
      <c r="C7" s="1581">
        <v>341979</v>
      </c>
      <c r="D7" s="1574"/>
      <c r="E7" s="1574"/>
      <c r="F7" s="1574"/>
      <c r="G7" s="1574"/>
      <c r="H7" s="1574"/>
      <c r="I7" s="1574"/>
      <c r="J7" s="1574"/>
      <c r="K7" s="1574"/>
      <c r="L7" s="1582"/>
      <c r="M7" s="1575"/>
      <c r="N7" s="1576"/>
    </row>
    <row r="8" spans="1:14" ht="13.5" customHeight="1" x14ac:dyDescent="0.2">
      <c r="A8" s="430" t="s">
        <v>267</v>
      </c>
      <c r="B8" s="429">
        <v>150</v>
      </c>
      <c r="C8" s="1581">
        <f>518229+1222721</f>
        <v>1740950</v>
      </c>
      <c r="D8" s="1574">
        <v>0</v>
      </c>
      <c r="E8" s="1574"/>
      <c r="F8" s="1574">
        <v>501840</v>
      </c>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v>79099</v>
      </c>
      <c r="D10" s="1573">
        <v>120243</v>
      </c>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v>19750</v>
      </c>
      <c r="I11" s="1583"/>
      <c r="J11" s="1583">
        <v>18875</v>
      </c>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9782279</v>
      </c>
      <c r="D13" s="1587">
        <f t="shared" ref="D13:L13" si="0">SUM(D4:D12)</f>
        <v>4170196</v>
      </c>
      <c r="E13" s="1587">
        <f t="shared" si="0"/>
        <v>2832311</v>
      </c>
      <c r="F13" s="1587">
        <f t="shared" si="0"/>
        <v>4689914</v>
      </c>
      <c r="G13" s="1587">
        <f t="shared" si="0"/>
        <v>2647462</v>
      </c>
      <c r="H13" s="1587">
        <f t="shared" si="0"/>
        <v>1383460</v>
      </c>
      <c r="I13" s="1587">
        <f t="shared" si="0"/>
        <v>11994385</v>
      </c>
      <c r="J13" s="1587">
        <f t="shared" si="0"/>
        <v>3643685</v>
      </c>
      <c r="K13" s="1587">
        <f t="shared" si="0"/>
        <v>3909802</v>
      </c>
      <c r="L13" s="1587">
        <f t="shared" si="0"/>
        <v>236846</v>
      </c>
      <c r="M13" s="1575"/>
      <c r="N13" s="1576"/>
    </row>
    <row r="14" spans="1:14" ht="18" customHeight="1" thickTop="1" x14ac:dyDescent="0.2">
      <c r="A14" s="2344" t="s">
        <v>146</v>
      </c>
      <c r="B14" s="2345"/>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530288</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f>31232456-10068449</f>
        <v>21164007</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f>8195670-3329005</f>
        <v>4866665</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1477127+116963-886348-110987</f>
        <v>596755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352767</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22715000</v>
      </c>
    </row>
    <row r="23" spans="1:14" ht="13.5" customHeight="1" thickBot="1" x14ac:dyDescent="0.25">
      <c r="A23" s="1426" t="s">
        <v>638</v>
      </c>
      <c r="B23" s="1429"/>
      <c r="C23" s="1575"/>
      <c r="D23" s="1575"/>
      <c r="E23" s="1575"/>
      <c r="F23" s="1575"/>
      <c r="G23" s="1575"/>
      <c r="H23" s="1575"/>
      <c r="I23" s="1575"/>
      <c r="J23" s="1575"/>
      <c r="K23" s="1575"/>
      <c r="L23" s="1575"/>
      <c r="M23" s="1594">
        <f>SUM(M15:M22)</f>
        <v>27510482</v>
      </c>
      <c r="N23" s="1594">
        <f>SUM(N21:N22)</f>
        <v>22715000</v>
      </c>
    </row>
    <row r="24" spans="1:14" ht="18" customHeight="1" thickTop="1" x14ac:dyDescent="0.2">
      <c r="A24" s="2346" t="s">
        <v>594</v>
      </c>
      <c r="B24" s="2347"/>
      <c r="C24" s="1595"/>
      <c r="D24" s="1590"/>
      <c r="E24" s="1590"/>
      <c r="F24" s="1590"/>
      <c r="G24" s="1590"/>
      <c r="H24" s="1590"/>
      <c r="I24" s="1590"/>
      <c r="J24" s="1590"/>
      <c r="K24" s="1590"/>
      <c r="L24" s="1590"/>
      <c r="M24" s="1589"/>
      <c r="N24" s="1596"/>
    </row>
    <row r="25" spans="1:14" x14ac:dyDescent="0.2">
      <c r="A25" s="430" t="s">
        <v>640</v>
      </c>
      <c r="B25" s="429">
        <v>410</v>
      </c>
      <c r="C25" s="1583"/>
      <c r="D25" s="1583"/>
      <c r="E25" s="1583">
        <v>341979</v>
      </c>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v>62806</v>
      </c>
      <c r="D27" s="1574">
        <v>94122</v>
      </c>
      <c r="E27" s="1574"/>
      <c r="F27" s="1574">
        <v>4355</v>
      </c>
      <c r="G27" s="1574"/>
      <c r="H27" s="1574">
        <v>74831</v>
      </c>
      <c r="I27" s="1574"/>
      <c r="J27" s="1574">
        <v>8751</v>
      </c>
      <c r="K27" s="1574"/>
      <c r="L27" s="1575"/>
      <c r="M27" s="1575"/>
      <c r="N27" s="1575"/>
    </row>
    <row r="28" spans="1:14" ht="13.5" customHeight="1" x14ac:dyDescent="0.2">
      <c r="A28" s="430" t="s">
        <v>643</v>
      </c>
      <c r="B28" s="429">
        <v>440</v>
      </c>
      <c r="C28" s="1574"/>
      <c r="D28" s="1574"/>
      <c r="E28" s="1579"/>
      <c r="F28" s="1574"/>
      <c r="G28" s="1579"/>
      <c r="H28" s="1579"/>
      <c r="I28" s="1574"/>
      <c r="J28" s="1574"/>
      <c r="K28" s="1584">
        <v>96084</v>
      </c>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1105701</v>
      </c>
      <c r="D30" s="1579"/>
      <c r="E30" s="1574"/>
      <c r="F30" s="1574"/>
      <c r="G30" s="1574">
        <f>12748+18120+20652</f>
        <v>51520</v>
      </c>
      <c r="H30" s="1574"/>
      <c r="I30" s="1574"/>
      <c r="J30" s="1574">
        <f>1241+1377+75+25+170+128+31+90+375+793+380+64+200</f>
        <v>4949</v>
      </c>
      <c r="K30" s="1583"/>
      <c r="L30" s="1575"/>
      <c r="M30" s="1575"/>
      <c r="N30" s="1575"/>
    </row>
    <row r="31" spans="1:14" ht="13.5" customHeight="1" x14ac:dyDescent="0.2">
      <c r="A31" s="430" t="s">
        <v>646</v>
      </c>
      <c r="B31" s="429">
        <v>480</v>
      </c>
      <c r="C31" s="1573">
        <f>28238+7657+118332+26478+124562+63686+4325+1000+2495+1025+1650+200+4725+4235+300+970+687+3514+872+1245+329767+17969+1960+461+620+886+1012+404+603+220+8577+16080+368+50-19493</f>
        <v>755680</v>
      </c>
      <c r="D31" s="1574"/>
      <c r="E31" s="1574"/>
      <c r="F31" s="1573"/>
      <c r="G31" s="1574"/>
      <c r="H31" s="1574"/>
      <c r="I31" s="1574"/>
      <c r="J31" s="1574"/>
      <c r="K31" s="1574"/>
      <c r="L31" s="1575"/>
      <c r="M31" s="1575"/>
      <c r="N31" s="1575"/>
    </row>
    <row r="32" spans="1:14" ht="13.5" customHeight="1" x14ac:dyDescent="0.2">
      <c r="A32" s="434" t="s">
        <v>647</v>
      </c>
      <c r="B32" s="435">
        <v>490</v>
      </c>
      <c r="C32" s="1599">
        <f>187694+1229135</f>
        <v>1416829</v>
      </c>
      <c r="D32" s="1599">
        <f>50000+255446</f>
        <v>305446</v>
      </c>
      <c r="E32" s="1579">
        <v>2832311</v>
      </c>
      <c r="F32" s="1579">
        <v>136238</v>
      </c>
      <c r="G32" s="1579">
        <v>1726198</v>
      </c>
      <c r="H32" s="1579"/>
      <c r="I32" s="1579">
        <v>34059</v>
      </c>
      <c r="J32" s="1579">
        <v>2384839</v>
      </c>
      <c r="K32" s="1584">
        <v>34059</v>
      </c>
      <c r="L32" s="1575"/>
      <c r="M32" s="1575"/>
      <c r="N32" s="1575"/>
    </row>
    <row r="33" spans="1:14" ht="13.5" customHeight="1" x14ac:dyDescent="0.2">
      <c r="A33" s="436" t="s">
        <v>300</v>
      </c>
      <c r="B33" s="435">
        <v>493</v>
      </c>
      <c r="C33" s="1574"/>
      <c r="D33" s="1574"/>
      <c r="E33" s="1574"/>
      <c r="F33" s="1574"/>
      <c r="G33" s="1574"/>
      <c r="H33" s="1574"/>
      <c r="I33" s="1574"/>
      <c r="J33" s="1574"/>
      <c r="K33" s="1574"/>
      <c r="L33" s="1574">
        <v>236846</v>
      </c>
      <c r="M33" s="1575"/>
      <c r="N33" s="1576"/>
    </row>
    <row r="34" spans="1:14" ht="13.5" customHeight="1" thickBot="1" x14ac:dyDescent="0.25">
      <c r="A34" s="1427" t="s">
        <v>649</v>
      </c>
      <c r="B34" s="1428"/>
      <c r="C34" s="1600">
        <f>SUM(C25:C33)</f>
        <v>3341016</v>
      </c>
      <c r="D34" s="1600">
        <f t="shared" ref="D34:K34" si="1">SUM(D25:D33)</f>
        <v>399568</v>
      </c>
      <c r="E34" s="1600">
        <f t="shared" si="1"/>
        <v>3174290</v>
      </c>
      <c r="F34" s="1600">
        <f t="shared" si="1"/>
        <v>140593</v>
      </c>
      <c r="G34" s="1600">
        <f t="shared" si="1"/>
        <v>1777718</v>
      </c>
      <c r="H34" s="1600">
        <f t="shared" si="1"/>
        <v>74831</v>
      </c>
      <c r="I34" s="1600">
        <f t="shared" si="1"/>
        <v>34059</v>
      </c>
      <c r="J34" s="1600">
        <f t="shared" si="1"/>
        <v>2398539</v>
      </c>
      <c r="K34" s="1600">
        <f t="shared" si="1"/>
        <v>130143</v>
      </c>
      <c r="L34" s="1601">
        <f>SUM(L33)</f>
        <v>236846</v>
      </c>
      <c r="M34" s="1575"/>
      <c r="N34" s="1585"/>
    </row>
    <row r="35" spans="1:14" ht="18" customHeight="1" thickTop="1" x14ac:dyDescent="0.2">
      <c r="A35" s="2348" t="s">
        <v>526</v>
      </c>
      <c r="B35" s="2349"/>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22715000</v>
      </c>
    </row>
    <row r="37" spans="1:14" ht="13.5" thickBot="1" x14ac:dyDescent="0.25">
      <c r="A37" s="1426" t="s">
        <v>648</v>
      </c>
      <c r="B37" s="1429"/>
      <c r="C37" s="1582"/>
      <c r="D37" s="1582"/>
      <c r="E37" s="1582"/>
      <c r="F37" s="1582"/>
      <c r="G37" s="1582"/>
      <c r="H37" s="1582"/>
      <c r="I37" s="1582"/>
      <c r="J37" s="1582"/>
      <c r="K37" s="1582"/>
      <c r="L37" s="1585"/>
      <c r="M37" s="1575"/>
      <c r="N37" s="1594">
        <f>SUM(N36:N36)</f>
        <v>22715000</v>
      </c>
    </row>
    <row r="38" spans="1:14" s="307" customFormat="1" ht="13.5" customHeight="1" thickTop="1" x14ac:dyDescent="0.2">
      <c r="A38" s="438" t="s">
        <v>417</v>
      </c>
      <c r="B38" s="432">
        <v>714</v>
      </c>
      <c r="C38" s="1573"/>
      <c r="D38" s="1573"/>
      <c r="E38" s="1573"/>
      <c r="F38" s="1573">
        <v>4549321</v>
      </c>
      <c r="G38" s="1573">
        <v>869744</v>
      </c>
      <c r="H38" s="1573"/>
      <c r="I38" s="1573">
        <v>11960326</v>
      </c>
      <c r="J38" s="1574">
        <f>516832+728314</f>
        <v>1245146</v>
      </c>
      <c r="K38" s="1573">
        <f>947732+2831927</f>
        <v>3779659</v>
      </c>
      <c r="L38" s="1586"/>
      <c r="M38" s="1604"/>
      <c r="N38" s="1604"/>
    </row>
    <row r="39" spans="1:14" s="307" customFormat="1" ht="13.5" customHeight="1" x14ac:dyDescent="0.2">
      <c r="A39" s="438" t="s">
        <v>339</v>
      </c>
      <c r="B39" s="432">
        <v>730</v>
      </c>
      <c r="C39" s="1573">
        <v>6441263</v>
      </c>
      <c r="D39" s="1573">
        <f>691781+3078847</f>
        <v>3770628</v>
      </c>
      <c r="E39" s="1573">
        <v>-341979</v>
      </c>
      <c r="F39" s="1573"/>
      <c r="G39" s="1573"/>
      <c r="H39" s="1573">
        <f>951219+357410</f>
        <v>1308629</v>
      </c>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27510482</v>
      </c>
      <c r="N40" s="1604"/>
    </row>
    <row r="41" spans="1:14" ht="13.5" customHeight="1" thickBot="1" x14ac:dyDescent="0.25">
      <c r="A41" s="1426" t="s">
        <v>650</v>
      </c>
      <c r="B41" s="1405"/>
      <c r="C41" s="1594">
        <f>(SUM(C34,C37,C38,C39))</f>
        <v>9782279</v>
      </c>
      <c r="D41" s="1594">
        <f t="shared" ref="D41:L41" si="2">SUM(D34,D37,D38:D39)</f>
        <v>4170196</v>
      </c>
      <c r="E41" s="1594">
        <f t="shared" si="2"/>
        <v>2832311</v>
      </c>
      <c r="F41" s="1594">
        <f t="shared" si="2"/>
        <v>4689914</v>
      </c>
      <c r="G41" s="1594">
        <f t="shared" si="2"/>
        <v>2647462</v>
      </c>
      <c r="H41" s="1594">
        <f t="shared" si="2"/>
        <v>1383460</v>
      </c>
      <c r="I41" s="1594">
        <f t="shared" si="2"/>
        <v>11994385</v>
      </c>
      <c r="J41" s="1594">
        <f t="shared" si="2"/>
        <v>3643685</v>
      </c>
      <c r="K41" s="1594">
        <f t="shared" si="2"/>
        <v>3909802</v>
      </c>
      <c r="L41" s="1594">
        <f t="shared" si="2"/>
        <v>236846</v>
      </c>
      <c r="M41" s="1594">
        <f>SUM(M40)</f>
        <v>27510482</v>
      </c>
      <c r="N41" s="1594">
        <f>SUM(N37)</f>
        <v>22715000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activeCell="G24" sqref="G24"/>
      <selection pane="bottomLeft" activeCell="G24" sqref="G2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5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5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370" t="s">
        <v>1165</v>
      </c>
      <c r="B3" s="2371"/>
      <c r="C3" s="1311"/>
      <c r="D3" s="1312"/>
      <c r="E3" s="1312"/>
      <c r="F3" s="1312"/>
      <c r="G3" s="1312"/>
      <c r="H3" s="1312"/>
      <c r="I3" s="1312"/>
      <c r="J3" s="1312"/>
      <c r="K3" s="1313"/>
      <c r="L3" s="446"/>
    </row>
    <row r="4" spans="1:13" ht="15.75" customHeight="1" x14ac:dyDescent="0.2">
      <c r="A4" s="1537" t="s">
        <v>1482</v>
      </c>
      <c r="B4" s="1538">
        <v>1000</v>
      </c>
      <c r="C4" s="1606">
        <f>'Revenues 9-14'!C109</f>
        <v>4051546</v>
      </c>
      <c r="D4" s="1606">
        <f>'Revenues 9-14'!D109</f>
        <v>278594</v>
      </c>
      <c r="E4" s="1606">
        <f>'Revenues 9-14'!E109</f>
        <v>2297370</v>
      </c>
      <c r="F4" s="1606">
        <f>'Revenues 9-14'!F109</f>
        <v>326384</v>
      </c>
      <c r="G4" s="1606">
        <f>'Revenues 9-14'!G109</f>
        <v>1643674</v>
      </c>
      <c r="H4" s="1606">
        <f>'Revenues 9-14'!H109</f>
        <v>9270</v>
      </c>
      <c r="I4" s="1606">
        <f>'Revenues 9-14'!I109</f>
        <v>81503</v>
      </c>
      <c r="J4" s="1606">
        <f>'Revenues 9-14'!J109</f>
        <v>2947585</v>
      </c>
      <c r="K4" s="1606">
        <f>'Revenues 9-14'!K109</f>
        <v>73319</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29508835</v>
      </c>
      <c r="D6" s="1607">
        <f>'Revenues 9-14'!D170</f>
        <v>2650000</v>
      </c>
      <c r="E6" s="1607">
        <f>'Revenues 9-14'!E170</f>
        <v>631186</v>
      </c>
      <c r="F6" s="1607">
        <f>'Revenues 9-14'!F170</f>
        <v>2594245</v>
      </c>
      <c r="G6" s="1607">
        <f>'Revenues 9-14'!G170</f>
        <v>28254</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9452774</v>
      </c>
      <c r="D7" s="1607">
        <f>'Revenues 9-14'!D267</f>
        <v>0</v>
      </c>
      <c r="E7" s="1607">
        <f>'Revenues 9-14'!E267</f>
        <v>0</v>
      </c>
      <c r="F7" s="1607">
        <f>'Revenues 9-14'!F267</f>
        <v>0</v>
      </c>
      <c r="G7" s="1607">
        <f>'Revenues 9-14'!G267</f>
        <v>261999</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43013155</v>
      </c>
      <c r="D8" s="1594">
        <f t="shared" ref="D8:K8" si="0">SUM(D4:D7)</f>
        <v>2928594</v>
      </c>
      <c r="E8" s="1594">
        <f t="shared" si="0"/>
        <v>2928556</v>
      </c>
      <c r="F8" s="1594">
        <f t="shared" si="0"/>
        <v>2920629</v>
      </c>
      <c r="G8" s="1594">
        <f t="shared" si="0"/>
        <v>1933927</v>
      </c>
      <c r="H8" s="1594">
        <f t="shared" si="0"/>
        <v>9270</v>
      </c>
      <c r="I8" s="1594">
        <f t="shared" si="0"/>
        <v>81503</v>
      </c>
      <c r="J8" s="1594">
        <f t="shared" si="0"/>
        <v>2947585</v>
      </c>
      <c r="K8" s="1594">
        <f t="shared" si="0"/>
        <v>73319</v>
      </c>
      <c r="L8" s="325"/>
    </row>
    <row r="9" spans="1:13" ht="15.75" thickTop="1" x14ac:dyDescent="0.2">
      <c r="A9" s="449" t="s">
        <v>1634</v>
      </c>
      <c r="B9" s="450">
        <v>3998</v>
      </c>
      <c r="C9" s="1586">
        <v>15496159</v>
      </c>
      <c r="D9" s="1613"/>
      <c r="E9" s="1586"/>
      <c r="F9" s="1586"/>
      <c r="G9" s="1614"/>
      <c r="H9" s="1586"/>
      <c r="I9" s="1609" t="s">
        <v>1159</v>
      </c>
      <c r="J9" s="1583"/>
      <c r="K9" s="1586"/>
      <c r="L9" s="325"/>
    </row>
    <row r="10" spans="1:13" s="452" customFormat="1" ht="13.5" thickBot="1" x14ac:dyDescent="0.25">
      <c r="A10" s="1426" t="s">
        <v>1163</v>
      </c>
      <c r="B10" s="1407"/>
      <c r="C10" s="1594">
        <f>SUM(C8:C9)</f>
        <v>58509314</v>
      </c>
      <c r="D10" s="1594">
        <f t="shared" ref="D10:K10" si="1">SUM(D8:D9)</f>
        <v>2928594</v>
      </c>
      <c r="E10" s="1594">
        <f t="shared" si="1"/>
        <v>2928556</v>
      </c>
      <c r="F10" s="1594">
        <f t="shared" si="1"/>
        <v>2920629</v>
      </c>
      <c r="G10" s="1594">
        <f t="shared" si="1"/>
        <v>1933927</v>
      </c>
      <c r="H10" s="1594">
        <f t="shared" si="1"/>
        <v>9270</v>
      </c>
      <c r="I10" s="1594">
        <f t="shared" si="1"/>
        <v>81503</v>
      </c>
      <c r="J10" s="1594">
        <f t="shared" si="1"/>
        <v>2947585</v>
      </c>
      <c r="K10" s="1594">
        <f t="shared" si="1"/>
        <v>73319</v>
      </c>
      <c r="L10" s="451"/>
    </row>
    <row r="11" spans="1:13" s="452" customFormat="1" ht="16.7" customHeight="1" thickTop="1" x14ac:dyDescent="0.2">
      <c r="A11" s="2344" t="s">
        <v>1166</v>
      </c>
      <c r="B11" s="2345"/>
      <c r="C11" s="1602"/>
      <c r="D11" s="1603"/>
      <c r="E11" s="1603"/>
      <c r="F11" s="1603"/>
      <c r="G11" s="1603"/>
      <c r="H11" s="1603"/>
      <c r="I11" s="1603"/>
      <c r="J11" s="1603"/>
      <c r="K11" s="1615"/>
      <c r="L11" s="451"/>
    </row>
    <row r="12" spans="1:13" ht="15.75" customHeight="1" x14ac:dyDescent="0.2">
      <c r="A12" s="1314" t="s">
        <v>453</v>
      </c>
      <c r="B12" s="1316">
        <v>1000</v>
      </c>
      <c r="C12" s="1606">
        <f>'Expenditures 15-22'!K33</f>
        <v>24026145</v>
      </c>
      <c r="D12" s="1616" t="s">
        <v>1159</v>
      </c>
      <c r="E12" s="1575" t="s">
        <v>1159</v>
      </c>
      <c r="F12" s="1575" t="s">
        <v>1159</v>
      </c>
      <c r="G12" s="1606">
        <f>'Expenditures 15-22'!K229</f>
        <v>562078</v>
      </c>
      <c r="H12" s="1617"/>
      <c r="I12" s="1575" t="s">
        <v>1159</v>
      </c>
      <c r="J12" s="1575" t="s">
        <v>1159</v>
      </c>
      <c r="K12" s="1617" t="s">
        <v>1159</v>
      </c>
      <c r="L12" s="325"/>
    </row>
    <row r="13" spans="1:13" ht="15.75" customHeight="1" x14ac:dyDescent="0.2">
      <c r="A13" s="1314" t="s">
        <v>454</v>
      </c>
      <c r="B13" s="1316">
        <v>2000</v>
      </c>
      <c r="C13" s="1607">
        <f>'Expenditures 15-22'!K74</f>
        <v>18069724</v>
      </c>
      <c r="D13" s="1607">
        <f>'Expenditures 15-22'!K129</f>
        <v>2652196</v>
      </c>
      <c r="E13" s="1576" t="s">
        <v>1159</v>
      </c>
      <c r="F13" s="1607">
        <f>'Expenditures 15-22'!K184</f>
        <v>2906976</v>
      </c>
      <c r="G13" s="1607">
        <f>'Expenditures 15-22'!K279</f>
        <v>1445073</v>
      </c>
      <c r="H13" s="1607">
        <f>'Expenditures 15-22'!K303</f>
        <v>402850</v>
      </c>
      <c r="I13" s="1575" t="s">
        <v>1159</v>
      </c>
      <c r="J13" s="1607">
        <f>'Expenditures 15-22'!K330</f>
        <v>2219271</v>
      </c>
      <c r="K13" s="1618">
        <f>'Expenditures 15-22'!K352</f>
        <v>2241392</v>
      </c>
      <c r="L13" s="325"/>
    </row>
    <row r="14" spans="1:13" ht="15.75" customHeight="1" x14ac:dyDescent="0.2">
      <c r="A14" s="1314" t="s">
        <v>446</v>
      </c>
      <c r="B14" s="1316">
        <v>3000</v>
      </c>
      <c r="C14" s="1607">
        <f>'Expenditures 15-22'!K75</f>
        <v>530560</v>
      </c>
      <c r="D14" s="1607">
        <f>'Expenditures 15-22'!K130</f>
        <v>0</v>
      </c>
      <c r="E14" s="1616" t="s">
        <v>1159</v>
      </c>
      <c r="F14" s="1607">
        <f>'Expenditures 15-22'!K185</f>
        <v>0</v>
      </c>
      <c r="G14" s="1607">
        <f>'Expenditures 15-22'!K280</f>
        <v>62269</v>
      </c>
      <c r="H14" s="1612"/>
      <c r="I14" s="1575" t="s">
        <v>1159</v>
      </c>
      <c r="J14" s="1575" t="s">
        <v>1159</v>
      </c>
      <c r="K14" s="1612" t="s">
        <v>1159</v>
      </c>
      <c r="L14" s="325"/>
    </row>
    <row r="15" spans="1:13" ht="15.75" customHeight="1" x14ac:dyDescent="0.2">
      <c r="A15" s="1314" t="s">
        <v>107</v>
      </c>
      <c r="B15" s="1316">
        <v>4000</v>
      </c>
      <c r="C15" s="1607">
        <f>'Expenditures 15-22'!K102</f>
        <v>71127</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2891817</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42697556</v>
      </c>
      <c r="D17" s="1594">
        <f t="shared" si="2"/>
        <v>2652196</v>
      </c>
      <c r="E17" s="1594">
        <f t="shared" si="2"/>
        <v>2891817</v>
      </c>
      <c r="F17" s="1594">
        <f t="shared" si="2"/>
        <v>2906976</v>
      </c>
      <c r="G17" s="1594">
        <f t="shared" si="2"/>
        <v>2069420</v>
      </c>
      <c r="H17" s="1594">
        <f t="shared" si="2"/>
        <v>402850</v>
      </c>
      <c r="I17" s="1575"/>
      <c r="J17" s="1594">
        <f>SUM(J12:J16)</f>
        <v>2219271</v>
      </c>
      <c r="K17" s="1594">
        <f>SUM(K12:K16)</f>
        <v>2241392</v>
      </c>
      <c r="L17" s="325"/>
    </row>
    <row r="18" spans="1:12" ht="15" customHeight="1" thickTop="1" x14ac:dyDescent="0.2">
      <c r="A18" s="1430" t="s">
        <v>1635</v>
      </c>
      <c r="B18" s="1431">
        <v>4180</v>
      </c>
      <c r="C18" s="1606">
        <f t="shared" ref="C18:H18" si="3">C9</f>
        <v>15496159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58193715</v>
      </c>
      <c r="D19" s="1594">
        <f t="shared" si="4"/>
        <v>2652196</v>
      </c>
      <c r="E19" s="1594">
        <f t="shared" si="4"/>
        <v>2891817</v>
      </c>
      <c r="F19" s="1594">
        <f t="shared" si="4"/>
        <v>2906976</v>
      </c>
      <c r="G19" s="1594">
        <f t="shared" si="4"/>
        <v>2069420</v>
      </c>
      <c r="H19" s="1594">
        <f t="shared" si="4"/>
        <v>402850</v>
      </c>
      <c r="I19" s="1575"/>
      <c r="J19" s="1594">
        <f>SUM(J17:J18)</f>
        <v>2219271</v>
      </c>
      <c r="K19" s="1594">
        <f>SUM(K17:K18)</f>
        <v>2241392</v>
      </c>
      <c r="L19" s="325"/>
    </row>
    <row r="20" spans="1:12" ht="16.5" thickTop="1" thickBot="1" x14ac:dyDescent="0.25">
      <c r="A20" s="2360" t="s">
        <v>1636</v>
      </c>
      <c r="B20" s="2361"/>
      <c r="C20" s="1622">
        <f>C8-C17</f>
        <v>315599</v>
      </c>
      <c r="D20" s="1622">
        <f t="shared" ref="D20:K20" si="5">D8-D17</f>
        <v>276398</v>
      </c>
      <c r="E20" s="1622">
        <f t="shared" si="5"/>
        <v>36739</v>
      </c>
      <c r="F20" s="1622">
        <f t="shared" si="5"/>
        <v>13653</v>
      </c>
      <c r="G20" s="1622">
        <f t="shared" si="5"/>
        <v>-135493</v>
      </c>
      <c r="H20" s="1622">
        <f t="shared" si="5"/>
        <v>-393580</v>
      </c>
      <c r="I20" s="1622">
        <f t="shared" si="5"/>
        <v>81503</v>
      </c>
      <c r="J20" s="1622">
        <f t="shared" si="5"/>
        <v>728314</v>
      </c>
      <c r="K20" s="1622">
        <f t="shared" si="5"/>
        <v>-2168073</v>
      </c>
      <c r="L20" s="325"/>
    </row>
    <row r="21" spans="1:12" ht="16.7" customHeight="1" thickTop="1" x14ac:dyDescent="0.2">
      <c r="A21" s="2372" t="s">
        <v>591</v>
      </c>
      <c r="B21" s="2373"/>
      <c r="C21" s="1602"/>
      <c r="D21" s="1603"/>
      <c r="E21" s="1603"/>
      <c r="F21" s="1603"/>
      <c r="G21" s="1603"/>
      <c r="H21" s="1603"/>
      <c r="I21" s="1603"/>
      <c r="J21" s="1603"/>
      <c r="K21" s="1615"/>
      <c r="L21" s="453"/>
    </row>
    <row r="22" spans="1:12" ht="15.75" customHeight="1" collapsed="1" x14ac:dyDescent="0.2">
      <c r="A22" s="2368" t="s">
        <v>592</v>
      </c>
      <c r="B22" s="2369"/>
      <c r="C22" s="1582"/>
      <c r="D22" s="1582"/>
      <c r="E22" s="1582"/>
      <c r="F22" s="1582"/>
      <c r="G22" s="1582"/>
      <c r="H22" s="1582"/>
      <c r="I22" s="1582"/>
      <c r="J22" s="1582"/>
      <c r="K22" s="1582"/>
      <c r="L22" s="325"/>
    </row>
    <row r="23" spans="1:12" s="433" customFormat="1" ht="15.75" customHeight="1" x14ac:dyDescent="0.2">
      <c r="A23" s="2364" t="s">
        <v>290</v>
      </c>
      <c r="B23" s="2365"/>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v>2802449</v>
      </c>
      <c r="E25" s="1574"/>
      <c r="F25" s="1574">
        <v>1390000</v>
      </c>
      <c r="G25" s="1574"/>
      <c r="H25" s="1574">
        <v>750990</v>
      </c>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366" t="s">
        <v>974</v>
      </c>
      <c r="B32" s="2367"/>
      <c r="C32" s="1582"/>
      <c r="D32" s="1582"/>
      <c r="E32" s="1580"/>
      <c r="F32" s="1582"/>
      <c r="G32" s="1582"/>
      <c r="H32" s="1582"/>
      <c r="I32" s="1582"/>
      <c r="J32" s="1582"/>
      <c r="K32" s="1582"/>
      <c r="L32" s="453"/>
    </row>
    <row r="33" spans="1:12" s="433" customFormat="1" x14ac:dyDescent="0.2">
      <c r="A33" s="1260" t="s">
        <v>409</v>
      </c>
      <c r="B33" s="454">
        <v>7210</v>
      </c>
      <c r="C33" s="1574"/>
      <c r="D33" s="1574"/>
      <c r="E33" s="1574">
        <v>9834898</v>
      </c>
      <c r="F33" s="1574"/>
      <c r="G33" s="1582"/>
      <c r="H33" s="1574"/>
      <c r="I33" s="1574">
        <v>10920102</v>
      </c>
      <c r="J33" s="1574"/>
      <c r="K33" s="1574">
        <v>4075000</v>
      </c>
      <c r="L33" s="453"/>
    </row>
    <row r="34" spans="1:12" s="433" customFormat="1" x14ac:dyDescent="0.2">
      <c r="A34" s="1260" t="s">
        <v>994</v>
      </c>
      <c r="B34" s="454">
        <v>7220</v>
      </c>
      <c r="C34" s="1574"/>
      <c r="D34" s="1574"/>
      <c r="E34" s="1574"/>
      <c r="F34" s="1574"/>
      <c r="G34" s="1582"/>
      <c r="H34" s="1583"/>
      <c r="I34" s="1583">
        <v>2555845</v>
      </c>
      <c r="J34" s="1583"/>
      <c r="K34" s="1583">
        <v>1090451</v>
      </c>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374" t="s">
        <v>371</v>
      </c>
      <c r="B44" s="2375"/>
      <c r="C44" s="1624">
        <f>SUM(C24:C43)</f>
        <v>0</v>
      </c>
      <c r="D44" s="1624">
        <f t="shared" ref="D44:K44" si="6">SUM(D24:D43)</f>
        <v>2802449</v>
      </c>
      <c r="E44" s="1624">
        <f t="shared" si="6"/>
        <v>9834898</v>
      </c>
      <c r="F44" s="1624">
        <f t="shared" si="6"/>
        <v>1390000</v>
      </c>
      <c r="G44" s="1624">
        <f t="shared" si="6"/>
        <v>0</v>
      </c>
      <c r="H44" s="1624">
        <f t="shared" si="6"/>
        <v>750990</v>
      </c>
      <c r="I44" s="1624">
        <f t="shared" si="6"/>
        <v>13475947</v>
      </c>
      <c r="J44" s="1624">
        <f t="shared" si="6"/>
        <v>0</v>
      </c>
      <c r="K44" s="1624">
        <f t="shared" si="6"/>
        <v>5165451</v>
      </c>
      <c r="L44" s="453"/>
    </row>
    <row r="45" spans="1:12" ht="15.75" customHeight="1" thickTop="1" x14ac:dyDescent="0.2">
      <c r="A45" s="2368" t="s">
        <v>108</v>
      </c>
      <c r="B45" s="2369"/>
      <c r="C45" s="1625"/>
      <c r="D45" s="1625"/>
      <c r="E45" s="1625"/>
      <c r="F45" s="1625"/>
      <c r="G45" s="1625"/>
      <c r="H45" s="1625"/>
      <c r="I45" s="1625"/>
      <c r="J45" s="1625"/>
      <c r="K45" s="1625"/>
      <c r="L45" s="325"/>
    </row>
    <row r="46" spans="1:12" s="433" customFormat="1" ht="15.75" customHeight="1" x14ac:dyDescent="0.2">
      <c r="A46" s="2376" t="s">
        <v>109</v>
      </c>
      <c r="B46" s="2377"/>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4943439</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f>2514367+7320531</f>
        <v>9834898</v>
      </c>
      <c r="F75" s="1628"/>
      <c r="G75" s="1628"/>
      <c r="H75" s="1628"/>
      <c r="I75" s="1626">
        <f>475980+386016</f>
        <v>861996</v>
      </c>
      <c r="J75" s="1626"/>
      <c r="K75" s="1628">
        <f>93547+71904</f>
        <v>165451</v>
      </c>
      <c r="L75" s="453"/>
    </row>
    <row r="76" spans="1:12" s="433" customFormat="1" ht="14.25" thickTop="1" thickBot="1" x14ac:dyDescent="0.25">
      <c r="A76" s="2350" t="s">
        <v>437</v>
      </c>
      <c r="B76" s="2351"/>
      <c r="C76" s="1624">
        <f t="shared" ref="C76:K76" si="7">SUM(C47:C75)</f>
        <v>0</v>
      </c>
      <c r="D76" s="1624">
        <f t="shared" si="7"/>
        <v>0</v>
      </c>
      <c r="E76" s="1624">
        <f t="shared" si="7"/>
        <v>9834898</v>
      </c>
      <c r="F76" s="1624">
        <f t="shared" si="7"/>
        <v>0</v>
      </c>
      <c r="G76" s="1624">
        <f t="shared" si="7"/>
        <v>0</v>
      </c>
      <c r="H76" s="1624">
        <f t="shared" si="7"/>
        <v>0</v>
      </c>
      <c r="I76" s="1624">
        <f t="shared" si="7"/>
        <v>5805435</v>
      </c>
      <c r="J76" s="1624">
        <f t="shared" si="7"/>
        <v>0</v>
      </c>
      <c r="K76" s="1624">
        <f t="shared" si="7"/>
        <v>165451</v>
      </c>
      <c r="L76" s="453"/>
    </row>
    <row r="77" spans="1:12" ht="14.25" thickTop="1" thickBot="1" x14ac:dyDescent="0.25">
      <c r="A77" s="2352" t="s">
        <v>1167</v>
      </c>
      <c r="B77" s="2353"/>
      <c r="C77" s="1624">
        <f t="shared" ref="C77:K77" si="8">C44-C76</f>
        <v>0</v>
      </c>
      <c r="D77" s="1624">
        <f t="shared" si="8"/>
        <v>2802449</v>
      </c>
      <c r="E77" s="1624">
        <f t="shared" si="8"/>
        <v>0</v>
      </c>
      <c r="F77" s="1624">
        <f t="shared" si="8"/>
        <v>1390000</v>
      </c>
      <c r="G77" s="1624">
        <f t="shared" si="8"/>
        <v>0</v>
      </c>
      <c r="H77" s="1624">
        <f t="shared" si="8"/>
        <v>750990</v>
      </c>
      <c r="I77" s="1624">
        <f t="shared" si="8"/>
        <v>7670512</v>
      </c>
      <c r="J77" s="1624">
        <f t="shared" si="8"/>
        <v>0</v>
      </c>
      <c r="K77" s="1624">
        <f t="shared" si="8"/>
        <v>5000000</v>
      </c>
      <c r="L77" s="325"/>
    </row>
    <row r="78" spans="1:12" ht="21.75" customHeight="1" thickTop="1" thickBot="1" x14ac:dyDescent="0.25">
      <c r="A78" s="2356" t="s">
        <v>593</v>
      </c>
      <c r="B78" s="2357"/>
      <c r="C78" s="1629">
        <f t="shared" ref="C78:K78" si="9">C20+C77</f>
        <v>315599</v>
      </c>
      <c r="D78" s="1629">
        <f t="shared" si="9"/>
        <v>3078847</v>
      </c>
      <c r="E78" s="1629">
        <f t="shared" si="9"/>
        <v>36739</v>
      </c>
      <c r="F78" s="1629">
        <f t="shared" si="9"/>
        <v>1403653</v>
      </c>
      <c r="G78" s="1629">
        <f t="shared" si="9"/>
        <v>-135493</v>
      </c>
      <c r="H78" s="1629">
        <f t="shared" si="9"/>
        <v>357410</v>
      </c>
      <c r="I78" s="1629">
        <f t="shared" si="9"/>
        <v>7752015</v>
      </c>
      <c r="J78" s="1629">
        <f t="shared" si="9"/>
        <v>728314</v>
      </c>
      <c r="K78" s="1629">
        <f t="shared" si="9"/>
        <v>2831927</v>
      </c>
      <c r="L78" s="457"/>
    </row>
    <row r="79" spans="1:12" ht="13.5" thickTop="1" x14ac:dyDescent="0.2">
      <c r="A79" s="1844" t="str">
        <f>"Fund Balances - July 1, "&amp;'AFR20'!E2-1</f>
        <v>Fund Balances - July 1, 2019</v>
      </c>
      <c r="B79" s="458"/>
      <c r="C79" s="1583">
        <v>6125664</v>
      </c>
      <c r="D79" s="1630">
        <v>691781</v>
      </c>
      <c r="E79" s="1630">
        <v>-378718</v>
      </c>
      <c r="F79" s="1630">
        <v>3145668</v>
      </c>
      <c r="G79" s="1630">
        <v>1005237</v>
      </c>
      <c r="H79" s="1630">
        <v>951219</v>
      </c>
      <c r="I79" s="1630">
        <v>4208311</v>
      </c>
      <c r="J79" s="1630">
        <v>516832</v>
      </c>
      <c r="K79" s="1630">
        <v>947732</v>
      </c>
      <c r="L79" s="325"/>
    </row>
    <row r="80" spans="1:12" x14ac:dyDescent="0.2">
      <c r="A80" s="2362" t="s">
        <v>1769</v>
      </c>
      <c r="B80" s="2363"/>
      <c r="C80" s="1574"/>
      <c r="D80" s="1574"/>
      <c r="E80" s="1574"/>
      <c r="F80" s="1574"/>
      <c r="G80" s="1574"/>
      <c r="H80" s="1574"/>
      <c r="I80" s="1574"/>
      <c r="J80" s="1574"/>
      <c r="K80" s="1574"/>
      <c r="L80" s="325"/>
    </row>
    <row r="81" spans="1:12" ht="13.5" thickBot="1" x14ac:dyDescent="0.25">
      <c r="A81" s="2354" t="str">
        <f>"Fund Balances - June 30, "&amp;'AFR20'!E2</f>
        <v>Fund Balances - June 30, 2020</v>
      </c>
      <c r="B81" s="2355"/>
      <c r="C81" s="1594">
        <f>(SUM(C78:C80))</f>
        <v>6441263</v>
      </c>
      <c r="D81" s="1594">
        <f>SUM(D78:D80)</f>
        <v>3770628</v>
      </c>
      <c r="E81" s="1594">
        <f t="shared" ref="E81:K81" si="10">SUM(E78:E80)</f>
        <v>-341979</v>
      </c>
      <c r="F81" s="1594">
        <f t="shared" si="10"/>
        <v>4549321</v>
      </c>
      <c r="G81" s="1594">
        <f t="shared" si="10"/>
        <v>869744</v>
      </c>
      <c r="H81" s="1594">
        <f t="shared" si="10"/>
        <v>1308629</v>
      </c>
      <c r="I81" s="1594">
        <f t="shared" si="10"/>
        <v>11960326</v>
      </c>
      <c r="J81" s="1594">
        <f t="shared" si="10"/>
        <v>1245146</v>
      </c>
      <c r="K81" s="1594">
        <f t="shared" si="10"/>
        <v>3779659</v>
      </c>
      <c r="L81" s="325"/>
    </row>
    <row r="82" spans="1:12" ht="0.75" customHeight="1" thickTop="1" thickBot="1" x14ac:dyDescent="0.25">
      <c r="A82" s="459" t="s">
        <v>340</v>
      </c>
      <c r="B82" s="460"/>
      <c r="C82" s="461">
        <f>(C81-C79)</f>
        <v>315599</v>
      </c>
      <c r="D82" s="461">
        <f t="shared" ref="D82:K82" si="11">(D81-D79)</f>
        <v>3078847</v>
      </c>
      <c r="E82" s="461">
        <f t="shared" si="11"/>
        <v>36739</v>
      </c>
      <c r="F82" s="461">
        <f t="shared" si="11"/>
        <v>1403653</v>
      </c>
      <c r="G82" s="461">
        <f t="shared" si="11"/>
        <v>-135493</v>
      </c>
      <c r="H82" s="461">
        <f t="shared" si="11"/>
        <v>357410</v>
      </c>
      <c r="I82" s="461">
        <f t="shared" si="11"/>
        <v>7752015</v>
      </c>
      <c r="J82" s="461">
        <f t="shared" si="11"/>
        <v>728314</v>
      </c>
      <c r="K82" s="461">
        <f t="shared" si="11"/>
        <v>2831927</v>
      </c>
    </row>
    <row r="83" spans="1:12" ht="14.25" hidden="1" thickTop="1" thickBot="1" x14ac:dyDescent="0.25">
      <c r="A83" s="462" t="s">
        <v>341</v>
      </c>
      <c r="B83" s="428"/>
      <c r="C83" s="463">
        <f>C82/C81</f>
        <v>4.8996446814856029E-2</v>
      </c>
      <c r="D83" s="463">
        <f t="shared" ref="D83:K83" si="12">D82/D81</f>
        <v>0.81653427492714736</v>
      </c>
      <c r="E83" s="463">
        <f t="shared" si="12"/>
        <v>-0.10743057322233236</v>
      </c>
      <c r="F83" s="463">
        <f t="shared" si="12"/>
        <v>0.30854120867707513</v>
      </c>
      <c r="G83" s="463">
        <f t="shared" si="12"/>
        <v>-0.15578492062032046</v>
      </c>
      <c r="H83" s="463">
        <f t="shared" si="12"/>
        <v>0.27311789666895658</v>
      </c>
      <c r="I83" s="463">
        <f t="shared" si="12"/>
        <v>0.64814412249298226</v>
      </c>
      <c r="J83" s="463">
        <f t="shared" si="12"/>
        <v>0.58492257132898473</v>
      </c>
      <c r="K83" s="463">
        <f t="shared" si="12"/>
        <v>0.74925462852601254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xSplit="2" ySplit="4" topLeftCell="C242" activePane="bottomRight" state="frozen"/>
      <selection activeCell="G24" sqref="G24"/>
      <selection pane="topRight" activeCell="G24" sqref="G24"/>
      <selection pane="bottomLeft" activeCell="G24" sqref="G24"/>
      <selection pane="bottomRigh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58" t="s">
        <v>1776</v>
      </c>
      <c r="B1" s="416"/>
      <c r="C1" s="417" t="s">
        <v>422</v>
      </c>
      <c r="D1" s="417" t="s">
        <v>423</v>
      </c>
      <c r="E1" s="417" t="s">
        <v>424</v>
      </c>
      <c r="F1" s="417" t="s">
        <v>425</v>
      </c>
      <c r="G1" s="417" t="s">
        <v>426</v>
      </c>
      <c r="H1" s="417" t="s">
        <v>427</v>
      </c>
      <c r="I1" s="417" t="s">
        <v>428</v>
      </c>
      <c r="J1" s="417" t="s">
        <v>429</v>
      </c>
      <c r="K1" s="417" t="s">
        <v>751</v>
      </c>
    </row>
    <row r="2" spans="1:12" ht="36" x14ac:dyDescent="0.2">
      <c r="A2" s="235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1779474</v>
      </c>
      <c r="D5" s="1586">
        <v>258647</v>
      </c>
      <c r="E5" s="1573">
        <v>2285257</v>
      </c>
      <c r="F5" s="1631">
        <v>137942</v>
      </c>
      <c r="G5" s="1573">
        <v>749589</v>
      </c>
      <c r="H5" s="1573"/>
      <c r="I5" s="1573">
        <v>34490</v>
      </c>
      <c r="J5" s="1574">
        <v>2852625</v>
      </c>
      <c r="K5" s="1573">
        <v>34490</v>
      </c>
    </row>
    <row r="6" spans="1:12" ht="15" x14ac:dyDescent="0.2">
      <c r="A6" s="427" t="s">
        <v>1643</v>
      </c>
      <c r="B6" s="429">
        <v>1130</v>
      </c>
      <c r="C6" s="1573">
        <v>34490</v>
      </c>
      <c r="D6" s="1573"/>
      <c r="E6" s="1580"/>
      <c r="F6" s="1580"/>
      <c r="G6" s="1575"/>
      <c r="H6" s="1575"/>
      <c r="I6" s="1575"/>
      <c r="J6" s="1575"/>
      <c r="K6" s="1575"/>
    </row>
    <row r="7" spans="1:12" x14ac:dyDescent="0.2">
      <c r="A7" s="427" t="s">
        <v>110</v>
      </c>
      <c r="B7" s="471">
        <v>1140</v>
      </c>
      <c r="C7" s="1573">
        <v>27585</v>
      </c>
      <c r="D7" s="1573"/>
      <c r="E7" s="1575"/>
      <c r="F7" s="1574"/>
      <c r="G7" s="1574"/>
      <c r="H7" s="1574"/>
      <c r="I7" s="1575"/>
      <c r="J7" s="1575"/>
      <c r="K7" s="1575"/>
    </row>
    <row r="8" spans="1:12" x14ac:dyDescent="0.2">
      <c r="A8" s="427" t="s">
        <v>410</v>
      </c>
      <c r="B8" s="429">
        <v>1150</v>
      </c>
      <c r="C8" s="1580"/>
      <c r="D8" s="1580"/>
      <c r="E8" s="1582"/>
      <c r="F8" s="1582"/>
      <c r="G8" s="1586">
        <v>545849</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1841549</v>
      </c>
      <c r="D12" s="1633">
        <f t="shared" si="0"/>
        <v>258647</v>
      </c>
      <c r="E12" s="1633">
        <f t="shared" si="0"/>
        <v>2285257</v>
      </c>
      <c r="F12" s="1633">
        <f t="shared" si="0"/>
        <v>137942</v>
      </c>
      <c r="G12" s="1633">
        <f t="shared" si="0"/>
        <v>1295438</v>
      </c>
      <c r="H12" s="1633">
        <f t="shared" si="0"/>
        <v>0</v>
      </c>
      <c r="I12" s="1633">
        <f t="shared" si="0"/>
        <v>34490</v>
      </c>
      <c r="J12" s="1633">
        <f t="shared" si="0"/>
        <v>2852625</v>
      </c>
      <c r="K12" s="1594">
        <f t="shared" si="0"/>
        <v>34490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1739433</v>
      </c>
      <c r="D16" s="1573"/>
      <c r="E16" s="1573"/>
      <c r="F16" s="1573"/>
      <c r="G16" s="1573">
        <v>338623</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1739433</v>
      </c>
      <c r="D18" s="1635">
        <f t="shared" ref="D18:K18" si="1">SUM(D14:D17)</f>
        <v>0</v>
      </c>
      <c r="E18" s="1635">
        <f t="shared" si="1"/>
        <v>0</v>
      </c>
      <c r="F18" s="1635">
        <f t="shared" si="1"/>
        <v>0</v>
      </c>
      <c r="G18" s="1635">
        <f t="shared" si="1"/>
        <v>338623</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40508</v>
      </c>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40508</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76010</v>
      </c>
      <c r="D65" s="1573">
        <v>18690</v>
      </c>
      <c r="E65" s="1573">
        <f>8156+3957</f>
        <v>12113</v>
      </c>
      <c r="F65" s="1574">
        <v>38621</v>
      </c>
      <c r="G65" s="1573">
        <v>9613</v>
      </c>
      <c r="H65" s="1573">
        <v>9270</v>
      </c>
      <c r="I65" s="1573">
        <v>47013</v>
      </c>
      <c r="J65" s="1574">
        <v>18182</v>
      </c>
      <c r="K65" s="1573">
        <v>38829</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76010</v>
      </c>
      <c r="D67" s="1594">
        <f t="shared" ref="D67:K67" si="2">SUM(D65:D66)</f>
        <v>18690</v>
      </c>
      <c r="E67" s="1594">
        <f t="shared" si="2"/>
        <v>12113</v>
      </c>
      <c r="F67" s="1594">
        <f t="shared" si="2"/>
        <v>38621</v>
      </c>
      <c r="G67" s="1594">
        <f t="shared" si="2"/>
        <v>9613</v>
      </c>
      <c r="H67" s="1594">
        <f t="shared" si="2"/>
        <v>9270</v>
      </c>
      <c r="I67" s="1594">
        <f t="shared" si="2"/>
        <v>47013</v>
      </c>
      <c r="J67" s="1594">
        <f t="shared" si="2"/>
        <v>18182</v>
      </c>
      <c r="K67" s="1594">
        <f t="shared" si="2"/>
        <v>38829</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3963</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3963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14809</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14809</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113778</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2250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f>94338+10000+81141+74275</f>
        <v>259754</v>
      </c>
      <c r="D107" s="1573">
        <v>1257</v>
      </c>
      <c r="E107" s="1573"/>
      <c r="F107" s="1573">
        <v>109313</v>
      </c>
      <c r="G107" s="1573"/>
      <c r="H107" s="1573"/>
      <c r="I107" s="1573"/>
      <c r="J107" s="1574">
        <v>76778</v>
      </c>
      <c r="K107" s="1573"/>
    </row>
    <row r="108" spans="1:12" ht="12.75" customHeight="1" thickBot="1" x14ac:dyDescent="0.25">
      <c r="A108" s="1406" t="s">
        <v>484</v>
      </c>
      <c r="B108" s="1408"/>
      <c r="C108" s="1633">
        <f>SUM(C95:C107)</f>
        <v>375782</v>
      </c>
      <c r="D108" s="1633">
        <f t="shared" ref="D108:K108" si="3">SUM(D95:D107)</f>
        <v>1257</v>
      </c>
      <c r="E108" s="1633">
        <f t="shared" si="3"/>
        <v>0</v>
      </c>
      <c r="F108" s="1633">
        <f t="shared" si="3"/>
        <v>109313</v>
      </c>
      <c r="G108" s="1633">
        <f t="shared" si="3"/>
        <v>0</v>
      </c>
      <c r="H108" s="1633">
        <f t="shared" si="3"/>
        <v>0</v>
      </c>
      <c r="I108" s="1633">
        <f t="shared" si="3"/>
        <v>0</v>
      </c>
      <c r="J108" s="1633">
        <f t="shared" si="3"/>
        <v>76778</v>
      </c>
      <c r="K108" s="1594">
        <f t="shared" si="3"/>
        <v>0</v>
      </c>
    </row>
    <row r="109" spans="1:12" ht="14.25" thickTop="1" thickBot="1" x14ac:dyDescent="0.25">
      <c r="A109" s="1409" t="s">
        <v>246</v>
      </c>
      <c r="B109" s="1410" t="s">
        <v>566</v>
      </c>
      <c r="C109" s="1641">
        <f t="shared" ref="C109:K109" si="4">SUM(C12,C18,C40,C63,C67,C75,C82,C93,C108,)</f>
        <v>4051546</v>
      </c>
      <c r="D109" s="1641">
        <f t="shared" si="4"/>
        <v>278594</v>
      </c>
      <c r="E109" s="1641">
        <f t="shared" si="4"/>
        <v>2297370</v>
      </c>
      <c r="F109" s="1641">
        <f t="shared" si="4"/>
        <v>326384</v>
      </c>
      <c r="G109" s="1641">
        <f t="shared" si="4"/>
        <v>1643674</v>
      </c>
      <c r="H109" s="1641">
        <f t="shared" si="4"/>
        <v>9270</v>
      </c>
      <c r="I109" s="1641">
        <f t="shared" si="4"/>
        <v>81503</v>
      </c>
      <c r="J109" s="1641">
        <f t="shared" si="4"/>
        <v>2947585</v>
      </c>
      <c r="K109" s="1629">
        <f t="shared" si="4"/>
        <v>73319</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27495816</v>
      </c>
      <c r="D117" s="1586">
        <v>2650000</v>
      </c>
      <c r="E117" s="1573">
        <v>631186</v>
      </c>
      <c r="F117" s="1586">
        <v>590000</v>
      </c>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v>108327</v>
      </c>
      <c r="D121" s="1573"/>
      <c r="E121" s="1573"/>
      <c r="F121" s="1573"/>
      <c r="G121" s="1573"/>
      <c r="H121" s="1573"/>
      <c r="I121" s="1575"/>
      <c r="J121" s="1574"/>
      <c r="K121" s="1573"/>
    </row>
    <row r="122" spans="1:11" ht="12.6" customHeight="1" thickBot="1" x14ac:dyDescent="0.25">
      <c r="A122" s="1406" t="s">
        <v>485</v>
      </c>
      <c r="B122" s="1413"/>
      <c r="C122" s="1633">
        <f t="shared" ref="C122:H122" si="5">SUM(C117:C121)</f>
        <v>27604143</v>
      </c>
      <c r="D122" s="1633">
        <f t="shared" si="5"/>
        <v>2650000</v>
      </c>
      <c r="E122" s="1633">
        <f t="shared" si="5"/>
        <v>631186</v>
      </c>
      <c r="F122" s="1633">
        <f t="shared" si="5"/>
        <v>590000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597260</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260493</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857753</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23887</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224</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24111</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29203</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26629</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1272364</v>
      </c>
      <c r="G152" s="1574"/>
      <c r="H152" s="1575"/>
      <c r="I152" s="1575"/>
      <c r="J152" s="1575"/>
      <c r="K152" s="1575"/>
    </row>
    <row r="153" spans="1:11" ht="12.75" customHeight="1" x14ac:dyDescent="0.2">
      <c r="A153" s="427" t="s">
        <v>1048</v>
      </c>
      <c r="B153" s="478">
        <v>3510</v>
      </c>
      <c r="C153" s="1632"/>
      <c r="D153" s="1573"/>
      <c r="E153" s="1640"/>
      <c r="F153" s="1573">
        <v>731881</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2004245</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v>85498</v>
      </c>
      <c r="D158" s="1575"/>
      <c r="E158" s="1640"/>
      <c r="F158" s="1651"/>
      <c r="G158" s="1651"/>
      <c r="H158" s="1575"/>
      <c r="I158" s="1575"/>
      <c r="J158" s="1575"/>
      <c r="K158" s="1575"/>
    </row>
    <row r="159" spans="1:11" ht="12.75" customHeight="1" thickTop="1" thickBot="1" x14ac:dyDescent="0.25">
      <c r="A159" s="1270" t="s">
        <v>1042</v>
      </c>
      <c r="B159" s="484">
        <v>3705</v>
      </c>
      <c r="C159" s="1651">
        <v>811841</v>
      </c>
      <c r="D159" s="1653"/>
      <c r="E159" s="1640"/>
      <c r="F159" s="1651"/>
      <c r="G159" s="1651">
        <v>28254</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69657</v>
      </c>
      <c r="D168" s="1655"/>
      <c r="E168" s="1655"/>
      <c r="F168" s="1655"/>
      <c r="G168" s="1656"/>
      <c r="H168" s="1657"/>
      <c r="I168" s="1656"/>
      <c r="J168" s="1656"/>
      <c r="K168" s="1657"/>
    </row>
    <row r="169" spans="1:11" ht="12.75" customHeight="1" thickTop="1" thickBot="1" x14ac:dyDescent="0.25">
      <c r="A169" s="2378" t="s">
        <v>395</v>
      </c>
      <c r="B169" s="2379"/>
      <c r="C169" s="1658">
        <f t="shared" ref="C169:K169" si="6">SUM(C132,C141,C145,C146:C150,C155,C156:C167,C168)</f>
        <v>1904692</v>
      </c>
      <c r="D169" s="1658">
        <f t="shared" si="6"/>
        <v>0</v>
      </c>
      <c r="E169" s="1658">
        <f t="shared" si="6"/>
        <v>0</v>
      </c>
      <c r="F169" s="1658">
        <f t="shared" si="6"/>
        <v>2004245</v>
      </c>
      <c r="G169" s="1658">
        <f t="shared" si="6"/>
        <v>28254</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29508835</v>
      </c>
      <c r="D170" s="1641">
        <f t="shared" si="7"/>
        <v>2650000</v>
      </c>
      <c r="E170" s="1641">
        <f t="shared" si="7"/>
        <v>631186</v>
      </c>
      <c r="F170" s="1641">
        <f t="shared" si="7"/>
        <v>2594245</v>
      </c>
      <c r="G170" s="1641">
        <f t="shared" si="7"/>
        <v>28254</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380" t="s">
        <v>1475</v>
      </c>
      <c r="B172" s="2381"/>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384" t="s">
        <v>1646</v>
      </c>
      <c r="B175" s="2385"/>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88" t="s">
        <v>1645</v>
      </c>
      <c r="B176" s="2389"/>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386" t="s">
        <v>780</v>
      </c>
      <c r="B181" s="2387"/>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382" t="s">
        <v>1777</v>
      </c>
      <c r="B182" s="2383"/>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1174303</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495911</v>
      </c>
      <c r="D193" s="1575"/>
      <c r="E193" s="1640"/>
      <c r="F193" s="1575"/>
      <c r="G193" s="1664"/>
      <c r="H193" s="1575"/>
      <c r="I193" s="1575"/>
      <c r="J193" s="1575"/>
      <c r="K193" s="1575"/>
    </row>
    <row r="194" spans="1:11" ht="12.75" customHeight="1" x14ac:dyDescent="0.2">
      <c r="A194" s="427" t="s">
        <v>1434</v>
      </c>
      <c r="B194" s="429">
        <v>4225</v>
      </c>
      <c r="C194" s="1632">
        <v>194401</v>
      </c>
      <c r="D194" s="1575"/>
      <c r="E194" s="1640"/>
      <c r="F194" s="1575"/>
      <c r="G194" s="1664"/>
      <c r="H194" s="1575"/>
      <c r="I194" s="1575"/>
      <c r="J194" s="1575"/>
      <c r="K194" s="1575"/>
    </row>
    <row r="195" spans="1:11" ht="12.75" customHeight="1" x14ac:dyDescent="0.2">
      <c r="A195" s="427" t="s">
        <v>1435</v>
      </c>
      <c r="B195" s="429">
        <v>4226</v>
      </c>
      <c r="C195" s="1632">
        <v>137792</v>
      </c>
      <c r="D195" s="1575"/>
      <c r="E195" s="1640"/>
      <c r="F195" s="1575"/>
      <c r="G195" s="1664"/>
      <c r="H195" s="1575"/>
      <c r="I195" s="1575"/>
      <c r="J195" s="1575"/>
      <c r="K195" s="1575"/>
    </row>
    <row r="196" spans="1:11" ht="12.75" customHeight="1" x14ac:dyDescent="0.2">
      <c r="A196" s="427" t="s">
        <v>787</v>
      </c>
      <c r="B196" s="429">
        <v>4240</v>
      </c>
      <c r="C196" s="1598">
        <v>63630</v>
      </c>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2066037</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3122943</v>
      </c>
      <c r="D200" s="1573"/>
      <c r="E200" s="1575"/>
      <c r="F200" s="1573"/>
      <c r="G200" s="1573">
        <v>156551</v>
      </c>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1202693</v>
      </c>
      <c r="D203" s="1573"/>
      <c r="E203" s="1575"/>
      <c r="F203" s="1573"/>
      <c r="G203" s="1573">
        <v>1553</v>
      </c>
      <c r="H203" s="1575"/>
      <c r="I203" s="1575"/>
      <c r="J203" s="1575"/>
      <c r="K203" s="1575"/>
    </row>
    <row r="204" spans="1:11" ht="12.75" customHeight="1" thickBot="1" x14ac:dyDescent="0.25">
      <c r="A204" s="1406" t="s">
        <v>397</v>
      </c>
      <c r="B204" s="1407"/>
      <c r="C204" s="1633">
        <f>SUM(C200:C203)</f>
        <v>4325636</v>
      </c>
      <c r="D204" s="1633">
        <f>SUM(D200:D203)</f>
        <v>0</v>
      </c>
      <c r="E204" s="1575"/>
      <c r="F204" s="1633">
        <f>SUM(F200:F203)</f>
        <v>0</v>
      </c>
      <c r="G204" s="1633">
        <f>SUM(G200:G203)</f>
        <v>158104</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200152</v>
      </c>
      <c r="D206" s="1573"/>
      <c r="E206" s="1575"/>
      <c r="F206" s="1573"/>
      <c r="G206" s="1573">
        <v>1177</v>
      </c>
      <c r="H206" s="1575"/>
      <c r="I206" s="1575"/>
      <c r="J206" s="1575"/>
      <c r="K206" s="1575"/>
    </row>
    <row r="207" spans="1:11" ht="12.75" customHeight="1" x14ac:dyDescent="0.2">
      <c r="A207" s="427" t="s">
        <v>1436</v>
      </c>
      <c r="B207" s="429">
        <v>4421</v>
      </c>
      <c r="C207" s="1632">
        <f>156601+248985+115265+267383</f>
        <v>788234</v>
      </c>
      <c r="D207" s="1573"/>
      <c r="E207" s="1575"/>
      <c r="F207" s="1573"/>
      <c r="G207" s="1573">
        <v>21419</v>
      </c>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988386</v>
      </c>
      <c r="D209" s="1633">
        <f>SUM(D206:D208)</f>
        <v>0</v>
      </c>
      <c r="E209" s="1575" t="s">
        <v>1159</v>
      </c>
      <c r="F209" s="1633">
        <f>SUM(F206:F208)</f>
        <v>0</v>
      </c>
      <c r="G209" s="1633">
        <f>SUM(G206:G208)</f>
        <v>22596</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28939</v>
      </c>
      <c r="D211" s="1573"/>
      <c r="E211" s="1575"/>
      <c r="F211" s="1573"/>
      <c r="G211" s="1573">
        <v>3810</v>
      </c>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863452</v>
      </c>
      <c r="D213" s="1573"/>
      <c r="E213" s="1575"/>
      <c r="F213" s="1573"/>
      <c r="G213" s="1573">
        <v>74759</v>
      </c>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892391</v>
      </c>
      <c r="D217" s="1633">
        <f>SUM(D211:D216)</f>
        <v>0</v>
      </c>
      <c r="E217" s="1575"/>
      <c r="F217" s="1633">
        <f>SUM(F211:F216)</f>
        <v>0</v>
      </c>
      <c r="G217" s="1633">
        <f>SUM(G211:G216)</f>
        <v>78569</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99613</v>
      </c>
      <c r="D219" s="1573"/>
      <c r="E219" s="1575"/>
      <c r="F219" s="1575"/>
      <c r="G219" s="1573"/>
      <c r="H219" s="1575"/>
      <c r="I219" s="1575"/>
      <c r="J219" s="1575"/>
      <c r="K219" s="1575"/>
    </row>
    <row r="220" spans="1:11" ht="12.75" customHeight="1" x14ac:dyDescent="0.2">
      <c r="A220" s="427" t="s">
        <v>67</v>
      </c>
      <c r="B220" s="429">
        <v>4799</v>
      </c>
      <c r="C220" s="1632">
        <v>9950</v>
      </c>
      <c r="D220" s="1573"/>
      <c r="E220" s="1575"/>
      <c r="F220" s="1575"/>
      <c r="G220" s="1573"/>
      <c r="H220" s="1575"/>
      <c r="I220" s="1575"/>
      <c r="J220" s="1575"/>
      <c r="K220" s="1575"/>
    </row>
    <row r="221" spans="1:11" ht="12.75" customHeight="1" thickBot="1" x14ac:dyDescent="0.25">
      <c r="A221" s="1415" t="s">
        <v>1076</v>
      </c>
      <c r="B221" s="1416"/>
      <c r="C221" s="1633">
        <f>SUM(C219:C220)</f>
        <v>109563</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v>49501</v>
      </c>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299426</v>
      </c>
      <c r="D259" s="1651"/>
      <c r="E259" s="1575"/>
      <c r="F259" s="1651"/>
      <c r="G259" s="1651">
        <v>2730</v>
      </c>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193068</v>
      </c>
      <c r="D263" s="1651"/>
      <c r="E263" s="1575"/>
      <c r="F263" s="1651"/>
      <c r="G263" s="1651"/>
      <c r="H263" s="1575"/>
      <c r="I263" s="1575"/>
      <c r="J263" s="1575"/>
      <c r="K263" s="1575"/>
    </row>
    <row r="264" spans="1:11" ht="12.75" customHeight="1" thickTop="1" thickBot="1" x14ac:dyDescent="0.25">
      <c r="A264" s="427" t="s">
        <v>374</v>
      </c>
      <c r="B264" s="429">
        <v>4992</v>
      </c>
      <c r="C264" s="1650">
        <v>177580</v>
      </c>
      <c r="D264" s="1651"/>
      <c r="E264" s="1575"/>
      <c r="F264" s="1651"/>
      <c r="G264" s="1651"/>
      <c r="H264" s="1575"/>
      <c r="I264" s="1575"/>
      <c r="J264" s="1575"/>
      <c r="K264" s="1575"/>
    </row>
    <row r="265" spans="1:11" s="489" customFormat="1" ht="12.75" customHeight="1" thickTop="1" thickBot="1" x14ac:dyDescent="0.25">
      <c r="A265" s="479" t="s">
        <v>75</v>
      </c>
      <c r="B265" s="475">
        <v>4998</v>
      </c>
      <c r="C265" s="1650">
        <f>68282+240053+42851</f>
        <v>351186</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9452774</v>
      </c>
      <c r="D266" s="1641">
        <f t="shared" si="10"/>
        <v>0</v>
      </c>
      <c r="E266" s="1641">
        <f t="shared" si="10"/>
        <v>0</v>
      </c>
      <c r="F266" s="1641">
        <f t="shared" si="10"/>
        <v>0</v>
      </c>
      <c r="G266" s="1641">
        <f t="shared" si="10"/>
        <v>261999</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9452774</v>
      </c>
      <c r="D267" s="1641">
        <f>SUM(D175,D181,D266)</f>
        <v>0</v>
      </c>
      <c r="E267" s="1641">
        <f>SUM(E175,E266)</f>
        <v>0</v>
      </c>
      <c r="F267" s="1641">
        <f t="shared" ref="F267:K267" si="11">SUM(F175,F181,F266)</f>
        <v>0</v>
      </c>
      <c r="G267" s="1641">
        <f t="shared" si="11"/>
        <v>261999</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43013155</v>
      </c>
      <c r="D268" s="1641">
        <f t="shared" si="12"/>
        <v>2928594</v>
      </c>
      <c r="E268" s="1641">
        <f t="shared" si="12"/>
        <v>2928556</v>
      </c>
      <c r="F268" s="1641">
        <f t="shared" si="12"/>
        <v>2920629</v>
      </c>
      <c r="G268" s="1641">
        <f t="shared" si="12"/>
        <v>1933927</v>
      </c>
      <c r="H268" s="1641">
        <f t="shared" si="12"/>
        <v>9270</v>
      </c>
      <c r="I268" s="1641">
        <f t="shared" si="12"/>
        <v>81503</v>
      </c>
      <c r="J268" s="1641">
        <f t="shared" si="12"/>
        <v>2947585</v>
      </c>
      <c r="K268" s="1629">
        <f t="shared" si="12"/>
        <v>73319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showRowColHeaders="0" defaultGridColor="0" colorId="8" zoomScale="110" zoomScaleNormal="110" workbookViewId="0">
      <pane ySplit="2" topLeftCell="A44" activePane="bottomLeft" state="frozen"/>
      <selection activeCell="G24" sqref="G24"/>
      <selection pane="bottomLeft" activeCell="G24" sqref="G2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58"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9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96" t="s">
        <v>294</v>
      </c>
      <c r="B3" s="2397"/>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f>46779+518+7140+6426228+3267276</f>
        <v>9747941</v>
      </c>
      <c r="D5" s="1573">
        <f>27618+67+920+1923160+832099</f>
        <v>2783864</v>
      </c>
      <c r="E5" s="1573">
        <v>431641</v>
      </c>
      <c r="F5" s="1573">
        <f>118459+16533+1172</f>
        <v>136164</v>
      </c>
      <c r="G5" s="1573"/>
      <c r="H5" s="1573"/>
      <c r="I5" s="1574">
        <v>4172</v>
      </c>
      <c r="J5" s="1574"/>
      <c r="K5" s="1672">
        <f>SUM(C5:J5)</f>
        <v>13103782</v>
      </c>
      <c r="L5" s="1573">
        <v>13292119</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f>45514+3936279+260+3278+968</f>
        <v>3986299</v>
      </c>
      <c r="D8" s="1573">
        <f>14511+1195131+34+422+125</f>
        <v>1210223</v>
      </c>
      <c r="E8" s="1573">
        <f>24368</f>
        <v>24368</v>
      </c>
      <c r="F8" s="1573">
        <f>65810</f>
        <v>65810</v>
      </c>
      <c r="G8" s="1573"/>
      <c r="H8" s="1573"/>
      <c r="I8" s="1574">
        <v>2284</v>
      </c>
      <c r="J8" s="1574"/>
      <c r="K8" s="1672">
        <f t="shared" si="0"/>
        <v>5288984</v>
      </c>
      <c r="L8" s="1573">
        <v>5752593</v>
      </c>
    </row>
    <row r="9" spans="1:14" x14ac:dyDescent="0.2">
      <c r="A9" s="1274" t="s">
        <v>716</v>
      </c>
      <c r="B9" s="503" t="s">
        <v>962</v>
      </c>
      <c r="C9" s="1574">
        <f>400271+14437</f>
        <v>414708</v>
      </c>
      <c r="D9" s="1574">
        <f>113853+1861</f>
        <v>115714</v>
      </c>
      <c r="E9" s="1574">
        <v>5553</v>
      </c>
      <c r="F9" s="1574">
        <v>12421</v>
      </c>
      <c r="G9" s="1574"/>
      <c r="H9" s="1574"/>
      <c r="I9" s="1574"/>
      <c r="J9" s="1574"/>
      <c r="K9" s="1672">
        <f t="shared" si="0"/>
        <v>548396</v>
      </c>
      <c r="L9" s="1573">
        <v>611714</v>
      </c>
    </row>
    <row r="10" spans="1:14" x14ac:dyDescent="0.2">
      <c r="A10" s="1274" t="s">
        <v>717</v>
      </c>
      <c r="B10" s="503">
        <v>1250</v>
      </c>
      <c r="C10" s="1573">
        <v>1308671</v>
      </c>
      <c r="D10" s="1573">
        <v>376242</v>
      </c>
      <c r="E10" s="1573">
        <v>267334</v>
      </c>
      <c r="F10" s="1573">
        <v>480624</v>
      </c>
      <c r="G10" s="1573"/>
      <c r="H10" s="1573"/>
      <c r="I10" s="1574">
        <v>4494</v>
      </c>
      <c r="J10" s="1574"/>
      <c r="K10" s="1672">
        <f t="shared" si="0"/>
        <v>2437365</v>
      </c>
      <c r="L10" s="1573">
        <v>3171473</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6168</v>
      </c>
      <c r="D13" s="1573"/>
      <c r="E13" s="1573">
        <f>7549+57123+27954</f>
        <v>92626</v>
      </c>
      <c r="F13" s="1573">
        <f>55665+32314+1202+860+539+600+3293</f>
        <v>94473</v>
      </c>
      <c r="G13" s="1573"/>
      <c r="H13" s="1573"/>
      <c r="I13" s="1574">
        <v>2471</v>
      </c>
      <c r="J13" s="1574"/>
      <c r="K13" s="1672">
        <f t="shared" si="0"/>
        <v>195738</v>
      </c>
      <c r="L13" s="1573">
        <v>373952</v>
      </c>
    </row>
    <row r="14" spans="1:14" x14ac:dyDescent="0.2">
      <c r="A14" s="1274" t="s">
        <v>957</v>
      </c>
      <c r="B14" s="503">
        <v>1500</v>
      </c>
      <c r="C14" s="1573">
        <f>70015+59981+50185+15454+14754+16802+17838+20467+19933+33296+8052+10865+20237+1961+1446</f>
        <v>361286</v>
      </c>
      <c r="D14" s="1573">
        <f>840+6787+6840+2888+3888+3251+2493+1064+393+4938+2160+1146+3168+441+404</f>
        <v>40701</v>
      </c>
      <c r="E14" s="1573">
        <f>11309+13467+19765+10664+4943+1076+26646+7969+10861+5789+20866+15216</f>
        <v>148571</v>
      </c>
      <c r="F14" s="1573">
        <f>27836+35289+14441+13104+5414+9560+4450+7714+7548+9755+4443+5560</f>
        <v>145114</v>
      </c>
      <c r="G14" s="1573"/>
      <c r="H14" s="1573">
        <f>12945+5323+1843+3210+2580+3280+1300+600+2664+5563</f>
        <v>39308</v>
      </c>
      <c r="I14" s="1574"/>
      <c r="J14" s="1574"/>
      <c r="K14" s="1672">
        <f t="shared" si="0"/>
        <v>734980</v>
      </c>
      <c r="L14" s="1573">
        <v>939821</v>
      </c>
    </row>
    <row r="15" spans="1:14" x14ac:dyDescent="0.2">
      <c r="A15" s="1274" t="s">
        <v>958</v>
      </c>
      <c r="B15" s="503">
        <v>1600</v>
      </c>
      <c r="C15" s="1573">
        <v>6120</v>
      </c>
      <c r="D15" s="1573">
        <v>773</v>
      </c>
      <c r="E15" s="1573"/>
      <c r="F15" s="1573"/>
      <c r="G15" s="1573"/>
      <c r="H15" s="1573"/>
      <c r="I15" s="1574"/>
      <c r="J15" s="1574"/>
      <c r="K15" s="1672">
        <f t="shared" si="0"/>
        <v>6893</v>
      </c>
      <c r="L15" s="1573">
        <v>7950</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v>2000</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v>24418</v>
      </c>
      <c r="I21" s="1673"/>
      <c r="J21" s="1582"/>
      <c r="K21" s="1672">
        <f t="shared" si="0"/>
        <v>24418</v>
      </c>
      <c r="L21" s="1577">
        <v>42000</v>
      </c>
    </row>
    <row r="22" spans="1:12" x14ac:dyDescent="0.2">
      <c r="A22" s="1275" t="s">
        <v>735</v>
      </c>
      <c r="B22" s="494" t="s">
        <v>722</v>
      </c>
      <c r="C22" s="1582"/>
      <c r="D22" s="1582"/>
      <c r="E22" s="1582"/>
      <c r="F22" s="1582"/>
      <c r="G22" s="1582"/>
      <c r="H22" s="1579">
        <v>1621400</v>
      </c>
      <c r="I22" s="1673"/>
      <c r="J22" s="1582"/>
      <c r="K22" s="1672">
        <f t="shared" si="0"/>
        <v>1621400</v>
      </c>
      <c r="L22" s="1577">
        <v>1670000</v>
      </c>
    </row>
    <row r="23" spans="1:12" x14ac:dyDescent="0.2">
      <c r="A23" s="1275" t="s">
        <v>736</v>
      </c>
      <c r="B23" s="494" t="s">
        <v>723</v>
      </c>
      <c r="C23" s="1582"/>
      <c r="D23" s="1582"/>
      <c r="E23" s="1582"/>
      <c r="F23" s="1582"/>
      <c r="G23" s="1582"/>
      <c r="H23" s="1579">
        <v>64189</v>
      </c>
      <c r="I23" s="1673"/>
      <c r="J23" s="1582"/>
      <c r="K23" s="1672">
        <f t="shared" si="0"/>
        <v>64189</v>
      </c>
      <c r="L23" s="1577">
        <v>140000</v>
      </c>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15831193</v>
      </c>
      <c r="D33" s="1674">
        <f t="shared" ref="D33:L33" si="1">SUM(D5:D32)</f>
        <v>4527517</v>
      </c>
      <c r="E33" s="1674">
        <f t="shared" si="1"/>
        <v>970093</v>
      </c>
      <c r="F33" s="1674">
        <f t="shared" si="1"/>
        <v>934606</v>
      </c>
      <c r="G33" s="1674">
        <f t="shared" si="1"/>
        <v>0</v>
      </c>
      <c r="H33" s="1674">
        <f t="shared" si="1"/>
        <v>1749315</v>
      </c>
      <c r="I33" s="1674">
        <f t="shared" si="1"/>
        <v>13421</v>
      </c>
      <c r="J33" s="1674">
        <f t="shared" si="1"/>
        <v>0</v>
      </c>
      <c r="K33" s="1674">
        <f t="shared" si="1"/>
        <v>24026145</v>
      </c>
      <c r="L33" s="1674">
        <f t="shared" si="1"/>
        <v>26003622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967755</v>
      </c>
      <c r="D36" s="1586">
        <v>241372</v>
      </c>
      <c r="E36" s="1586">
        <v>3160</v>
      </c>
      <c r="F36" s="1586">
        <v>3058</v>
      </c>
      <c r="G36" s="1586"/>
      <c r="H36" s="1586"/>
      <c r="I36" s="1574"/>
      <c r="J36" s="1574"/>
      <c r="K36" s="1672">
        <f t="shared" ref="K36:K41" si="2">SUM(C36:J36)</f>
        <v>1215345</v>
      </c>
      <c r="L36" s="1573">
        <v>1322201</v>
      </c>
    </row>
    <row r="37" spans="1:14" x14ac:dyDescent="0.2">
      <c r="A37" s="1274" t="s">
        <v>1081</v>
      </c>
      <c r="B37" s="503">
        <v>2120</v>
      </c>
      <c r="C37" s="1573">
        <v>203917</v>
      </c>
      <c r="D37" s="1573">
        <v>55112</v>
      </c>
      <c r="E37" s="1573"/>
      <c r="F37" s="1573">
        <v>16940</v>
      </c>
      <c r="G37" s="1573"/>
      <c r="H37" s="1573"/>
      <c r="I37" s="1574">
        <v>3371</v>
      </c>
      <c r="J37" s="1574"/>
      <c r="K37" s="1672">
        <f t="shared" si="2"/>
        <v>279340</v>
      </c>
      <c r="L37" s="1573">
        <v>292238</v>
      </c>
    </row>
    <row r="38" spans="1:14" x14ac:dyDescent="0.2">
      <c r="A38" s="1274" t="s">
        <v>196</v>
      </c>
      <c r="B38" s="503">
        <v>2130</v>
      </c>
      <c r="C38" s="1573">
        <v>451057</v>
      </c>
      <c r="D38" s="1573">
        <v>78699</v>
      </c>
      <c r="E38" s="1573">
        <v>94477</v>
      </c>
      <c r="F38" s="1573">
        <v>28844</v>
      </c>
      <c r="G38" s="1573"/>
      <c r="H38" s="1573"/>
      <c r="I38" s="1574">
        <v>5842</v>
      </c>
      <c r="J38" s="1574"/>
      <c r="K38" s="1672">
        <f t="shared" si="2"/>
        <v>658919</v>
      </c>
      <c r="L38" s="1573">
        <v>736257</v>
      </c>
    </row>
    <row r="39" spans="1:14" x14ac:dyDescent="0.2">
      <c r="A39" s="1274" t="s">
        <v>197</v>
      </c>
      <c r="B39" s="503">
        <v>2140</v>
      </c>
      <c r="C39" s="1573">
        <v>332231</v>
      </c>
      <c r="D39" s="1573">
        <v>91139</v>
      </c>
      <c r="E39" s="1573">
        <v>79686</v>
      </c>
      <c r="F39" s="1573"/>
      <c r="G39" s="1573"/>
      <c r="H39" s="1573"/>
      <c r="I39" s="1574"/>
      <c r="J39" s="1574"/>
      <c r="K39" s="1672">
        <f t="shared" si="2"/>
        <v>503056</v>
      </c>
      <c r="L39" s="1573">
        <v>555615</v>
      </c>
    </row>
    <row r="40" spans="1:14" x14ac:dyDescent="0.2">
      <c r="A40" s="1274" t="s">
        <v>198</v>
      </c>
      <c r="B40" s="503">
        <v>2150</v>
      </c>
      <c r="C40" s="1573">
        <v>379411</v>
      </c>
      <c r="D40" s="1573">
        <v>113964</v>
      </c>
      <c r="E40" s="1573"/>
      <c r="F40" s="1573"/>
      <c r="G40" s="1573"/>
      <c r="H40" s="1573"/>
      <c r="I40" s="1574"/>
      <c r="J40" s="1574"/>
      <c r="K40" s="1672">
        <f t="shared" si="2"/>
        <v>493375</v>
      </c>
      <c r="L40" s="1573">
        <v>509059</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2334371</v>
      </c>
      <c r="D42" s="1674">
        <f t="shared" ref="D42:L42" si="3">SUM(D36:D41)</f>
        <v>580286</v>
      </c>
      <c r="E42" s="1674">
        <f t="shared" si="3"/>
        <v>177323</v>
      </c>
      <c r="F42" s="1674">
        <f t="shared" si="3"/>
        <v>48842</v>
      </c>
      <c r="G42" s="1674">
        <f t="shared" si="3"/>
        <v>0</v>
      </c>
      <c r="H42" s="1674">
        <f t="shared" si="3"/>
        <v>0</v>
      </c>
      <c r="I42" s="1674">
        <f t="shared" si="3"/>
        <v>9213</v>
      </c>
      <c r="J42" s="1674">
        <f t="shared" si="3"/>
        <v>0</v>
      </c>
      <c r="K42" s="1674">
        <f t="shared" si="3"/>
        <v>3150035</v>
      </c>
      <c r="L42" s="1674">
        <f t="shared" si="3"/>
        <v>3415370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1047351</v>
      </c>
      <c r="D44" s="1586">
        <v>266130</v>
      </c>
      <c r="E44" s="1586">
        <v>164787</v>
      </c>
      <c r="F44" s="1586">
        <v>126984</v>
      </c>
      <c r="G44" s="1586"/>
      <c r="H44" s="1586">
        <v>790</v>
      </c>
      <c r="I44" s="1574"/>
      <c r="J44" s="1574"/>
      <c r="K44" s="1678">
        <f>SUM(C44:J44)</f>
        <v>1606042</v>
      </c>
      <c r="L44" s="1586">
        <v>1902560</v>
      </c>
    </row>
    <row r="45" spans="1:14" x14ac:dyDescent="0.2">
      <c r="A45" s="1274" t="s">
        <v>810</v>
      </c>
      <c r="B45" s="503">
        <v>2220</v>
      </c>
      <c r="C45" s="1573">
        <v>2019</v>
      </c>
      <c r="D45" s="1573">
        <v>693</v>
      </c>
      <c r="E45" s="1573"/>
      <c r="F45" s="1573">
        <v>2901</v>
      </c>
      <c r="G45" s="1573"/>
      <c r="H45" s="1573"/>
      <c r="I45" s="1574"/>
      <c r="J45" s="1574"/>
      <c r="K45" s="1678">
        <f>SUM(C45:J45)</f>
        <v>5613</v>
      </c>
      <c r="L45" s="1573">
        <v>41973</v>
      </c>
    </row>
    <row r="46" spans="1:14" x14ac:dyDescent="0.2">
      <c r="A46" s="1274" t="s">
        <v>811</v>
      </c>
      <c r="B46" s="503">
        <v>2230</v>
      </c>
      <c r="C46" s="1573"/>
      <c r="D46" s="1573"/>
      <c r="E46" s="1573">
        <v>850</v>
      </c>
      <c r="F46" s="1573">
        <v>5881</v>
      </c>
      <c r="G46" s="1573"/>
      <c r="H46" s="1573"/>
      <c r="I46" s="1574"/>
      <c r="J46" s="1574"/>
      <c r="K46" s="1678">
        <f>SUM(C46:J46)</f>
        <v>6731</v>
      </c>
      <c r="L46" s="1573">
        <v>12000</v>
      </c>
    </row>
    <row r="47" spans="1:14" ht="12.75" customHeight="1" thickBot="1" x14ac:dyDescent="0.25">
      <c r="A47" s="1380" t="s">
        <v>557</v>
      </c>
      <c r="B47" s="1381" t="s">
        <v>32</v>
      </c>
      <c r="C47" s="1674">
        <f>SUM(C44:C46)</f>
        <v>1049370</v>
      </c>
      <c r="D47" s="1674">
        <f t="shared" ref="D47:K47" si="4">SUM(D44:D46)</f>
        <v>266823</v>
      </c>
      <c r="E47" s="1674">
        <f t="shared" si="4"/>
        <v>165637</v>
      </c>
      <c r="F47" s="1674">
        <f t="shared" si="4"/>
        <v>135766</v>
      </c>
      <c r="G47" s="1674">
        <f t="shared" si="4"/>
        <v>0</v>
      </c>
      <c r="H47" s="1674">
        <f t="shared" si="4"/>
        <v>790</v>
      </c>
      <c r="I47" s="1674">
        <f t="shared" si="4"/>
        <v>0</v>
      </c>
      <c r="J47" s="1674">
        <f t="shared" si="4"/>
        <v>0</v>
      </c>
      <c r="K47" s="1674">
        <f t="shared" si="4"/>
        <v>1618386</v>
      </c>
      <c r="L47" s="1674">
        <f>SUM(L44:L46)</f>
        <v>1956533</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f>1650+36000</f>
        <v>37650</v>
      </c>
      <c r="D49" s="1586">
        <f>159+17454</f>
        <v>17613</v>
      </c>
      <c r="E49" s="1586">
        <f>6809+12110</f>
        <v>18919</v>
      </c>
      <c r="F49" s="1586">
        <f>2284+10157</f>
        <v>12441</v>
      </c>
      <c r="G49" s="1586"/>
      <c r="H49" s="1586">
        <v>52199</v>
      </c>
      <c r="I49" s="1574"/>
      <c r="J49" s="1574"/>
      <c r="K49" s="1678">
        <f>SUM(C49:J49)</f>
        <v>138822</v>
      </c>
      <c r="L49" s="1586">
        <v>169780</v>
      </c>
    </row>
    <row r="50" spans="1:14" x14ac:dyDescent="0.2">
      <c r="A50" s="1274" t="s">
        <v>813</v>
      </c>
      <c r="B50" s="503">
        <v>2320</v>
      </c>
      <c r="C50" s="1573">
        <v>327228</v>
      </c>
      <c r="D50" s="1573">
        <v>63728</v>
      </c>
      <c r="E50" s="1573">
        <v>2937</v>
      </c>
      <c r="F50" s="1573">
        <v>1307</v>
      </c>
      <c r="G50" s="1573"/>
      <c r="H50" s="1573">
        <v>2323</v>
      </c>
      <c r="I50" s="1574"/>
      <c r="J50" s="1574"/>
      <c r="K50" s="1678">
        <f>SUM(C50:J50)</f>
        <v>397523</v>
      </c>
      <c r="L50" s="1573">
        <v>449595</v>
      </c>
    </row>
    <row r="51" spans="1:14" x14ac:dyDescent="0.2">
      <c r="A51" s="1274" t="s">
        <v>42</v>
      </c>
      <c r="B51" s="503">
        <v>2330</v>
      </c>
      <c r="C51" s="1573">
        <v>530585</v>
      </c>
      <c r="D51" s="1573">
        <v>133680</v>
      </c>
      <c r="E51" s="1573">
        <v>88510</v>
      </c>
      <c r="F51" s="1573">
        <v>20230</v>
      </c>
      <c r="G51" s="1573"/>
      <c r="H51" s="1573">
        <v>4606</v>
      </c>
      <c r="I51" s="1574">
        <v>3995</v>
      </c>
      <c r="J51" s="1574"/>
      <c r="K51" s="1678">
        <f>SUM(C51:J51)</f>
        <v>781606</v>
      </c>
      <c r="L51" s="1573">
        <v>790200</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895463</v>
      </c>
      <c r="D53" s="1674">
        <f t="shared" ref="D53:L53" si="5">SUM(D49:D52)</f>
        <v>215021</v>
      </c>
      <c r="E53" s="1674">
        <f t="shared" si="5"/>
        <v>110366</v>
      </c>
      <c r="F53" s="1674">
        <f t="shared" si="5"/>
        <v>33978</v>
      </c>
      <c r="G53" s="1674">
        <f t="shared" si="5"/>
        <v>0</v>
      </c>
      <c r="H53" s="1674">
        <f t="shared" si="5"/>
        <v>59128</v>
      </c>
      <c r="I53" s="1674">
        <f t="shared" si="5"/>
        <v>3995</v>
      </c>
      <c r="J53" s="1674">
        <f t="shared" si="5"/>
        <v>0</v>
      </c>
      <c r="K53" s="1674">
        <f t="shared" si="5"/>
        <v>1317951</v>
      </c>
      <c r="L53" s="1674">
        <f t="shared" si="5"/>
        <v>1409575</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2571694</v>
      </c>
      <c r="D55" s="1586">
        <v>547227</v>
      </c>
      <c r="E55" s="1586"/>
      <c r="F55" s="1586">
        <v>47817</v>
      </c>
      <c r="G55" s="1586"/>
      <c r="H55" s="1586"/>
      <c r="I55" s="1574"/>
      <c r="J55" s="1574"/>
      <c r="K55" s="1678">
        <f>SUM(C55:J55)</f>
        <v>3166738</v>
      </c>
      <c r="L55" s="1586">
        <v>4265494</v>
      </c>
    </row>
    <row r="56" spans="1:14" ht="12.75" customHeight="1" x14ac:dyDescent="0.2">
      <c r="A56" s="1278" t="s">
        <v>373</v>
      </c>
      <c r="B56" s="512">
        <v>2490</v>
      </c>
      <c r="C56" s="1573"/>
      <c r="D56" s="1573"/>
      <c r="E56" s="1573"/>
      <c r="F56" s="1573"/>
      <c r="G56" s="1573"/>
      <c r="H56" s="1573"/>
      <c r="I56" s="1574"/>
      <c r="J56" s="1574"/>
      <c r="K56" s="1678">
        <f>SUM(C56:J56)</f>
        <v>0</v>
      </c>
      <c r="L56" s="1573">
        <v>38266</v>
      </c>
    </row>
    <row r="57" spans="1:14" s="321" customFormat="1" ht="12.75" customHeight="1" thickBot="1" x14ac:dyDescent="0.25">
      <c r="A57" s="1380" t="s">
        <v>261</v>
      </c>
      <c r="B57" s="1382" t="s">
        <v>34</v>
      </c>
      <c r="C57" s="1679">
        <f>SUM(C55:C56)</f>
        <v>2571694</v>
      </c>
      <c r="D57" s="1679">
        <f t="shared" ref="D57:K57" si="6">SUM(D55:D56)</f>
        <v>547227</v>
      </c>
      <c r="E57" s="1679">
        <f t="shared" si="6"/>
        <v>0</v>
      </c>
      <c r="F57" s="1679">
        <f t="shared" si="6"/>
        <v>47817</v>
      </c>
      <c r="G57" s="1679">
        <f t="shared" si="6"/>
        <v>0</v>
      </c>
      <c r="H57" s="1679">
        <f t="shared" si="6"/>
        <v>0</v>
      </c>
      <c r="I57" s="1679">
        <f t="shared" si="6"/>
        <v>0</v>
      </c>
      <c r="J57" s="1679">
        <f t="shared" si="6"/>
        <v>0</v>
      </c>
      <c r="K57" s="1679">
        <f t="shared" si="6"/>
        <v>3166738</v>
      </c>
      <c r="L57" s="1674">
        <f>SUM(L55:L56)</f>
        <v>4303760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80500</v>
      </c>
      <c r="D59" s="1586">
        <v>8310</v>
      </c>
      <c r="E59" s="1586">
        <v>7747</v>
      </c>
      <c r="F59" s="1586">
        <v>1347</v>
      </c>
      <c r="G59" s="1586"/>
      <c r="H59" s="1586">
        <v>2378</v>
      </c>
      <c r="I59" s="1574"/>
      <c r="J59" s="1574"/>
      <c r="K59" s="1678">
        <f t="shared" ref="K59:K64" si="7">SUM(C59:J59)</f>
        <v>100282</v>
      </c>
      <c r="L59" s="1586">
        <v>132182</v>
      </c>
      <c r="M59" s="501"/>
      <c r="N59" s="501"/>
    </row>
    <row r="60" spans="1:14" s="321" customFormat="1" x14ac:dyDescent="0.2">
      <c r="A60" s="1274" t="s">
        <v>460</v>
      </c>
      <c r="B60" s="503">
        <v>2520</v>
      </c>
      <c r="C60" s="1573">
        <v>354360</v>
      </c>
      <c r="D60" s="1573">
        <v>53153</v>
      </c>
      <c r="E60" s="1573">
        <v>40009</v>
      </c>
      <c r="F60" s="1573">
        <v>11067</v>
      </c>
      <c r="G60" s="1573"/>
      <c r="H60" s="1573"/>
      <c r="I60" s="1574">
        <v>1880</v>
      </c>
      <c r="J60" s="1574"/>
      <c r="K60" s="1678">
        <f t="shared" si="7"/>
        <v>460469</v>
      </c>
      <c r="L60" s="1573">
        <v>562968</v>
      </c>
      <c r="M60" s="501"/>
      <c r="N60" s="501"/>
    </row>
    <row r="61" spans="1:14" s="321" customFormat="1" x14ac:dyDescent="0.2">
      <c r="A61" s="1274" t="s">
        <v>195</v>
      </c>
      <c r="B61" s="503">
        <v>2540</v>
      </c>
      <c r="C61" s="1573">
        <v>1407567</v>
      </c>
      <c r="D61" s="1573">
        <v>287533</v>
      </c>
      <c r="E61" s="1573"/>
      <c r="F61" s="1573">
        <v>2520</v>
      </c>
      <c r="G61" s="1573"/>
      <c r="H61" s="1573"/>
      <c r="I61" s="1574">
        <v>22614</v>
      </c>
      <c r="J61" s="1574"/>
      <c r="K61" s="1678">
        <f t="shared" si="7"/>
        <v>1720234</v>
      </c>
      <c r="L61" s="1573">
        <v>2164401</v>
      </c>
      <c r="M61" s="501"/>
      <c r="N61" s="501"/>
    </row>
    <row r="62" spans="1:14" s="321" customFormat="1" x14ac:dyDescent="0.2">
      <c r="A62" s="1274" t="s">
        <v>947</v>
      </c>
      <c r="B62" s="503">
        <v>2550</v>
      </c>
      <c r="C62" s="1573"/>
      <c r="D62" s="1573"/>
      <c r="E62" s="1573">
        <v>92557</v>
      </c>
      <c r="F62" s="1573"/>
      <c r="G62" s="1573"/>
      <c r="H62" s="1573"/>
      <c r="I62" s="1574"/>
      <c r="J62" s="1574"/>
      <c r="K62" s="1678">
        <f t="shared" si="7"/>
        <v>92557</v>
      </c>
      <c r="L62" s="1573">
        <v>81807</v>
      </c>
      <c r="M62" s="501"/>
      <c r="N62" s="501"/>
    </row>
    <row r="63" spans="1:14" s="501" customFormat="1" x14ac:dyDescent="0.2">
      <c r="A63" s="1274" t="s">
        <v>100</v>
      </c>
      <c r="B63" s="503">
        <v>2560</v>
      </c>
      <c r="C63" s="1573">
        <v>538372</v>
      </c>
      <c r="D63" s="1573">
        <v>69987</v>
      </c>
      <c r="E63" s="1573">
        <v>1383636</v>
      </c>
      <c r="F63" s="1573">
        <v>124869</v>
      </c>
      <c r="G63" s="1573">
        <v>11501</v>
      </c>
      <c r="H63" s="1573"/>
      <c r="I63" s="1574">
        <v>97095</v>
      </c>
      <c r="J63" s="1574"/>
      <c r="K63" s="1678">
        <f t="shared" si="7"/>
        <v>2225460</v>
      </c>
      <c r="L63" s="1573">
        <v>3186484</v>
      </c>
    </row>
    <row r="64" spans="1:14" s="501" customFormat="1" x14ac:dyDescent="0.2">
      <c r="A64" s="1279" t="s">
        <v>101</v>
      </c>
      <c r="B64" s="513">
        <v>2570</v>
      </c>
      <c r="C64" s="1586"/>
      <c r="D64" s="1586"/>
      <c r="E64" s="1586">
        <v>232126</v>
      </c>
      <c r="F64" s="1586">
        <v>614</v>
      </c>
      <c r="G64" s="1586"/>
      <c r="H64" s="1586"/>
      <c r="I64" s="1574"/>
      <c r="J64" s="1574"/>
      <c r="K64" s="1678">
        <f t="shared" si="7"/>
        <v>232740</v>
      </c>
      <c r="L64" s="1586">
        <v>134425</v>
      </c>
    </row>
    <row r="65" spans="1:14" s="321" customFormat="1" ht="12.75" customHeight="1" thickBot="1" x14ac:dyDescent="0.25">
      <c r="A65" s="1380" t="s">
        <v>714</v>
      </c>
      <c r="B65" s="1381" t="s">
        <v>35</v>
      </c>
      <c r="C65" s="1674">
        <f>SUM(C59:C64)</f>
        <v>2380799</v>
      </c>
      <c r="D65" s="1674">
        <f t="shared" ref="D65:L65" si="8">SUM(D59:D64)</f>
        <v>418983</v>
      </c>
      <c r="E65" s="1674">
        <f t="shared" si="8"/>
        <v>1756075</v>
      </c>
      <c r="F65" s="1674">
        <f t="shared" si="8"/>
        <v>140417</v>
      </c>
      <c r="G65" s="1674">
        <f t="shared" si="8"/>
        <v>11501</v>
      </c>
      <c r="H65" s="1674">
        <f t="shared" si="8"/>
        <v>2378</v>
      </c>
      <c r="I65" s="1674">
        <f t="shared" si="8"/>
        <v>121589</v>
      </c>
      <c r="J65" s="1674">
        <f t="shared" si="8"/>
        <v>0</v>
      </c>
      <c r="K65" s="1674">
        <f t="shared" si="8"/>
        <v>4831742</v>
      </c>
      <c r="L65" s="1674">
        <f t="shared" si="8"/>
        <v>6262267</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v>1048645</v>
      </c>
      <c r="F68" s="1573"/>
      <c r="G68" s="1573"/>
      <c r="H68" s="1573"/>
      <c r="I68" s="1574"/>
      <c r="J68" s="1574"/>
      <c r="K68" s="1678">
        <f>SUM(C68:J68)</f>
        <v>1048645</v>
      </c>
      <c r="L68" s="1573">
        <v>758970</v>
      </c>
      <c r="M68" s="501"/>
      <c r="N68" s="501"/>
    </row>
    <row r="69" spans="1:14" s="321" customFormat="1" x14ac:dyDescent="0.2">
      <c r="A69" s="1274" t="s">
        <v>1052</v>
      </c>
      <c r="B69" s="503">
        <v>2630</v>
      </c>
      <c r="C69" s="1573">
        <v>479192</v>
      </c>
      <c r="D69" s="1573">
        <v>69406</v>
      </c>
      <c r="E69" s="1573">
        <v>329653</v>
      </c>
      <c r="F69" s="1573">
        <v>269509</v>
      </c>
      <c r="G69" s="1573"/>
      <c r="H69" s="1573">
        <v>415</v>
      </c>
      <c r="I69" s="1574"/>
      <c r="J69" s="1574"/>
      <c r="K69" s="1678">
        <f>SUM(C69:J69)</f>
        <v>1148175</v>
      </c>
      <c r="L69" s="1573">
        <v>1688335</v>
      </c>
      <c r="M69" s="501"/>
      <c r="N69" s="501"/>
    </row>
    <row r="70" spans="1:14" s="321" customFormat="1" x14ac:dyDescent="0.2">
      <c r="A70" s="1274" t="s">
        <v>400</v>
      </c>
      <c r="B70" s="503">
        <v>2640</v>
      </c>
      <c r="C70" s="1573">
        <v>585931</v>
      </c>
      <c r="D70" s="1573">
        <v>100458</v>
      </c>
      <c r="E70" s="1573">
        <v>8750</v>
      </c>
      <c r="F70" s="1573">
        <v>10679</v>
      </c>
      <c r="G70" s="1573"/>
      <c r="H70" s="1573">
        <v>6947</v>
      </c>
      <c r="I70" s="1574"/>
      <c r="J70" s="1574"/>
      <c r="K70" s="1678">
        <f>SUM(C70:J70)</f>
        <v>712765</v>
      </c>
      <c r="L70" s="1573">
        <v>798555</v>
      </c>
      <c r="M70" s="501"/>
      <c r="N70" s="501"/>
    </row>
    <row r="71" spans="1:14" s="321" customFormat="1" x14ac:dyDescent="0.2">
      <c r="A71" s="1274" t="s">
        <v>401</v>
      </c>
      <c r="B71" s="503">
        <v>2660</v>
      </c>
      <c r="C71" s="1573"/>
      <c r="D71" s="1573"/>
      <c r="E71" s="1573">
        <v>2455</v>
      </c>
      <c r="F71" s="1573">
        <v>1888</v>
      </c>
      <c r="G71" s="1573"/>
      <c r="H71" s="1573"/>
      <c r="I71" s="1574"/>
      <c r="J71" s="1574"/>
      <c r="K71" s="1678">
        <f>SUM(C71:J71)</f>
        <v>4343</v>
      </c>
      <c r="L71" s="1573">
        <v>21800</v>
      </c>
      <c r="M71" s="501"/>
      <c r="N71" s="501"/>
    </row>
    <row r="72" spans="1:14" s="321" customFormat="1" ht="12.75" customHeight="1" thickBot="1" x14ac:dyDescent="0.25">
      <c r="A72" s="1380" t="s">
        <v>37</v>
      </c>
      <c r="B72" s="1383" t="s">
        <v>36</v>
      </c>
      <c r="C72" s="1674">
        <f>SUM(C67:C71)</f>
        <v>1065123</v>
      </c>
      <c r="D72" s="1674">
        <f t="shared" ref="D72:K72" si="9">SUM(D67:D71)</f>
        <v>169864</v>
      </c>
      <c r="E72" s="1674">
        <f t="shared" si="9"/>
        <v>1389503</v>
      </c>
      <c r="F72" s="1674">
        <f t="shared" si="9"/>
        <v>282076</v>
      </c>
      <c r="G72" s="1674">
        <f t="shared" si="9"/>
        <v>0</v>
      </c>
      <c r="H72" s="1674">
        <f t="shared" si="9"/>
        <v>7362</v>
      </c>
      <c r="I72" s="1674">
        <f t="shared" si="9"/>
        <v>0</v>
      </c>
      <c r="J72" s="1674">
        <f t="shared" si="9"/>
        <v>0</v>
      </c>
      <c r="K72" s="1674">
        <f t="shared" si="9"/>
        <v>2913928</v>
      </c>
      <c r="L72" s="1674">
        <f>SUM(L67:L71)</f>
        <v>3267660</v>
      </c>
      <c r="M72" s="501"/>
      <c r="N72" s="501"/>
    </row>
    <row r="73" spans="1:14" s="321" customFormat="1" ht="14.25" thickTop="1" thickBot="1" x14ac:dyDescent="0.25">
      <c r="A73" s="1280" t="s">
        <v>973</v>
      </c>
      <c r="B73" s="515" t="s">
        <v>570</v>
      </c>
      <c r="C73" s="1649">
        <f>613978+63975</f>
        <v>677953</v>
      </c>
      <c r="D73" s="1649">
        <f>71815+16802</f>
        <v>88617</v>
      </c>
      <c r="E73" s="1649">
        <f>144388+3375</f>
        <v>147763</v>
      </c>
      <c r="F73" s="1649">
        <f>154601+1207</f>
        <v>155808</v>
      </c>
      <c r="G73" s="1649"/>
      <c r="H73" s="1649">
        <v>262</v>
      </c>
      <c r="I73" s="1627">
        <v>541</v>
      </c>
      <c r="J73" s="1627"/>
      <c r="K73" s="1674">
        <f>SUM(C73:J73)</f>
        <v>1070944</v>
      </c>
      <c r="L73" s="1651">
        <v>1536730</v>
      </c>
      <c r="M73" s="501"/>
      <c r="N73" s="501"/>
    </row>
    <row r="74" spans="1:14" ht="12.75" customHeight="1" thickTop="1" thickBot="1" x14ac:dyDescent="0.25">
      <c r="A74" s="1380" t="s">
        <v>806</v>
      </c>
      <c r="B74" s="1384">
        <v>2000</v>
      </c>
      <c r="C74" s="1681">
        <f>SUM(C42,C47,C53,C57,C65,C72,C73)</f>
        <v>10974773</v>
      </c>
      <c r="D74" s="1681">
        <f t="shared" ref="D74:K74" si="10">SUM(D42,D47,D53,D57,D65,D72,D73)</f>
        <v>2286821</v>
      </c>
      <c r="E74" s="1681">
        <f t="shared" si="10"/>
        <v>3746667</v>
      </c>
      <c r="F74" s="1681">
        <f t="shared" si="10"/>
        <v>844704</v>
      </c>
      <c r="G74" s="1681">
        <f t="shared" si="10"/>
        <v>11501</v>
      </c>
      <c r="H74" s="1681">
        <f t="shared" si="10"/>
        <v>69920</v>
      </c>
      <c r="I74" s="1681">
        <f t="shared" si="10"/>
        <v>135338</v>
      </c>
      <c r="J74" s="1681">
        <f t="shared" si="10"/>
        <v>0</v>
      </c>
      <c r="K74" s="1681">
        <f t="shared" si="10"/>
        <v>18069724</v>
      </c>
      <c r="L74" s="1681">
        <f>SUM(L42,L47,L53,L57,L65,L72,L73)</f>
        <v>22151895</v>
      </c>
    </row>
    <row r="75" spans="1:14" s="254" customFormat="1" ht="15.75" customHeight="1" thickTop="1" thickBot="1" x14ac:dyDescent="0.25">
      <c r="A75" s="1348" t="s">
        <v>47</v>
      </c>
      <c r="B75" s="1349" t="s">
        <v>571</v>
      </c>
      <c r="C75" s="1649">
        <f>259323+87556</f>
        <v>346879</v>
      </c>
      <c r="D75" s="1649">
        <f>46077+17930+177</f>
        <v>64184</v>
      </c>
      <c r="E75" s="1649">
        <f>25351+1395</f>
        <v>26746</v>
      </c>
      <c r="F75" s="1649">
        <v>92210</v>
      </c>
      <c r="G75" s="1649"/>
      <c r="H75" s="1649"/>
      <c r="I75" s="1627">
        <v>541</v>
      </c>
      <c r="J75" s="1627"/>
      <c r="K75" s="1674">
        <f>SUM(C75:J75)</f>
        <v>530560</v>
      </c>
      <c r="L75" s="1651">
        <v>604475</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f>22384+48743</f>
        <v>71127</v>
      </c>
      <c r="I83" s="1582"/>
      <c r="J83" s="1582"/>
      <c r="K83" s="1672">
        <f t="shared" si="11"/>
        <v>71127</v>
      </c>
      <c r="L83" s="1573">
        <v>56000</v>
      </c>
    </row>
    <row r="84" spans="1:12" ht="13.5" thickBot="1" x14ac:dyDescent="0.25">
      <c r="A84" s="1380" t="s">
        <v>1468</v>
      </c>
      <c r="B84" s="1385">
        <v>4100</v>
      </c>
      <c r="C84" s="1673"/>
      <c r="D84" s="1673"/>
      <c r="E84" s="1674">
        <f>SUM(E78:E83)</f>
        <v>0</v>
      </c>
      <c r="F84" s="1673"/>
      <c r="G84" s="1673"/>
      <c r="H84" s="1674">
        <f>SUM(H78:H83)</f>
        <v>71127</v>
      </c>
      <c r="I84" s="1582"/>
      <c r="J84" s="1582"/>
      <c r="K84" s="1674">
        <f>SUM(K78:K83)</f>
        <v>71127</v>
      </c>
      <c r="L84" s="1674">
        <f>SUM(L78:L83)</f>
        <v>56000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5400</v>
      </c>
    </row>
    <row r="102" spans="1:14" ht="12.75" customHeight="1" thickTop="1" thickBot="1" x14ac:dyDescent="0.25">
      <c r="A102" s="1380" t="s">
        <v>1470</v>
      </c>
      <c r="B102" s="1385">
        <v>4000</v>
      </c>
      <c r="C102" s="1673"/>
      <c r="D102" s="1673"/>
      <c r="E102" s="1681">
        <f>SUM(E84,E92,E100,E101)</f>
        <v>0</v>
      </c>
      <c r="F102" s="1673"/>
      <c r="G102" s="1673"/>
      <c r="H102" s="1681">
        <f>SUM(H84,H92,H100,H101)</f>
        <v>71127</v>
      </c>
      <c r="I102" s="1582"/>
      <c r="J102" s="1582"/>
      <c r="K102" s="1681">
        <f>SUM(K84,K92,K100,K101)</f>
        <v>71127</v>
      </c>
      <c r="L102" s="1681">
        <f>SUM(L84,L92,L100,L101)</f>
        <v>61400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27152845</v>
      </c>
      <c r="D114" s="1674">
        <f t="shared" ref="D114:K114" si="13">SUM(D33,D74,D75,D102,D112,D113)</f>
        <v>6878522</v>
      </c>
      <c r="E114" s="1674">
        <f t="shared" si="13"/>
        <v>4743506</v>
      </c>
      <c r="F114" s="1674">
        <f t="shared" si="13"/>
        <v>1871520</v>
      </c>
      <c r="G114" s="1674">
        <f t="shared" si="13"/>
        <v>11501</v>
      </c>
      <c r="H114" s="1674">
        <f>SUM(H33,H74,H75,H102,H112,H113)</f>
        <v>1890362</v>
      </c>
      <c r="I114" s="1674">
        <f t="shared" si="13"/>
        <v>149300</v>
      </c>
      <c r="J114" s="1674">
        <f t="shared" si="13"/>
        <v>0</v>
      </c>
      <c r="K114" s="1674">
        <f t="shared" si="13"/>
        <v>42697556</v>
      </c>
      <c r="L114" s="1674">
        <f>SUM(L33,L74,L75,L102,L112,L113)</f>
        <v>48821392</v>
      </c>
    </row>
    <row r="115" spans="1:14" ht="13.5" thickTop="1" x14ac:dyDescent="0.2">
      <c r="A115" s="2415" t="s">
        <v>989</v>
      </c>
      <c r="B115" s="2416"/>
      <c r="C115" s="1675"/>
      <c r="D115" s="1675"/>
      <c r="E115" s="1675"/>
      <c r="F115" s="1675"/>
      <c r="G115" s="1675"/>
      <c r="H115" s="1675"/>
      <c r="I115" s="1675"/>
      <c r="J115" s="1675"/>
      <c r="K115" s="1689">
        <f>'Revenues 9-14'!C268-'Expenditures 15-22'!K114</f>
        <v>315599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93" t="s">
        <v>293</v>
      </c>
      <c r="B117" s="2394"/>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f>68426+1016076</f>
        <v>1084502</v>
      </c>
      <c r="D124" s="1573">
        <f>16259+214424</f>
        <v>230683</v>
      </c>
      <c r="E124" s="1573">
        <f>82171+362253</f>
        <v>444424</v>
      </c>
      <c r="F124" s="1573">
        <f>722472+169816</f>
        <v>892288</v>
      </c>
      <c r="G124" s="1573"/>
      <c r="H124" s="1573"/>
      <c r="I124" s="1574">
        <v>299</v>
      </c>
      <c r="J124" s="1574"/>
      <c r="K124" s="1674">
        <f>SUM(C124:J124)</f>
        <v>2652196</v>
      </c>
      <c r="L124" s="1573">
        <v>3159374</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1084502</v>
      </c>
      <c r="D127" s="1674">
        <f t="shared" ref="D127:L127" si="14">SUM(D122:D126)</f>
        <v>230683</v>
      </c>
      <c r="E127" s="1674">
        <f t="shared" si="14"/>
        <v>444424</v>
      </c>
      <c r="F127" s="1674">
        <f t="shared" si="14"/>
        <v>892288</v>
      </c>
      <c r="G127" s="1674">
        <f t="shared" si="14"/>
        <v>0</v>
      </c>
      <c r="H127" s="1674">
        <f t="shared" si="14"/>
        <v>0</v>
      </c>
      <c r="I127" s="1674">
        <f t="shared" si="14"/>
        <v>299</v>
      </c>
      <c r="J127" s="1674">
        <f t="shared" si="14"/>
        <v>0</v>
      </c>
      <c r="K127" s="1674">
        <f t="shared" si="14"/>
        <v>2652196</v>
      </c>
      <c r="L127" s="1674">
        <f t="shared" si="14"/>
        <v>3159374</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1084502</v>
      </c>
      <c r="D129" s="1681">
        <f t="shared" ref="D129:L129" si="15">SUM(D120,D127,D128)</f>
        <v>230683</v>
      </c>
      <c r="E129" s="1681">
        <f t="shared" si="15"/>
        <v>444424</v>
      </c>
      <c r="F129" s="1681">
        <f t="shared" si="15"/>
        <v>892288</v>
      </c>
      <c r="G129" s="1681">
        <f t="shared" si="15"/>
        <v>0</v>
      </c>
      <c r="H129" s="1681">
        <f t="shared" si="15"/>
        <v>0</v>
      </c>
      <c r="I129" s="1681">
        <f t="shared" si="15"/>
        <v>299</v>
      </c>
      <c r="J129" s="1681">
        <f t="shared" si="15"/>
        <v>0</v>
      </c>
      <c r="K129" s="1681">
        <f t="shared" si="15"/>
        <v>2652196</v>
      </c>
      <c r="L129" s="1681">
        <f t="shared" si="15"/>
        <v>3159374</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405" t="s">
        <v>616</v>
      </c>
      <c r="B151" s="2387"/>
      <c r="C151" s="1674">
        <f>SUM(C129,C130,C139,C149,C150)</f>
        <v>1084502</v>
      </c>
      <c r="D151" s="1674">
        <f t="shared" ref="D151:K151" si="16">SUM(D129,D130,D139,D149,D150)</f>
        <v>230683</v>
      </c>
      <c r="E151" s="1674">
        <f t="shared" si="16"/>
        <v>444424</v>
      </c>
      <c r="F151" s="1674">
        <f t="shared" si="16"/>
        <v>892288</v>
      </c>
      <c r="G151" s="1674">
        <f t="shared" si="16"/>
        <v>0</v>
      </c>
      <c r="H151" s="1674">
        <f t="shared" si="16"/>
        <v>0</v>
      </c>
      <c r="I151" s="1674">
        <f t="shared" si="16"/>
        <v>299</v>
      </c>
      <c r="J151" s="1674">
        <f t="shared" si="16"/>
        <v>0</v>
      </c>
      <c r="K151" s="1674">
        <f t="shared" si="16"/>
        <v>2652196</v>
      </c>
      <c r="L151" s="1674">
        <f>SUM(L129,L130,L139,L149,L150)</f>
        <v>3159374</v>
      </c>
    </row>
    <row r="152" spans="1:14" ht="12.75" customHeight="1" thickTop="1" x14ac:dyDescent="0.2">
      <c r="A152" s="2408" t="s">
        <v>1168</v>
      </c>
      <c r="B152" s="2409"/>
      <c r="C152" s="1675"/>
      <c r="D152" s="1675"/>
      <c r="E152" s="1675"/>
      <c r="F152" s="1675"/>
      <c r="G152" s="1675"/>
      <c r="H152" s="1675"/>
      <c r="I152" s="1675"/>
      <c r="J152" s="1673"/>
      <c r="K152" s="1689">
        <f>'Revenues 9-14'!D268-'Expenditures 15-22'!K151</f>
        <v>276398</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93" t="s">
        <v>617</v>
      </c>
      <c r="B154" s="2395"/>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774540</v>
      </c>
      <c r="I169" s="1673"/>
      <c r="J169" s="1673"/>
      <c r="K169" s="1672">
        <f>SUM(C169:H169)</f>
        <v>774540</v>
      </c>
      <c r="L169" s="1695">
        <v>3065000</v>
      </c>
    </row>
    <row r="170" spans="1:14" ht="33.75" customHeight="1" x14ac:dyDescent="0.2">
      <c r="A170" s="543" t="s">
        <v>1651</v>
      </c>
      <c r="B170" s="545" t="s">
        <v>31</v>
      </c>
      <c r="C170" s="1673"/>
      <c r="D170" s="1673"/>
      <c r="E170" s="1673"/>
      <c r="F170" s="1673"/>
      <c r="G170" s="1673"/>
      <c r="H170" s="1646">
        <v>2115000</v>
      </c>
      <c r="I170" s="1673"/>
      <c r="J170" s="1673"/>
      <c r="K170" s="1672">
        <f>SUM(C170:J170)</f>
        <v>2115000</v>
      </c>
      <c r="L170" s="1646"/>
    </row>
    <row r="171" spans="1:14" ht="15.75" customHeight="1" x14ac:dyDescent="0.2">
      <c r="A171" s="507" t="s">
        <v>761</v>
      </c>
      <c r="B171" s="546" t="s">
        <v>84</v>
      </c>
      <c r="C171" s="1673"/>
      <c r="D171" s="1673"/>
      <c r="E171" s="1573"/>
      <c r="F171" s="1673"/>
      <c r="G171" s="1673"/>
      <c r="H171" s="1646">
        <v>2277</v>
      </c>
      <c r="I171" s="1582"/>
      <c r="J171" s="1673"/>
      <c r="K171" s="1672">
        <f>SUM(C171:J171)</f>
        <v>2277</v>
      </c>
      <c r="L171" s="1646"/>
    </row>
    <row r="172" spans="1:14" ht="12.75" customHeight="1" thickBot="1" x14ac:dyDescent="0.25">
      <c r="A172" s="1380" t="s">
        <v>633</v>
      </c>
      <c r="B172" s="1381" t="s">
        <v>489</v>
      </c>
      <c r="C172" s="1673"/>
      <c r="D172" s="1673"/>
      <c r="E172" s="1681">
        <f>SUM(E168,E169,E170,E171)</f>
        <v>0</v>
      </c>
      <c r="F172" s="1673"/>
      <c r="G172" s="1673"/>
      <c r="H172" s="1681">
        <f>SUM(H168,H169,H170,H171)</f>
        <v>2891817</v>
      </c>
      <c r="I172" s="1684"/>
      <c r="J172" s="1673"/>
      <c r="K172" s="1681">
        <f>SUM(K168,K169,K170,K171)</f>
        <v>2891817</v>
      </c>
      <c r="L172" s="1681">
        <f>SUM(L168,L169,L170,L171)</f>
        <v>3065000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2891817</v>
      </c>
      <c r="I174" s="1684"/>
      <c r="J174" s="1673"/>
      <c r="K174" s="1681">
        <f>SUM(K160,K172,K173)</f>
        <v>2891817</v>
      </c>
      <c r="L174" s="1681">
        <f>SUM(L160,L172,L173)</f>
        <v>3065000</v>
      </c>
    </row>
    <row r="175" spans="1:14" ht="13.5" thickTop="1" x14ac:dyDescent="0.2">
      <c r="A175" s="2415" t="s">
        <v>989</v>
      </c>
      <c r="B175" s="2416"/>
      <c r="C175" s="1673"/>
      <c r="D175" s="1673"/>
      <c r="E175" s="1673"/>
      <c r="F175" s="1673"/>
      <c r="G175" s="1673"/>
      <c r="H175" s="1675"/>
      <c r="I175" s="1673"/>
      <c r="J175" s="1673"/>
      <c r="K175" s="1689">
        <f>'Revenues 9-14'!E268-'Expenditures 15-22'!K174</f>
        <v>36739</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f>102865+231480</f>
        <v>334345</v>
      </c>
      <c r="D182" s="1573">
        <f>23817+118059</f>
        <v>141876</v>
      </c>
      <c r="E182" s="1573">
        <f>2154032+2814</f>
        <v>2156846</v>
      </c>
      <c r="F182" s="1573">
        <v>273909</v>
      </c>
      <c r="G182" s="1573"/>
      <c r="H182" s="1573"/>
      <c r="I182" s="1574"/>
      <c r="J182" s="1574"/>
      <c r="K182" s="1672">
        <f>SUM(C182:J182)</f>
        <v>2906976</v>
      </c>
      <c r="L182" s="1573">
        <v>3277284</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334345</v>
      </c>
      <c r="D184" s="1681">
        <f t="shared" ref="D184:J184" si="17">SUM(D180,D182,D183)</f>
        <v>141876</v>
      </c>
      <c r="E184" s="1681">
        <f t="shared" si="17"/>
        <v>2156846</v>
      </c>
      <c r="F184" s="1681">
        <f t="shared" si="17"/>
        <v>273909</v>
      </c>
      <c r="G184" s="1681">
        <f t="shared" si="17"/>
        <v>0</v>
      </c>
      <c r="H184" s="1681">
        <f t="shared" si="17"/>
        <v>0</v>
      </c>
      <c r="I184" s="1681">
        <f t="shared" si="17"/>
        <v>0</v>
      </c>
      <c r="J184" s="1681">
        <f t="shared" si="17"/>
        <v>0</v>
      </c>
      <c r="K184" s="1681">
        <f>SUM(K180,K182,K183)</f>
        <v>2906976</v>
      </c>
      <c r="L184" s="1681">
        <f>SUM(L180, L182:L183)</f>
        <v>3277284</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334345</v>
      </c>
      <c r="D210" s="1674">
        <f>SUM(D184,D185)</f>
        <v>141876</v>
      </c>
      <c r="E210" s="1674">
        <f>SUM(E184,E185,E196)</f>
        <v>2156846</v>
      </c>
      <c r="F210" s="1674">
        <f>SUM(F184,F185)</f>
        <v>273909</v>
      </c>
      <c r="G210" s="1674">
        <f>SUM(G184,G185)</f>
        <v>0</v>
      </c>
      <c r="H210" s="1674">
        <f>SUM(H184,H185,H196,H208,H209)</f>
        <v>0</v>
      </c>
      <c r="I210" s="1674">
        <f>SUM(I184,I185)</f>
        <v>0</v>
      </c>
      <c r="J210" s="1674">
        <f>SUM(J184,J185)</f>
        <v>0</v>
      </c>
      <c r="K210" s="1672">
        <f>SUM(K184,K185,K196,K208,K209)</f>
        <v>2906976</v>
      </c>
      <c r="L210" s="1674">
        <f>SUM(L184,L185,L196,L208,L209)</f>
        <v>3277284</v>
      </c>
    </row>
    <row r="211" spans="1:14" ht="13.5" thickTop="1" x14ac:dyDescent="0.2">
      <c r="A211" s="2415" t="s">
        <v>989</v>
      </c>
      <c r="B211" s="2416"/>
      <c r="C211" s="1675"/>
      <c r="D211" s="1675"/>
      <c r="E211" s="1675"/>
      <c r="F211" s="1675"/>
      <c r="G211" s="1675"/>
      <c r="H211" s="1675"/>
      <c r="I211" s="1673"/>
      <c r="J211" s="1673"/>
      <c r="K211" s="1689">
        <f>'Revenues 9-14'!F268-'Expenditures 15-22'!K210</f>
        <v>13653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410" t="s">
        <v>959</v>
      </c>
      <c r="B213" s="2411"/>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f>787+116762+90922</f>
        <v>208471</v>
      </c>
      <c r="E215" s="1673"/>
      <c r="F215" s="1673"/>
      <c r="G215" s="1673"/>
      <c r="H215" s="1673"/>
      <c r="I215" s="1673"/>
      <c r="J215" s="1673"/>
      <c r="K215" s="1672">
        <f>D215</f>
        <v>208471</v>
      </c>
      <c r="L215" s="1573">
        <v>131818</v>
      </c>
    </row>
    <row r="216" spans="1:14" x14ac:dyDescent="0.2">
      <c r="A216" s="1274" t="s">
        <v>162</v>
      </c>
      <c r="B216" s="503" t="s">
        <v>961</v>
      </c>
      <c r="C216" s="1673"/>
      <c r="D216" s="1574"/>
      <c r="E216" s="1673"/>
      <c r="F216" s="1673"/>
      <c r="G216" s="1673"/>
      <c r="H216" s="1673"/>
      <c r="I216" s="1673"/>
      <c r="J216" s="1673"/>
      <c r="K216" s="1672">
        <f t="shared" ref="K216:K228" si="19">D216</f>
        <v>0</v>
      </c>
      <c r="L216" s="1573">
        <v>55420</v>
      </c>
    </row>
    <row r="217" spans="1:14" x14ac:dyDescent="0.2">
      <c r="A217" s="1274" t="s">
        <v>163</v>
      </c>
      <c r="B217" s="503">
        <v>1200</v>
      </c>
      <c r="C217" s="1673"/>
      <c r="D217" s="1573">
        <f>653+205594+4+47+14</f>
        <v>206312</v>
      </c>
      <c r="E217" s="1673"/>
      <c r="F217" s="1673"/>
      <c r="G217" s="1673"/>
      <c r="H217" s="1673"/>
      <c r="I217" s="1673"/>
      <c r="J217" s="1673"/>
      <c r="K217" s="1672">
        <f t="shared" si="19"/>
        <v>206312</v>
      </c>
      <c r="L217" s="1573">
        <v>342604</v>
      </c>
    </row>
    <row r="218" spans="1:14" x14ac:dyDescent="0.2">
      <c r="A218" s="1274" t="s">
        <v>276</v>
      </c>
      <c r="B218" s="503" t="s">
        <v>962</v>
      </c>
      <c r="C218" s="1673"/>
      <c r="D218" s="1574">
        <f>29045+207</f>
        <v>29252</v>
      </c>
      <c r="E218" s="1673"/>
      <c r="F218" s="1673"/>
      <c r="G218" s="1673"/>
      <c r="H218" s="1673"/>
      <c r="I218" s="1673"/>
      <c r="J218" s="1673"/>
      <c r="K218" s="1672">
        <f t="shared" si="19"/>
        <v>29252</v>
      </c>
      <c r="L218" s="1573">
        <v>33272</v>
      </c>
    </row>
    <row r="219" spans="1:14" x14ac:dyDescent="0.2">
      <c r="A219" s="1274" t="s">
        <v>277</v>
      </c>
      <c r="B219" s="503">
        <v>1250</v>
      </c>
      <c r="C219" s="1673"/>
      <c r="D219" s="1573">
        <v>84445</v>
      </c>
      <c r="E219" s="1673"/>
      <c r="F219" s="1673"/>
      <c r="G219" s="1673"/>
      <c r="H219" s="1673"/>
      <c r="I219" s="1673"/>
      <c r="J219" s="1673"/>
      <c r="K219" s="1672">
        <f t="shared" si="19"/>
        <v>84445</v>
      </c>
      <c r="L219" s="1573">
        <v>107086</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f>30497+1213+368+432+709+270+20</f>
        <v>33509</v>
      </c>
      <c r="E223" s="1673"/>
      <c r="F223" s="1673"/>
      <c r="G223" s="1673"/>
      <c r="H223" s="1673"/>
      <c r="I223" s="1673"/>
      <c r="J223" s="1673"/>
      <c r="K223" s="1672">
        <f t="shared" si="19"/>
        <v>33509</v>
      </c>
      <c r="L223" s="1573">
        <v>42893</v>
      </c>
    </row>
    <row r="224" spans="1:14" x14ac:dyDescent="0.2">
      <c r="A224" s="1274" t="s">
        <v>958</v>
      </c>
      <c r="B224" s="503">
        <v>1600</v>
      </c>
      <c r="C224" s="1673"/>
      <c r="D224" s="1573">
        <v>89</v>
      </c>
      <c r="E224" s="1673"/>
      <c r="F224" s="1673"/>
      <c r="G224" s="1673"/>
      <c r="H224" s="1673"/>
      <c r="I224" s="1673"/>
      <c r="J224" s="1673"/>
      <c r="K224" s="1672">
        <f t="shared" si="19"/>
        <v>89</v>
      </c>
      <c r="L224" s="1573">
        <v>500</v>
      </c>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562078</v>
      </c>
      <c r="E229" s="1673"/>
      <c r="F229" s="1673"/>
      <c r="G229" s="1673"/>
      <c r="H229" s="1673"/>
      <c r="I229" s="1673"/>
      <c r="J229" s="1673"/>
      <c r="K229" s="1674">
        <f>SUM(K215:K228)</f>
        <v>562078</v>
      </c>
      <c r="L229" s="1674">
        <f>SUM(L215:L228)</f>
        <v>713593</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86701</v>
      </c>
      <c r="E232" s="1673"/>
      <c r="F232" s="1673"/>
      <c r="G232" s="1673"/>
      <c r="H232" s="1673"/>
      <c r="I232" s="1673"/>
      <c r="J232" s="1673"/>
      <c r="K232" s="1672">
        <f t="shared" ref="K232:K237" si="20">D232</f>
        <v>86701</v>
      </c>
      <c r="L232" s="1573"/>
    </row>
    <row r="233" spans="1:12" x14ac:dyDescent="0.2">
      <c r="A233" s="1274" t="s">
        <v>1081</v>
      </c>
      <c r="B233" s="503">
        <v>2120</v>
      </c>
      <c r="C233" s="1673"/>
      <c r="D233" s="1573">
        <v>2877</v>
      </c>
      <c r="E233" s="1673"/>
      <c r="F233" s="1673"/>
      <c r="G233" s="1673"/>
      <c r="H233" s="1673"/>
      <c r="I233" s="1673"/>
      <c r="J233" s="1673"/>
      <c r="K233" s="1672">
        <f t="shared" si="20"/>
        <v>2877</v>
      </c>
      <c r="L233" s="1573">
        <v>82072</v>
      </c>
    </row>
    <row r="234" spans="1:12" x14ac:dyDescent="0.2">
      <c r="A234" s="1274" t="s">
        <v>196</v>
      </c>
      <c r="B234" s="503">
        <v>2130</v>
      </c>
      <c r="C234" s="1673"/>
      <c r="D234" s="1573">
        <v>80296</v>
      </c>
      <c r="E234" s="1673"/>
      <c r="F234" s="1673"/>
      <c r="G234" s="1673"/>
      <c r="H234" s="1673"/>
      <c r="I234" s="1673"/>
      <c r="J234" s="1673"/>
      <c r="K234" s="1672">
        <f t="shared" si="20"/>
        <v>80296</v>
      </c>
      <c r="L234" s="1573">
        <v>3375</v>
      </c>
    </row>
    <row r="235" spans="1:12" x14ac:dyDescent="0.2">
      <c r="A235" s="1274" t="s">
        <v>197</v>
      </c>
      <c r="B235" s="503">
        <v>2140</v>
      </c>
      <c r="C235" s="1673"/>
      <c r="D235" s="1573">
        <v>5229</v>
      </c>
      <c r="E235" s="1673"/>
      <c r="F235" s="1673"/>
      <c r="G235" s="1673"/>
      <c r="H235" s="1673"/>
      <c r="I235" s="1673"/>
      <c r="J235" s="1673"/>
      <c r="K235" s="1672">
        <f t="shared" si="20"/>
        <v>5229</v>
      </c>
      <c r="L235" s="1573">
        <v>100664</v>
      </c>
    </row>
    <row r="236" spans="1:12" x14ac:dyDescent="0.2">
      <c r="A236" s="1274" t="s">
        <v>198</v>
      </c>
      <c r="B236" s="503">
        <v>2150</v>
      </c>
      <c r="C236" s="1673"/>
      <c r="D236" s="1573">
        <v>5345</v>
      </c>
      <c r="E236" s="1673"/>
      <c r="F236" s="1673"/>
      <c r="G236" s="1673"/>
      <c r="H236" s="1673"/>
      <c r="I236" s="1673"/>
      <c r="J236" s="1673"/>
      <c r="K236" s="1672">
        <f t="shared" si="20"/>
        <v>5345</v>
      </c>
      <c r="L236" s="1573">
        <v>5767</v>
      </c>
    </row>
    <row r="237" spans="1:12" x14ac:dyDescent="0.2">
      <c r="A237" s="1274" t="s">
        <v>164</v>
      </c>
      <c r="B237" s="503">
        <v>2190</v>
      </c>
      <c r="C237" s="1673"/>
      <c r="D237" s="1573"/>
      <c r="E237" s="1673"/>
      <c r="F237" s="1673"/>
      <c r="G237" s="1673"/>
      <c r="H237" s="1673"/>
      <c r="I237" s="1673"/>
      <c r="J237" s="1673"/>
      <c r="K237" s="1672">
        <f t="shared" si="20"/>
        <v>0</v>
      </c>
      <c r="L237" s="1573">
        <v>5436</v>
      </c>
    </row>
    <row r="238" spans="1:12" ht="12.75" customHeight="1" thickBot="1" x14ac:dyDescent="0.25">
      <c r="A238" s="1380" t="s">
        <v>556</v>
      </c>
      <c r="B238" s="1383" t="s">
        <v>711</v>
      </c>
      <c r="C238" s="1673"/>
      <c r="D238" s="1674">
        <f>SUM(D232:D237)</f>
        <v>180448</v>
      </c>
      <c r="E238" s="1673"/>
      <c r="F238" s="1673"/>
      <c r="G238" s="1673"/>
      <c r="H238" s="1673"/>
      <c r="I238" s="1673"/>
      <c r="J238" s="1673"/>
      <c r="K238" s="1674">
        <f>SUM(K232:K237)</f>
        <v>180448</v>
      </c>
      <c r="L238" s="1674">
        <f>SUM(L232:L237)</f>
        <v>197314</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57131</v>
      </c>
      <c r="E240" s="1673"/>
      <c r="F240" s="1673"/>
      <c r="G240" s="1673"/>
      <c r="H240" s="1673"/>
      <c r="I240" s="1673"/>
      <c r="J240" s="1673"/>
      <c r="K240" s="1678">
        <f>D240</f>
        <v>57131</v>
      </c>
      <c r="L240" s="1586">
        <v>35658</v>
      </c>
    </row>
    <row r="241" spans="1:12" x14ac:dyDescent="0.2">
      <c r="A241" s="1274" t="s">
        <v>810</v>
      </c>
      <c r="B241" s="503">
        <v>2220</v>
      </c>
      <c r="C241" s="1673"/>
      <c r="D241" s="1573">
        <v>343</v>
      </c>
      <c r="E241" s="1673"/>
      <c r="F241" s="1673"/>
      <c r="G241" s="1673"/>
      <c r="H241" s="1673"/>
      <c r="I241" s="1673"/>
      <c r="J241" s="1673"/>
      <c r="K241" s="1678">
        <f>D241</f>
        <v>343</v>
      </c>
      <c r="L241" s="1573">
        <v>3909</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57474</v>
      </c>
      <c r="E243" s="1673"/>
      <c r="F243" s="1673"/>
      <c r="G243" s="1673"/>
      <c r="H243" s="1673"/>
      <c r="I243" s="1673"/>
      <c r="J243" s="1673"/>
      <c r="K243" s="1674">
        <f>SUM(K240:K242)</f>
        <v>57474</v>
      </c>
      <c r="L243" s="1674">
        <f>SUM(L240:L242)</f>
        <v>39567</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f>726+768</f>
        <v>1494</v>
      </c>
      <c r="E245" s="1673"/>
      <c r="F245" s="1673"/>
      <c r="G245" s="1673"/>
      <c r="H245" s="1673"/>
      <c r="I245" s="1673"/>
      <c r="J245" s="1673"/>
      <c r="K245" s="1678">
        <f>D245</f>
        <v>1494</v>
      </c>
      <c r="L245" s="1586">
        <v>1850</v>
      </c>
    </row>
    <row r="246" spans="1:12" x14ac:dyDescent="0.2">
      <c r="A246" s="1274" t="s">
        <v>813</v>
      </c>
      <c r="B246" s="503">
        <v>2320</v>
      </c>
      <c r="C246" s="1673"/>
      <c r="D246" s="1573">
        <v>22027</v>
      </c>
      <c r="E246" s="1673"/>
      <c r="F246" s="1673"/>
      <c r="G246" s="1673"/>
      <c r="H246" s="1673"/>
      <c r="I246" s="1673"/>
      <c r="J246" s="1673"/>
      <c r="K246" s="1678">
        <f t="shared" ref="K246:K256" si="21">D246</f>
        <v>22027</v>
      </c>
      <c r="L246" s="1573">
        <v>25000</v>
      </c>
    </row>
    <row r="247" spans="1:12" x14ac:dyDescent="0.2">
      <c r="A247" s="1274" t="s">
        <v>814</v>
      </c>
      <c r="B247" s="503">
        <v>2330</v>
      </c>
      <c r="C247" s="1673"/>
      <c r="D247" s="1573">
        <v>27535</v>
      </c>
      <c r="E247" s="1673"/>
      <c r="F247" s="1673"/>
      <c r="G247" s="1673"/>
      <c r="H247" s="1673"/>
      <c r="I247" s="1673"/>
      <c r="J247" s="1673"/>
      <c r="K247" s="1678">
        <f t="shared" si="21"/>
        <v>27535</v>
      </c>
      <c r="L247" s="1573">
        <v>104710</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v>11204</v>
      </c>
      <c r="E252" s="1673"/>
      <c r="F252" s="1673"/>
      <c r="G252" s="1673"/>
      <c r="H252" s="1673"/>
      <c r="I252" s="1673"/>
      <c r="J252" s="1673"/>
      <c r="K252" s="1678">
        <f t="shared" si="21"/>
        <v>11204</v>
      </c>
      <c r="L252" s="1573">
        <v>25356</v>
      </c>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113524</v>
      </c>
      <c r="E254" s="1673"/>
      <c r="F254" s="1673"/>
      <c r="G254" s="1673"/>
      <c r="H254" s="1673"/>
      <c r="I254" s="1673"/>
      <c r="J254" s="1673"/>
      <c r="K254" s="1678">
        <f t="shared" si="21"/>
        <v>113524</v>
      </c>
      <c r="L254" s="1573">
        <v>126188</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175784</v>
      </c>
      <c r="E257" s="1673"/>
      <c r="F257" s="1673"/>
      <c r="G257" s="1673"/>
      <c r="H257" s="1673"/>
      <c r="I257" s="1673"/>
      <c r="J257" s="1673"/>
      <c r="K257" s="1674">
        <f>SUM(K245:K256)</f>
        <v>175784</v>
      </c>
      <c r="L257" s="1674">
        <f>SUM(L245:L256)</f>
        <v>283104</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164045</v>
      </c>
      <c r="E259" s="1673"/>
      <c r="F259" s="1673"/>
      <c r="G259" s="1673"/>
      <c r="H259" s="1673"/>
      <c r="I259" s="1673"/>
      <c r="J259" s="1673"/>
      <c r="K259" s="1678">
        <f>D259</f>
        <v>164045</v>
      </c>
      <c r="L259" s="1586">
        <v>212650</v>
      </c>
    </row>
    <row r="260" spans="1:14" s="493" customFormat="1" x14ac:dyDescent="0.2">
      <c r="A260" s="1292" t="s">
        <v>1778</v>
      </c>
      <c r="B260" s="512">
        <v>2490</v>
      </c>
      <c r="C260" s="1673"/>
      <c r="D260" s="1573"/>
      <c r="E260" s="1673"/>
      <c r="F260" s="1673"/>
      <c r="G260" s="1673"/>
      <c r="H260" s="1673"/>
      <c r="I260" s="1673"/>
      <c r="J260" s="1673"/>
      <c r="K260" s="1678">
        <f>D260</f>
        <v>0</v>
      </c>
      <c r="L260" s="1573">
        <v>55400</v>
      </c>
      <c r="M260" s="205"/>
      <c r="N260" s="205"/>
    </row>
    <row r="261" spans="1:14" ht="12.75" customHeight="1" thickBot="1" x14ac:dyDescent="0.25">
      <c r="A261" s="1394" t="s">
        <v>261</v>
      </c>
      <c r="B261" s="1399" t="s">
        <v>34</v>
      </c>
      <c r="C261" s="1673"/>
      <c r="D261" s="1674">
        <f>SUM(D259:D260)</f>
        <v>164045</v>
      </c>
      <c r="E261" s="1673"/>
      <c r="F261" s="1673"/>
      <c r="G261" s="1673"/>
      <c r="H261" s="1673"/>
      <c r="I261" s="1673"/>
      <c r="J261" s="1673"/>
      <c r="K261" s="1674">
        <f>SUM(K259:K260)</f>
        <v>164045</v>
      </c>
      <c r="L261" s="1674">
        <f>SUM(L259:L260)</f>
        <v>268050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14398</v>
      </c>
      <c r="E263" s="1673"/>
      <c r="F263" s="1673"/>
      <c r="G263" s="1673"/>
      <c r="H263" s="1673"/>
      <c r="I263" s="1673"/>
      <c r="J263" s="1673"/>
      <c r="K263" s="1678">
        <f>D263</f>
        <v>14398</v>
      </c>
      <c r="L263" s="1586">
        <v>35081</v>
      </c>
    </row>
    <row r="264" spans="1:14" x14ac:dyDescent="0.2">
      <c r="A264" s="1274" t="s">
        <v>460</v>
      </c>
      <c r="B264" s="559">
        <v>2520</v>
      </c>
      <c r="C264" s="1673"/>
      <c r="D264" s="1573">
        <v>62463</v>
      </c>
      <c r="E264" s="1673"/>
      <c r="F264" s="1673"/>
      <c r="G264" s="1673"/>
      <c r="H264" s="1673"/>
      <c r="I264" s="1673"/>
      <c r="J264" s="1673"/>
      <c r="K264" s="1678">
        <f t="shared" ref="K264:K269" si="22">D264</f>
        <v>62463</v>
      </c>
      <c r="L264" s="1573">
        <v>64087</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426462</v>
      </c>
      <c r="E266" s="1673"/>
      <c r="F266" s="1673"/>
      <c r="G266" s="1673"/>
      <c r="H266" s="1673"/>
      <c r="I266" s="1673"/>
      <c r="J266" s="1673"/>
      <c r="K266" s="1678">
        <f t="shared" si="22"/>
        <v>426462</v>
      </c>
      <c r="L266" s="1573">
        <v>480057</v>
      </c>
    </row>
    <row r="267" spans="1:14" x14ac:dyDescent="0.2">
      <c r="A267" s="1274" t="s">
        <v>947</v>
      </c>
      <c r="B267" s="503">
        <v>2550</v>
      </c>
      <c r="C267" s="1673"/>
      <c r="D267" s="1573">
        <v>57641</v>
      </c>
      <c r="E267" s="1673"/>
      <c r="F267" s="1673"/>
      <c r="G267" s="1673"/>
      <c r="H267" s="1673"/>
      <c r="I267" s="1673"/>
      <c r="J267" s="1673"/>
      <c r="K267" s="1678">
        <f t="shared" si="22"/>
        <v>57641</v>
      </c>
      <c r="L267" s="1573">
        <v>74019</v>
      </c>
    </row>
    <row r="268" spans="1:14" x14ac:dyDescent="0.2">
      <c r="A268" s="1274" t="s">
        <v>100</v>
      </c>
      <c r="B268" s="503">
        <v>2560</v>
      </c>
      <c r="C268" s="1673"/>
      <c r="D268" s="1573">
        <v>62659</v>
      </c>
      <c r="E268" s="1673"/>
      <c r="F268" s="1673"/>
      <c r="G268" s="1673"/>
      <c r="H268" s="1673"/>
      <c r="I268" s="1673"/>
      <c r="J268" s="1673"/>
      <c r="K268" s="1678">
        <f t="shared" si="22"/>
        <v>62659</v>
      </c>
      <c r="L268" s="1573">
        <v>78185</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623623</v>
      </c>
      <c r="E270" s="1673"/>
      <c r="F270" s="1673"/>
      <c r="G270" s="1673"/>
      <c r="H270" s="1673"/>
      <c r="I270" s="1673"/>
      <c r="J270" s="1673"/>
      <c r="K270" s="1674">
        <f>SUM(K263:K269)</f>
        <v>623623</v>
      </c>
      <c r="L270" s="1674">
        <f>SUM(L263:L269)</f>
        <v>731429</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v>69536</v>
      </c>
      <c r="E274" s="1673"/>
      <c r="F274" s="1673"/>
      <c r="G274" s="1673"/>
      <c r="H274" s="1673"/>
      <c r="I274" s="1673"/>
      <c r="J274" s="1673"/>
      <c r="K274" s="1678">
        <f>D274</f>
        <v>69536</v>
      </c>
      <c r="L274" s="1573">
        <v>76390</v>
      </c>
    </row>
    <row r="275" spans="1:12" x14ac:dyDescent="0.2">
      <c r="A275" s="1274" t="s">
        <v>400</v>
      </c>
      <c r="B275" s="503">
        <v>2640</v>
      </c>
      <c r="C275" s="1673"/>
      <c r="D275" s="1573">
        <v>73459</v>
      </c>
      <c r="E275" s="1673"/>
      <c r="F275" s="1673"/>
      <c r="G275" s="1673"/>
      <c r="H275" s="1673"/>
      <c r="I275" s="1673"/>
      <c r="J275" s="1673"/>
      <c r="K275" s="1678">
        <f>D275</f>
        <v>73459</v>
      </c>
      <c r="L275" s="1573">
        <v>95315</v>
      </c>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142995</v>
      </c>
      <c r="E277" s="1673"/>
      <c r="F277" s="1673"/>
      <c r="G277" s="1673"/>
      <c r="H277" s="1673"/>
      <c r="I277" s="1673"/>
      <c r="J277" s="1673"/>
      <c r="K277" s="1674">
        <f>SUM(K272:K276)</f>
        <v>142995</v>
      </c>
      <c r="L277" s="1674">
        <f>SUM(L272:L276)</f>
        <v>171705</v>
      </c>
    </row>
    <row r="278" spans="1:12" ht="13.5" customHeight="1" thickTop="1" x14ac:dyDescent="0.2">
      <c r="A278" s="1280" t="s">
        <v>973</v>
      </c>
      <c r="B278" s="531" t="s">
        <v>570</v>
      </c>
      <c r="C278" s="1673"/>
      <c r="D278" s="1695">
        <f>90271+10433</f>
        <v>100704</v>
      </c>
      <c r="E278" s="1673"/>
      <c r="F278" s="1673"/>
      <c r="G278" s="1673"/>
      <c r="H278" s="1673"/>
      <c r="I278" s="1673"/>
      <c r="J278" s="1673"/>
      <c r="K278" s="1696">
        <f>D278</f>
        <v>100704</v>
      </c>
      <c r="L278" s="1695">
        <v>113390</v>
      </c>
    </row>
    <row r="279" spans="1:12" ht="12.75" customHeight="1" thickBot="1" x14ac:dyDescent="0.25">
      <c r="A279" s="1400" t="s">
        <v>806</v>
      </c>
      <c r="B279" s="1387">
        <v>2000</v>
      </c>
      <c r="C279" s="1673"/>
      <c r="D279" s="1681">
        <f>SUM(D238,D243,D257,D261,D270,D277,D278)</f>
        <v>1445073</v>
      </c>
      <c r="E279" s="1673"/>
      <c r="F279" s="1673"/>
      <c r="G279" s="1673"/>
      <c r="H279" s="1673"/>
      <c r="I279" s="1673"/>
      <c r="J279" s="1673"/>
      <c r="K279" s="1681">
        <f>SUM(K238,K243,K257,K261,K270,K277,K278)</f>
        <v>1445073</v>
      </c>
      <c r="L279" s="1681">
        <f>SUM(L238,L243,L257,L261,L270,L277,L278)</f>
        <v>1804559</v>
      </c>
    </row>
    <row r="280" spans="1:12" ht="15.75" customHeight="1" thickTop="1" thickBot="1" x14ac:dyDescent="0.25">
      <c r="A280" s="1362" t="s">
        <v>870</v>
      </c>
      <c r="B280" s="1351">
        <v>3000</v>
      </c>
      <c r="C280" s="1673"/>
      <c r="D280" s="1651">
        <f>46607+15547+115</f>
        <v>62269</v>
      </c>
      <c r="E280" s="1673"/>
      <c r="F280" s="1673"/>
      <c r="G280" s="1673"/>
      <c r="H280" s="1673"/>
      <c r="I280" s="1673"/>
      <c r="J280" s="1673"/>
      <c r="K280" s="1687">
        <f>D280</f>
        <v>62269</v>
      </c>
      <c r="L280" s="1651">
        <v>55959</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406" t="s">
        <v>502</v>
      </c>
      <c r="B295" s="2407"/>
      <c r="C295" s="1673"/>
      <c r="D295" s="1674">
        <f>SUM(D229,D279,D280,D285)</f>
        <v>2069420</v>
      </c>
      <c r="E295" s="1673"/>
      <c r="F295" s="1673"/>
      <c r="G295" s="1673"/>
      <c r="H295" s="1674">
        <f>H293</f>
        <v>0</v>
      </c>
      <c r="I295" s="1673"/>
      <c r="J295" s="1673"/>
      <c r="K295" s="1674">
        <f>SUM(K229,K279,K280,K285,K293,K294)</f>
        <v>2069420</v>
      </c>
      <c r="L295" s="1674">
        <f>SUM(L229,L279,L280,L285,L293,L294)</f>
        <v>2574111</v>
      </c>
    </row>
    <row r="296" spans="1:14" ht="13.5" thickTop="1" x14ac:dyDescent="0.2">
      <c r="A296" s="2415" t="s">
        <v>989</v>
      </c>
      <c r="B296" s="2416"/>
      <c r="C296" s="1673"/>
      <c r="D296" s="1675"/>
      <c r="E296" s="1673"/>
      <c r="F296" s="1673"/>
      <c r="G296" s="1673"/>
      <c r="H296" s="1707"/>
      <c r="I296" s="1673"/>
      <c r="J296" s="1673"/>
      <c r="K296" s="1689">
        <f>'Revenues 9-14'!G268-'Expenditures 15-22'!K295</f>
        <v>-135493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98" t="s">
        <v>142</v>
      </c>
      <c r="B298" s="2392"/>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315927</v>
      </c>
      <c r="F301" s="1573">
        <v>86923</v>
      </c>
      <c r="G301" s="1573"/>
      <c r="H301" s="1573"/>
      <c r="I301" s="1574"/>
      <c r="J301" s="1574"/>
      <c r="K301" s="1672">
        <f>SUM(C301:J301)</f>
        <v>402850</v>
      </c>
      <c r="L301" s="1574">
        <v>1340990</v>
      </c>
    </row>
    <row r="302" spans="1:14" ht="13.5" customHeight="1" x14ac:dyDescent="0.2">
      <c r="A302" s="1287" t="s">
        <v>973</v>
      </c>
      <c r="B302" s="503" t="s">
        <v>570</v>
      </c>
      <c r="C302" s="1573"/>
      <c r="D302" s="1573"/>
      <c r="E302" s="1573"/>
      <c r="F302" s="1573"/>
      <c r="G302" s="1573"/>
      <c r="H302" s="1573"/>
      <c r="I302" s="1574"/>
      <c r="J302" s="1574"/>
      <c r="K302" s="1672">
        <f>SUM(C302:J302)</f>
        <v>0</v>
      </c>
      <c r="L302" s="1573">
        <v>15000</v>
      </c>
    </row>
    <row r="303" spans="1:14" ht="12.75" customHeight="1" thickBot="1" x14ac:dyDescent="0.25">
      <c r="A303" s="1380" t="s">
        <v>806</v>
      </c>
      <c r="B303" s="1381" t="s">
        <v>565</v>
      </c>
      <c r="C303" s="1681">
        <f>SUM(C301:C302)</f>
        <v>0</v>
      </c>
      <c r="D303" s="1681">
        <f t="shared" ref="D303:L303" si="23">SUM(D301:D302)</f>
        <v>0</v>
      </c>
      <c r="E303" s="1681">
        <f t="shared" si="23"/>
        <v>315927</v>
      </c>
      <c r="F303" s="1681">
        <f t="shared" si="23"/>
        <v>86923</v>
      </c>
      <c r="G303" s="1681">
        <f t="shared" si="23"/>
        <v>0</v>
      </c>
      <c r="H303" s="1681">
        <f t="shared" si="23"/>
        <v>0</v>
      </c>
      <c r="I303" s="1681">
        <f t="shared" si="23"/>
        <v>0</v>
      </c>
      <c r="J303" s="1681">
        <f t="shared" si="23"/>
        <v>0</v>
      </c>
      <c r="K303" s="1681">
        <f t="shared" si="23"/>
        <v>402850</v>
      </c>
      <c r="L303" s="1681">
        <f t="shared" si="23"/>
        <v>1355990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403" t="s">
        <v>275</v>
      </c>
      <c r="B312" s="2404"/>
      <c r="C312" s="1674">
        <f>SUM(C303)</f>
        <v>0</v>
      </c>
      <c r="D312" s="1674">
        <f>SUM(D303)</f>
        <v>0</v>
      </c>
      <c r="E312" s="1674">
        <f>SUM(E303,E310)</f>
        <v>315927</v>
      </c>
      <c r="F312" s="1674">
        <f>SUM(F303)</f>
        <v>86923</v>
      </c>
      <c r="G312" s="1674">
        <f>SUM(G303)</f>
        <v>0</v>
      </c>
      <c r="H312" s="1674">
        <f>SUM(H303,H310)</f>
        <v>0</v>
      </c>
      <c r="I312" s="1674">
        <f>SUM(I303)</f>
        <v>0</v>
      </c>
      <c r="J312" s="1674">
        <f>SUM(J303)</f>
        <v>0</v>
      </c>
      <c r="K312" s="1674">
        <f>SUM(K303,K310,K311)</f>
        <v>402850</v>
      </c>
      <c r="L312" s="1674">
        <f>SUM(L303,L310,L311)</f>
        <v>1355990</v>
      </c>
      <c r="M312" s="539"/>
      <c r="N312" s="539"/>
    </row>
    <row r="313" spans="1:14" ht="13.5" thickTop="1" x14ac:dyDescent="0.2">
      <c r="A313" s="2399" t="s">
        <v>989</v>
      </c>
      <c r="B313" s="2400"/>
      <c r="C313" s="1677"/>
      <c r="D313" s="1677"/>
      <c r="E313" s="1677"/>
      <c r="F313" s="1677"/>
      <c r="G313" s="1677"/>
      <c r="H313" s="1677"/>
      <c r="I313" s="1677"/>
      <c r="J313" s="1677"/>
      <c r="K313" s="1696">
        <f>'Revenues 9-14'!H268-'Expenditures 15-22'!K312</f>
        <v>-393580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412" t="s">
        <v>148</v>
      </c>
      <c r="B315" s="2413"/>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414" t="s">
        <v>892</v>
      </c>
      <c r="B317" s="2413"/>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v>14941</v>
      </c>
      <c r="F321" s="1574"/>
      <c r="G321" s="1574"/>
      <c r="H321" s="1574"/>
      <c r="I321" s="1574"/>
      <c r="J321" s="1574"/>
      <c r="K321" s="1672">
        <f t="shared" si="24"/>
        <v>14941</v>
      </c>
      <c r="L321" s="1574">
        <v>200000</v>
      </c>
      <c r="M321" s="539"/>
      <c r="N321" s="539"/>
    </row>
    <row r="322" spans="1:14" s="548" customFormat="1" x14ac:dyDescent="0.2">
      <c r="A322" s="1289" t="s">
        <v>236</v>
      </c>
      <c r="B322" s="567" t="s">
        <v>282</v>
      </c>
      <c r="C322" s="1574"/>
      <c r="D322" s="1574"/>
      <c r="E322" s="1574">
        <v>744032</v>
      </c>
      <c r="F322" s="1574"/>
      <c r="G322" s="1574"/>
      <c r="H322" s="1574"/>
      <c r="I322" s="1574"/>
      <c r="J322" s="1574"/>
      <c r="K322" s="1672">
        <f t="shared" si="24"/>
        <v>744032</v>
      </c>
      <c r="L322" s="1574">
        <v>875000</v>
      </c>
      <c r="M322" s="539"/>
      <c r="N322" s="539"/>
    </row>
    <row r="323" spans="1:14" s="548" customFormat="1" x14ac:dyDescent="0.2">
      <c r="A323" s="1289" t="s">
        <v>697</v>
      </c>
      <c r="B323" s="567" t="s">
        <v>283</v>
      </c>
      <c r="C323" s="1574">
        <v>64801</v>
      </c>
      <c r="D323" s="1574">
        <v>12221</v>
      </c>
      <c r="E323" s="1574">
        <v>1670</v>
      </c>
      <c r="F323" s="1574"/>
      <c r="G323" s="1574"/>
      <c r="H323" s="1574"/>
      <c r="I323" s="1574"/>
      <c r="J323" s="1574"/>
      <c r="K323" s="1672">
        <f t="shared" si="24"/>
        <v>78692</v>
      </c>
      <c r="L323" s="1574">
        <v>108436</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700435</v>
      </c>
      <c r="D325" s="1574">
        <v>134873</v>
      </c>
      <c r="E325" s="1574">
        <v>216711</v>
      </c>
      <c r="F325" s="1574">
        <v>39410</v>
      </c>
      <c r="G325" s="1574"/>
      <c r="H325" s="1574"/>
      <c r="I325" s="1574"/>
      <c r="J325" s="1574"/>
      <c r="K325" s="1672">
        <f t="shared" si="24"/>
        <v>1091429</v>
      </c>
      <c r="L325" s="1574">
        <v>1392214</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290177</v>
      </c>
      <c r="F327" s="1574"/>
      <c r="G327" s="1574"/>
      <c r="H327" s="1574"/>
      <c r="I327" s="1574"/>
      <c r="J327" s="1574"/>
      <c r="K327" s="1672">
        <f t="shared" si="24"/>
        <v>290177</v>
      </c>
      <c r="L327" s="1574">
        <v>327500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765236</v>
      </c>
      <c r="D330" s="1674">
        <f t="shared" ref="D330:J330" si="25">SUM(D319:D329)</f>
        <v>147094</v>
      </c>
      <c r="E330" s="1674">
        <f t="shared" si="25"/>
        <v>1267531</v>
      </c>
      <c r="F330" s="1674">
        <f t="shared" si="25"/>
        <v>39410</v>
      </c>
      <c r="G330" s="1674">
        <f t="shared" si="25"/>
        <v>0</v>
      </c>
      <c r="H330" s="1674">
        <f t="shared" si="25"/>
        <v>0</v>
      </c>
      <c r="I330" s="1674">
        <f t="shared" si="25"/>
        <v>0</v>
      </c>
      <c r="J330" s="1674">
        <f t="shared" si="25"/>
        <v>0</v>
      </c>
      <c r="K330" s="1674">
        <f>SUM(K319:K329)</f>
        <v>2219271</v>
      </c>
      <c r="L330" s="1674">
        <f>SUM(L319:L329)</f>
        <v>2903150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765236</v>
      </c>
      <c r="D342" s="1674">
        <f>SUM(D330)</f>
        <v>147094</v>
      </c>
      <c r="E342" s="1674">
        <f>SUM(E330)</f>
        <v>1267531</v>
      </c>
      <c r="F342" s="1674">
        <f>SUM(F330)</f>
        <v>39410</v>
      </c>
      <c r="G342" s="1674">
        <f>SUM(G330)</f>
        <v>0</v>
      </c>
      <c r="H342" s="1674">
        <f>SUM(H330,H334,H340)</f>
        <v>0</v>
      </c>
      <c r="I342" s="1674">
        <f>SUM(I330)</f>
        <v>0</v>
      </c>
      <c r="J342" s="1674">
        <f>SUM(J330)</f>
        <v>0</v>
      </c>
      <c r="K342" s="1674">
        <f>SUM(K330,K334,K340)</f>
        <v>2219271</v>
      </c>
      <c r="L342" s="1681">
        <f>SUM(L330,L334,L340,L341)</f>
        <v>2903150</v>
      </c>
    </row>
    <row r="343" spans="1:14" ht="12.75" customHeight="1" thickTop="1" x14ac:dyDescent="0.2">
      <c r="A343" s="2401" t="s">
        <v>989</v>
      </c>
      <c r="B343" s="2402"/>
      <c r="C343" s="1673"/>
      <c r="D343" s="1673"/>
      <c r="E343" s="1673"/>
      <c r="F343" s="1673"/>
      <c r="G343" s="1673"/>
      <c r="H343" s="1673"/>
      <c r="I343" s="1673"/>
      <c r="J343" s="1673"/>
      <c r="K343" s="1689">
        <f>'Revenues 9-14'!J268-'Expenditures 15-22'!K342</f>
        <v>728314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91" t="s">
        <v>960</v>
      </c>
      <c r="B345" s="2392"/>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1368551</v>
      </c>
      <c r="F348" s="1573"/>
      <c r="G348" s="1573">
        <v>872841</v>
      </c>
      <c r="H348" s="1573">
        <v>0</v>
      </c>
      <c r="I348" s="1574"/>
      <c r="J348" s="1574"/>
      <c r="K348" s="1672">
        <f>SUM(C348:J348)</f>
        <v>2241392</v>
      </c>
      <c r="L348" s="1573">
        <v>5020475</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1368551</v>
      </c>
      <c r="F350" s="1674">
        <f t="shared" si="26"/>
        <v>0</v>
      </c>
      <c r="G350" s="1674">
        <f t="shared" si="26"/>
        <v>872841</v>
      </c>
      <c r="H350" s="1674">
        <f t="shared" si="26"/>
        <v>0</v>
      </c>
      <c r="I350" s="1674">
        <f t="shared" si="26"/>
        <v>0</v>
      </c>
      <c r="J350" s="1674">
        <f t="shared" si="26"/>
        <v>0</v>
      </c>
      <c r="K350" s="1674">
        <f t="shared" si="26"/>
        <v>2241392</v>
      </c>
      <c r="L350" s="1674">
        <f t="shared" si="26"/>
        <v>5020475</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1368551</v>
      </c>
      <c r="F352" s="1674">
        <f t="shared" si="27"/>
        <v>0</v>
      </c>
      <c r="G352" s="1674">
        <f t="shared" si="27"/>
        <v>872841</v>
      </c>
      <c r="H352" s="1674">
        <f t="shared" si="27"/>
        <v>0</v>
      </c>
      <c r="I352" s="1674">
        <f t="shared" si="27"/>
        <v>0</v>
      </c>
      <c r="J352" s="1674">
        <f t="shared" si="27"/>
        <v>0</v>
      </c>
      <c r="K352" s="1674">
        <f t="shared" si="27"/>
        <v>2241392</v>
      </c>
      <c r="L352" s="1674">
        <f t="shared" si="27"/>
        <v>5020475</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1368551</v>
      </c>
      <c r="F367" s="1674">
        <f t="shared" si="28"/>
        <v>0</v>
      </c>
      <c r="G367" s="1674">
        <f t="shared" si="28"/>
        <v>872841</v>
      </c>
      <c r="H367" s="1674">
        <f t="shared" si="28"/>
        <v>0</v>
      </c>
      <c r="I367" s="1674">
        <f t="shared" si="28"/>
        <v>0</v>
      </c>
      <c r="J367" s="1674">
        <f t="shared" si="28"/>
        <v>0</v>
      </c>
      <c r="K367" s="1674">
        <f t="shared" si="28"/>
        <v>2241392</v>
      </c>
      <c r="L367" s="1674">
        <f t="shared" si="28"/>
        <v>5020475</v>
      </c>
    </row>
    <row r="368" spans="1:14" ht="13.5" thickTop="1" x14ac:dyDescent="0.2">
      <c r="A368" s="2415" t="s">
        <v>989</v>
      </c>
      <c r="B368" s="2416"/>
      <c r="C368" s="1694"/>
      <c r="D368" s="1694"/>
      <c r="E368" s="1677"/>
      <c r="F368" s="1677"/>
      <c r="G368" s="1677"/>
      <c r="H368" s="1677"/>
      <c r="I368" s="1677"/>
      <c r="J368" s="1676"/>
      <c r="K368" s="1672">
        <f>'Revenues 9-14'!K268-'Expenditures 15-22'!K367</f>
        <v>-2168073</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6ce3111e-7420-4802-b50a-75d4e9a0b980"/>
    <ds:schemaRef ds:uri="http://schemas.microsoft.com/office/infopath/2007/PartnerControls"/>
    <ds:schemaRef ds:uri="http://purl.org/dc/elements/1.1/"/>
    <ds:schemaRef ds:uri="http://schemas.openxmlformats.org/package/2006/metadata/core-properties"/>
    <ds:schemaRef ds:uri="http://purl.org/dc/terms/"/>
    <ds:schemaRef ds:uri="http://schemas.microsoft.com/office/2006/documentManagement/types"/>
    <ds:schemaRef ds:uri="4d435f69-8686-490b-bd6d-b153bf22ab50"/>
    <ds:schemaRef ds:uri="d21dc803-237d-4c68-8692-8d731fd29118"/>
    <ds:schemaRef ds:uri="http://schemas.microsoft.com/sharepoint/v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21</vt:i4>
      </vt:variant>
    </vt:vector>
  </HeadingPairs>
  <TitlesOfParts>
    <vt:vector size="6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 (2)</vt:lpstr>
      <vt:lpstr> SEFA (3)</vt:lpstr>
      <vt:lpstr> SEFA (4)</vt:lpstr>
      <vt:lpstr> SEFA (5)</vt:lpstr>
      <vt:lpstr> SEFA</vt:lpstr>
      <vt:lpstr>SEFA NOTES</vt:lpstr>
      <vt:lpstr>SF&amp;QC Sec-1</vt:lpstr>
      <vt:lpstr>SF&amp;QC Sec-2 (2)</vt:lpstr>
      <vt:lpstr>SF&amp;QC Sec-2</vt:lpstr>
      <vt:lpstr>SF&amp;QC Sec-3 (2)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'SF&amp;QC Sec-3 (2)'!Print_Area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2020-12-11T19:24:10Z</cp:lastPrinted>
  <dcterms:created xsi:type="dcterms:W3CDTF">2003-10-29T19:06:34Z</dcterms:created>
  <dcterms:modified xsi:type="dcterms:W3CDTF">2020-12-17T00:00:21Z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