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6BDA0A9-287C-4107-A373-85B3CCEED318}" xr6:coauthVersionLast="36" xr6:coauthVersionMax="36" xr10:uidLastSave="{00000000-0000-0000-0000-000000000000}"/>
  <bookViews>
    <workbookView xWindow="-120" yWindow="-120" windowWidth="24240" windowHeight="13140" tabRatio="74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50" i="29" l="1"/>
  <c r="B25" i="183"/>
  <c r="D24" i="183"/>
  <c r="D26" i="183"/>
  <c r="D22" i="183"/>
  <c r="D21" i="183"/>
  <c r="D20" i="183"/>
  <c r="D19" i="183"/>
  <c r="D18" i="183"/>
  <c r="D23" i="183"/>
  <c r="B18" i="183"/>
  <c r="L325" i="29" l="1"/>
  <c r="E10" i="108" l="1"/>
  <c r="E9" i="108" l="1"/>
  <c r="E18" i="183"/>
  <c r="E19" i="183"/>
  <c r="E20" i="183"/>
  <c r="E21" i="183"/>
  <c r="E22" i="183"/>
  <c r="E23" i="183"/>
  <c r="E24" i="183"/>
  <c r="E25" i="183"/>
  <c r="E26" i="183"/>
  <c r="E27" i="183"/>
  <c r="G5" i="5"/>
  <c r="E13" i="7"/>
  <c r="I12" i="184" l="1"/>
  <c r="E325" i="29"/>
  <c r="D280" i="29"/>
  <c r="D266" i="29"/>
  <c r="D268" i="29"/>
  <c r="D264" i="29"/>
  <c r="D254" i="29"/>
  <c r="D246" i="29"/>
  <c r="C75" i="29" l="1"/>
  <c r="E75" i="29" l="1"/>
  <c r="F75" i="29"/>
  <c r="D75" i="29"/>
  <c r="F50" i="29"/>
  <c r="E50" i="29"/>
  <c r="E49" i="29"/>
  <c r="C50" i="29"/>
  <c r="F63" i="29"/>
  <c r="E61" i="29"/>
  <c r="C61"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18" i="183"/>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B7074" i="106" l="1"/>
  <c r="D7074" i="106" s="1"/>
  <c r="G30" i="108"/>
  <c r="B7705" i="106"/>
  <c r="D7705" i="106" s="1"/>
  <c r="E67" i="184"/>
  <c r="N67" i="184" s="1"/>
  <c r="D24" i="37"/>
  <c r="B4270" i="106" s="1"/>
  <c r="D4270" i="106" s="1"/>
  <c r="H342" i="29"/>
  <c r="B7696" i="106"/>
  <c r="D7696" i="106" s="1"/>
  <c r="E66" i="184"/>
  <c r="N66" i="184" s="1"/>
  <c r="H12" i="184"/>
  <c r="B7180" i="106"/>
  <c r="D7180" i="106" s="1"/>
  <c r="E63" i="184"/>
  <c r="N63" i="184" s="1"/>
  <c r="B7198" i="106"/>
  <c r="D7198" i="106" s="1"/>
  <c r="E65" i="184"/>
  <c r="N65" i="184" s="1"/>
  <c r="B7162" i="106"/>
  <c r="D7162" i="106" s="1"/>
  <c r="E61" i="184"/>
  <c r="N61" i="184" s="1"/>
  <c r="B7126" i="106"/>
  <c r="D7126" i="106" s="1"/>
  <c r="E57" i="184"/>
  <c r="H15" i="184"/>
  <c r="B7171" i="106"/>
  <c r="D7171" i="106" s="1"/>
  <c r="E62" i="184"/>
  <c r="N62" i="184" s="1"/>
  <c r="B7135" i="106"/>
  <c r="D7135" i="106" s="1"/>
  <c r="E58" i="184"/>
  <c r="N58" i="184" s="1"/>
  <c r="F36" i="34"/>
  <c r="B7828" i="106" s="1"/>
  <c r="D7828" i="106" s="1"/>
  <c r="F34" i="34"/>
  <c r="B7826" i="106" s="1"/>
  <c r="D7826" i="106" s="1"/>
  <c r="B7189" i="106"/>
  <c r="D7189" i="106" s="1"/>
  <c r="E64" i="184"/>
  <c r="N64" i="184" s="1"/>
  <c r="B7153" i="106"/>
  <c r="D7153" i="106" s="1"/>
  <c r="E60" i="184"/>
  <c r="N60" i="184" s="1"/>
  <c r="B6289" i="106"/>
  <c r="D6289" i="106" s="1"/>
  <c r="C352" i="29"/>
  <c r="C367" i="29" s="1"/>
  <c r="B3622" i="106" s="1"/>
  <c r="D3622" i="106" s="1"/>
  <c r="H76" i="4"/>
  <c r="B3298" i="106" s="1"/>
  <c r="D3298" i="106" s="1"/>
  <c r="B1274" i="106"/>
  <c r="D1274" i="106" s="1"/>
  <c r="D31" i="108"/>
  <c r="E16" i="184"/>
  <c r="H16"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N23" i="3" l="1"/>
  <c r="B284" i="106" s="1"/>
  <c r="D284" i="106" s="1"/>
  <c r="L16" i="11"/>
  <c r="B2061" i="106" s="1"/>
  <c r="D2061" i="106" s="1"/>
  <c r="K342" i="29"/>
  <c r="F13" i="34" s="1"/>
  <c r="F41" i="108"/>
  <c r="G43" i="108" s="1"/>
  <c r="E367" i="29"/>
  <c r="B3635" i="106"/>
  <c r="J16" i="4"/>
  <c r="B6226" i="106" s="1"/>
  <c r="D6226" i="106" s="1"/>
  <c r="B5527" i="106"/>
  <c r="D5527" i="106" s="1"/>
  <c r="D44" i="36"/>
  <c r="N57" i="184"/>
  <c r="N68" i="184" s="1"/>
  <c r="E68" i="184"/>
  <c r="H19" i="184"/>
  <c r="L20" i="184" s="1"/>
  <c r="B7220" i="106"/>
  <c r="D7220" i="106" s="1"/>
  <c r="F75" i="34"/>
  <c r="B7886" i="106" s="1"/>
  <c r="D7886" i="106" s="1"/>
  <c r="B7222" i="106"/>
  <c r="D7222" i="106" s="1"/>
  <c r="F76" i="34"/>
  <c r="B7887" i="106" s="1"/>
  <c r="D7887" i="106" s="1"/>
  <c r="E19" i="184"/>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J10" i="4"/>
  <c r="B6225" i="106" s="1"/>
  <c r="D6225" i="106"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<sst xmlns="http://schemas.openxmlformats.org/spreadsheetml/2006/main" count="5144" uniqueCount="2086">
  <si>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</si>
  <si>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</si>
  <si>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</si>
  <si>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</si>
  <si>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</si>
  <si>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</si>
  <si>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</si>
  <si>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</si>
  <si>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</si>
  <si>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</si>
  <si>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</si>
  <si>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</si>
  <si>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</si>
  <si>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</si>
  <si>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</si>
  <si>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</si>
  <si>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</si>
  <si>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</si>
  <si>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</si>
  <si>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</si>
  <si>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</si>
  <si>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</si>
  <si>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</si>
  <si>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</si>
  <si>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</si>
  <si>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</si>
  <si>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</si>
  <si>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</si>
  <si>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</si>
  <si>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</si>
  <si>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</si>
  <si>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</si>
  <si>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</si>
  <si>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</si>
  <si>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</si>
  <si>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</si>
  <si>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</si>
  <si>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</si>
  <si>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</si>
  <si>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</si>
  <si>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</si>
  <si>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</si>
  <si>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</si>
  <si>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</si>
  <si>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</si>
  <si>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</si>
  <si>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</si>
  <si>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</si>
  <si>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</si>
  <si>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</si>
  <si>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</si>
  <si>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</si>
  <si>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</si>
  <si>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</si>
  <si>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</si>
  <si>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</si>
  <si>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</si>
  <si>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</si>
  <si>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</si>
  <si>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</si>
  <si>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</si>
  <si>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</si>
  <si>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</si>
  <si>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</si>
  <si>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</si>
  <si>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</si>
  <si>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</si>
  <si>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</si>
  <si>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</si>
  <si>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</si>
  <si>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</si>
  <si>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</si>
  <si>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</si>
  <si>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</si>
  <si>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</si>
  <si>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</si>
  <si>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</si>
  <si>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</si>
  <si>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</si>
  <si>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</si>
  <si>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</si>
  <si>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</si>
  <si>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</si>
  <si>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</si>
  <si>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</si>
  <si>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</si>
  <si>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</si>
  <si>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</si>
  <si>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</si>
  <si>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</si>
  <si>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</si>
  <si>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</si>
  <si>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</si>
  <si>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</si>
  <si>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</si>
  <si>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</si>
  <si>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</si>
  <si>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</si>
  <si>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</si>
  <si>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</si>
  <si>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</si>
  <si>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</si>
  <si>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</si>
  <si>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</si>
  <si>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</si>
  <si>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</si>
  <si>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</si>
  <si>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</si>
  <si>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</si>
  <si>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</si>
  <si>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</si>
  <si>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</si>
  <si>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</si>
  <si>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</si>
  <si>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</si>
  <si>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</si>
  <si>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</si>
  <si>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</si>
  <si>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</si>
  <si>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</si>
  <si>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</si>
  <si>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</si>
  <si>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</si>
  <si>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</si>
  <si>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</si>
  <si>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</si>
  <si>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</si>
  <si>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</si>
  <si>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</si>
  <si>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</si>
  <si>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</si>
  <si>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</si>
  <si>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</si>
  <si>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</si>
  <si>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</si>
  <si>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</si>
  <si>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</si>
  <si>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</si>
  <si>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</si>
  <si>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</si>
  <si>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</si>
  <si>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</si>
  <si>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</si>
  <si>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</si>
  <si>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</si>
  <si>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</si>
  <si>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</si>
  <si>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</si>
  <si>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</si>
  <si>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</si>
  <si>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</si>
  <si>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</si>
  <si>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</si>
  <si>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</si>
  <si>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</si>
  <si>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</si>
  <si>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</si>
  <si>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</si>
  <si>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</si>
  <si>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</si>
  <si>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</si>
  <si>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</si>
  <si>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</si>
  <si>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</si>
  <si>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</si>
  <si>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</si>
  <si>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</si>
  <si>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</si>
  <si>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</si>
  <si>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</si>
  <si>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</si>
  <si>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</si>
  <si>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</si>
  <si>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</si>
  <si>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</si>
  <si>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</si>
  <si>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</si>
  <si>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</si>
  <si>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</si>
  <si>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</si>
  <si>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</si>
  <si>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</si>
  <si>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</si>
  <si>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</si>
  <si>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</si>
  <si>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</si>
  <si>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</si>
  <si>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</si>
  <si>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</si>
  <si>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</si>
  <si>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</si>
  <si>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</si>
  <si>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</si>
  <si>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</si>
  <si>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</si>
  <si>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</si>
  <si>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</si>
  <si>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</si>
  <si>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</si>
  <si>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</si>
  <si>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</si>
  <si>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</si>
  <si>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</si>
  <si>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</si>
  <si>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</si>
  <si>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</si>
  <si>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</si>
  <si>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</si>
  <si>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</si>
  <si>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</si>
  <si>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</si>
  <si>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</si>
  <si>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</si>
  <si>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</si>
  <si>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</si>
  <si>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</si>
  <si>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</si>
  <si>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</si>
  <si>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</si>
  <si>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</si>
  <si>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</si>
  <si>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</si>
  <si>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</si>
  <si>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</si>
  <si>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</si>
  <si>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</si>
  <si>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</si>
  <si>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</si>
  <si>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</si>
  <si>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</si>
  <si>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</si>
  <si>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</si>
  <si>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</si>
  <si>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</si>
  <si>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</si>
  <si>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</si>
  <si>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</si>
  <si>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</si>
  <si>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</si>
  <si>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</si>
  <si>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</si>
  <si>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</si>
  <si>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</si>
  <si>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</si>
  <si>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</si>
  <si>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</si>
  <si>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</si>
  <si>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</si>
  <si>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</si>
  <si>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</si>
  <si>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</si>
  <si>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</si>
  <si>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</si>
  <si>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</si>
  <si>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</si>
  <si>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</si>
  <si>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</si>
  <si>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</si>
  <si>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</si>
  <si>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</si>
  <si>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</si>
  <si>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</si>
  <si>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</si>
  <si>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</si>
  <si>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</si>
  <si>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</si>
  <si>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</si>
  <si>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</si>
  <si>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</si>
  <si>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</si>
  <si>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</si>
  <si>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</si>
  <si>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</si>
  <si>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</si>
  <si>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</si>
  <si>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</si>
  <si>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</si>
  <si>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</si>
  <si>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</si>
  <si>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</si>
  <si>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</si>
  <si>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</si>
  <si>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</si>
  <si>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</si>
  <si>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</si>
  <si>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</si>
  <si>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</si>
  <si>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</si>
  <si>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</si>
  <si>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</si>
  <si>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</si>
  <si>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</si>
  <si>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</si>
  <si>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</si>
  <si>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</si>
  <si>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</si>
  <si>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</si>
  <si>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</si>
  <si>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</si>
  <si>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</si>
  <si>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</si>
  <si>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</si>
  <si>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</si>
  <si>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</si>
  <si>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</si>
  <si>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</si>
  <si>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</si>
  <si>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</si>
  <si>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</si>
  <si>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</si>
  <si>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</si>
  <si>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</si>
  <si>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</si>
  <si>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</si>
  <si>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</si>
  <si>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</si>
  <si>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</si>
  <si>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</si>
  <si>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</si>
  <si>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</si>
  <si>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</si>
  <si>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</si>
  <si>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</si>
  <si>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</si>
  <si>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</si>
  <si>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</si>
  <si>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</si>
  <si>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</si>
  <si>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</si>
  <si>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</si>
  <si>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</si>
  <si>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</si>
  <si>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</si>
  <si>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</si>
  <si>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</si>
  <si>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</si>
  <si>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</si>
  <si>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</si>
  <si>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</si>
  <si>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</si>
  <si>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</si>
  <si>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</si>
  <si>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</si>
  <si>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</si>
  <si>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</si>
  <si>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</si>
  <si>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</si>
  <si>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</si>
  <si>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</si>
  <si>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</si>
  <si>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</si>
  <si>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</si>
  <si>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</si>
  <si>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</si>
  <si>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</si>
  <si>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</si>
  <si>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</si>
  <si>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</si>
  <si>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</si>
  <si>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</si>
  <si>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</si>
  <si>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</si>
  <si>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</si>
  <si>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</si>
  <si>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</si>
  <si>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</si>
  <si>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</si>
  <si>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</si>
  <si>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</si>
  <si>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</si>
  <si>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</si>
  <si>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</si>
  <si>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</si>
  <si>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</si>
  <si>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</si>
  <si>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</si>
  <si>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</si>
  <si>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</si>
  <si>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</si>
  <si>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</si>
  <si>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</si>
  <si>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</si>
  <si>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</si>
  <si>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</si>
  <si>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</si>
  <si>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</si>
  <si>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</si>
  <si>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</si>
  <si>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</si>
  <si>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</si>
  <si>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</si>
  <si>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</si>
  <si>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</si>
  <si>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</si>
  <si>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</si>
  <si>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</si>
  <si>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</si>
  <si>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</si>
  <si>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</si>
  <si>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</si>
  <si>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</si>
  <si>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</si>
  <si>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</si>
  <si>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</si>
  <si>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</si>
  <si>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</si>
  <si>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</si>
  <si>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</si>
  <si>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</si>
  <si>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</si>
  <si>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</si>
  <si>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</si>
  <si>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</si>
  <si>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</si>
  <si>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</si>
  <si>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</si>
  <si>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</si>
  <si>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</si>
  <si>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</si>
  <si>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</si>
  <si>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</si>
  <si>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</si>
  <si>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</si>
  <si>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</si>
  <si>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</si>
  <si>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</si>
  <si>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</si>
  <si>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</si>
  <si>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</si>
  <si>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</si>
  <si>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</si>
  <si>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</si>
  <si>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</si>
  <si>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</si>
  <si>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</si>
  <si>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</si>
  <si>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</si>
  <si>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</si>
  <si>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</si>
  <si>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</si>
  <si>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</si>
  <si>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</si>
  <si>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</si>
  <si>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</si>
  <si>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</si>
  <si>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</si>
  <si>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</si>
  <si>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</si>
  <si>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</si>
  <si>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</si>
  <si>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</si>
  <si>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</si>
  <si>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</si>
  <si>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</si>
  <si>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</si>
  <si>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</si>
  <si>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</si>
  <si>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</si>
  <si>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</si>
  <si>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</si>
  <si>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</si>
  <si>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</si>
  <si>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</si>
  <si>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</si>
  <si>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</si>
  <si>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</si>
  <si>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</si>
  <si>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</si>
  <si>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</si>
  <si>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</si>
  <si>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</si>
  <si>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</si>
  <si>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</si>
  <si>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</si>
  <si>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</si>
  <si>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</si>
  <si>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</si>
  <si>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</si>
  <si>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</si>
  <si>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</si>
  <si>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</si>
  <si>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</si>
  <si>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</si>
  <si>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</si>
  <si>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</si>
  <si>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</si>
  <si>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</si>
  <si>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</si>
  <si>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</si>
  <si>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</si>
  <si>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</si>
  <si>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</si>
  <si>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</si>
  <si>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</si>
  <si>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</si>
  <si>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</si>
  <si>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</si>
  <si>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</si>
  <si>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</si>
  <si>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</si>
  <si>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</si>
  <si>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</si>
  <si>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</si>
  <si>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</si>
  <si>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</si>
  <si>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</si>
  <si>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</si>
  <si>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</si>
  <si>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</si>
  <si>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</si>
  <si>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</si>
  <si>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</si>
  <si>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</si>
  <si>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</si>
  <si>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</si>
  <si>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</si>
  <si>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</si>
  <si>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</si>
  <si>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</si>
  <si>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</si>
  <si>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</si>
  <si>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</si>
  <si>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</si>
  <si>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</si>
  <si>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</si>
  <si>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</si>
  <si>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</si>
  <si>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</si>
  <si>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</si>
  <si>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</si>
  <si>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</si>
  <si>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</si>
  <si>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</si>
  <si>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</si>
  <si>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</si>
  <si>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</si>
  <si>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</si>
  <si>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</si>
  <si>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</si>
  <si>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</si>
  <si>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</si>
  <si>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</si>
  <si>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</si>
  <si>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</si>
  <si>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</si>
  <si>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</si>
  <si>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</si>
  <si>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</si>
  <si>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</si>
  <si>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</si>
  <si>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</si>
  <si>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</si>
  <si>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</si>
  <si>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</si>
  <si>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</si>
  <si>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</si>
  <si>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</si>
  <si>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</si>
  <si>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</si>
  <si>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</si>
  <si>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</si>
  <si>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</si>
  <si>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</si>
  <si>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</si>
  <si>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</si>
  <si>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</si>
  <si>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</si>
  <si>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</si>
  <si>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</si>
  <si>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</si>
  <si>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</si>
  <si>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</si>
  <si>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</si>
  <si>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</si>
  <si>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</si>
  <si>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</si>
  <si>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</si>
  <si>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</si>
  <si>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</si>
  <si>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</si>
  <si>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</si>
  <si>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</si>
  <si>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</si>
  <si>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</si>
  <si>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</si>
  <si>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</si>
  <si>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</si>
  <si>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</si>
  <si>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</si>
  <si>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</si>
  <si>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</si>
  <si>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</si>
  <si>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</si>
  <si>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</si>
  <si>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</si>
  <si>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</si>
  <si>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</si>
  <si>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</si>
  <si>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</si>
  <si>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</si>
  <si>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</si>
  <si>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</si>
  <si>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</si>
  <si>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</si>
  <si>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</si>
  <si>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</si>
  <si>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</si>
  <si>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</si>
  <si>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</si>
  <si>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</si>
  <si>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</si>
  <si>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</si>
  <si>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</si>
  <si>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</si>
  <si>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</si>
  <si>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</si>
  <si>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</si>
  <si>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</si>
  <si>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</si>
  <si>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</si>
  <si>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</si>
  <si>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</si>
  <si>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</si>
  <si>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</si>
  <si>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</si>
  <si>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</si>
  <si>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</si>
  <si>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</si>
  <si>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</si>
  <si>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</si>
  <si>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</si>
  <si>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</si>
  <si>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</si>
  <si>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</si>
  <si>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</si>
  <si>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</si>
  <si>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</si>
  <si>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</si>
  <si>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</si>
  <si>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</si>
  <si>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</si>
  <si>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</si>
  <si>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</si>
  <si>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</si>
  <si>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</si>
  <si>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</si>
  <si>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</si>
  <si>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</si>
  <si>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</si>
  <si>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</si>
  <si>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</si>
  <si>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</si>
  <si>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</si>
  <si>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</si>
  <si>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</si>
  <si>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</si>
  <si>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</si>
  <si>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</si>
  <si>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</si>
  <si>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</si>
  <si>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</si>
  <si>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</si>
  <si>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</si>
  <si>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</si>
  <si>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</si>
  <si>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</si>
  <si>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</si>
  <si>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</si>
  <si>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</si>
  <si>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</si>
  <si>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</si>
  <si>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</si>
  <si>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</si>
  <si>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</si>
  <si>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</si>
  <si>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</si>
  <si>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</si>
  <si>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</si>
  <si>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</si>
  <si>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</si>
  <si>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</si>
  <si>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</si>
  <si>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</si>
  <si>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</si>
  <si>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</si>
  <si>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</si>
  <si>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</si>
  <si>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</si>
  <si>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</si>
  <si>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</si>
  <si>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</si>
  <si>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</si>
  <si>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</si>
  <si>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</si>
  <si>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</si>
  <si>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</si>
  <si>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</si>
  <si>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</si>
  <si>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</si>
  <si>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</si>
  <si>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</si>
  <si>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</si>
  <si>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</si>
  <si>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</si>
  <si>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</si>
  <si>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</si>
  <si>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</si>
  <si>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</si>
  <si>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</si>
  <si>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</si>
  <si>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</si>
  <si>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</si>
  <si>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</si>
  <si>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</si>
  <si>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</si>
  <si>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</si>
  <si>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</si>
  <si>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</si>
  <si>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</si>
  <si>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</si>
  <si>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</si>
  <si>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</si>
  <si>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</si>
  <si>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</si>
  <si>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</si>
  <si>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</si>
  <si>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</si>
  <si>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</si>
  <si>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</si>
  <si>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</si>
  <si>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</si>
  <si>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</si>
  <si>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</si>
  <si>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</si>
  <si>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</si>
  <si>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</si>
  <si>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</si>
  <si>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</si>
  <si>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</si>
  <si>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</si>
  <si>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</si>
  <si>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</si>
  <si>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</si>
  <si>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</si>
  <si>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</si>
  <si>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</si>
  <si>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</si>
  <si>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</si>
  <si>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</si>
  <si>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</si>
  <si>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</si>
  <si>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</si>
  <si>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</si>
  <si>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</si>
  <si>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</si>
  <si>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</si>
  <si>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</si>
  <si>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</si>
  <si>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</si>
  <si>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</si>
  <si>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</si>
  <si>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</si>
  <si>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</si>
  <si>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</si>
  <si>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</si>
  <si>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</si>
  <si>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</si>
  <si>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</si>
  <si>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</si>
  <si>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</si>
  <si>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</si>
  <si>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</si>
  <si>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</si>
  <si>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</si>
  <si>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</si>
  <si>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</si>
  <si>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</si>
  <si>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</si>
  <si>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</si>
  <si>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</si>
  <si>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</si>
  <si>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</si>
  <si>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</si>
  <si>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</si>
  <si>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</si>
  <si>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</si>
  <si>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</si>
  <si>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</si>
  <si>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</si>
  <si>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</si>
  <si>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</si>
  <si>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</si>
  <si>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</si>
  <si>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</si>
  <si>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</si>
  <si>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</si>
  <si>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</si>
  <si>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</si>
  <si>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</si>
  <si>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</si>
  <si>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</si>
  <si>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</si>
  <si>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</si>
  <si>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</si>
  <si>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</si>
  <si>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</si>
  <si>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</si>
  <si>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</si>
  <si>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</si>
  <si>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</si>
  <si>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</si>
  <si>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</si>
  <si>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</si>
  <si>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</si>
  <si>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</si>
  <si>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</si>
  <si>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</si>
  <si>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</si>
  <si>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</si>
  <si>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</si>
  <si>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</si>
  <si>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</si>
  <si>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</si>
  <si>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</si>
  <si>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</si>
  <si>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</si>
  <si>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</si>
  <si>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</si>
  <si>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</si>
  <si>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</si>
  <si>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</si>
  <si>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</si>
  <si>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</si>
  <si>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</si>
  <si>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</si>
  <si>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</si>
  <si>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</si>
  <si>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</si>
  <si>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</si>
  <si>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</si>
  <si>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</si>
  <si>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</si>
  <si>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</si>
  <si>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</si>
  <si>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</si>
  <si>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</si>
  <si>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</si>
  <si>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</si>
  <si>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</si>
  <si>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</si>
  <si>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</si>
  <si>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</si>
  <si>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</si>
  <si>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</si>
  <si>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</si>
  <si>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</si>
  <si>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</si>
  <si>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</si>
  <si>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</si>
  <si>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</si>
  <si>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</si>
  <si>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</si>
  <si>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</si>
  <si>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</si>
  <si>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</si>
  <si>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</si>
  <si>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</si>
  <si>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</si>
  <si>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</si>
  <si>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</si>
  <si>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</si>
  <si>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</si>
  <si>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</si>
  <si>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</si>
  <si>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</si>
  <si>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</si>
  <si>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</si>
  <si>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</si>
  <si>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</si>
  <si>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</si>
  <si>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</si>
  <si>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</si>
  <si>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</si>
  <si>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</si>
  <si>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</si>
  <si>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</si>
  <si>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</si>
  <si>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</si>
  <si>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</si>
  <si>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</si>
  <si>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</si>
  <si>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</si>
  <si>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</si>
  <si>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</si>
  <si>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</si>
  <si>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</si>
  <si>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</si>
  <si>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</si>
  <si>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</si>
  <si>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</si>
  <si>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</si>
  <si>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</si>
  <si>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</si>
  <si>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</si>
  <si>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</si>
  <si>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</si>
  <si>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</si>
  <si>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</si>
  <si>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</si>
  <si>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</si>
  <si>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</si>
  <si>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</si>
  <si>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</si>
  <si>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</si>
  <si>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</si>
  <si>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</si>
  <si>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</si>
  <si>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</si>
  <si>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</si>
  <si>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</si>
  <si>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</si>
  <si>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</si>
  <si>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</si>
  <si>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</si>
  <si>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</si>
  <si>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</si>
  <si>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</si>
  <si>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</si>
  <si>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</si>
  <si>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</si>
  <si>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</si>
  <si>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</si>
  <si>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</si>
  <si>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</si>
  <si>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</si>
  <si>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</si>
  <si>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</si>
  <si>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</si>
  <si>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</si>
  <si>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</si>
  <si>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</si>
  <si>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</si>
  <si>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</si>
  <si>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</si>
  <si>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</si>
  <si>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</si>
  <si>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</si>
  <si>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</si>
  <si>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</si>
  <si>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</si>
  <si>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</si>
  <si>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</si>
  <si>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</si>
  <si>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</si>
  <si>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</si>
  <si>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</si>
  <si>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</si>
  <si>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</si>
  <si>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</si>
  <si>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</si>
  <si>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</si>
  <si>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</si>
  <si>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</si>
  <si>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</si>
  <si>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</si>
  <si>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</si>
  <si>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</si>
  <si>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</si>
  <si>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</si>
  <si>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</si>
  <si>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</si>
  <si>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</si>
  <si>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</si>
  <si>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</si>
  <si>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</si>
  <si>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</si>
  <si>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</si>
  <si>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</si>
  <si>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</si>
  <si>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</si>
  <si>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</si>
  <si>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</si>
  <si>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</si>
  <si>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</si>
  <si>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</si>
  <si>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</si>
  <si>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</si>
  <si>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</si>
  <si>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</si>
  <si>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</si>
  <si>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</si>
  <si>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</si>
  <si>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</si>
  <si>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</si>
  <si>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</si>
  <si>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</si>
  <si>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</si>
  <si>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</si>
  <si>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</si>
  <si>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</si>
  <si>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</si>
  <si>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</si>
  <si>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</si>
  <si>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</si>
  <si>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</si>
  <si>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</si>
  <si>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</si>
  <si>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</si>
  <si>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</si>
  <si>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</si>
  <si>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</si>
  <si>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</si>
  <si>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</si>
  <si>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</si>
  <si>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</si>
  <si>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</si>
  <si>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</si>
  <si>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</si>
  <si>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</si>
  <si>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</si>
  <si>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</si>
  <si>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</si>
  <si>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</si>
  <si>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</si>
  <si>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</si>
  <si>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</si>
  <si>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</si>
  <si>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</si>
  <si>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</si>
  <si>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</si>
  <si>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</si>
  <si>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</si>
  <si>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</si>
  <si>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</si>
  <si>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</si>
  <si>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</si>
  <si>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</si>
  <si>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</si>
  <si>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</si>
  <si>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</si>
  <si>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</si>
  <si>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</si>
  <si>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</si>
  <si>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</si>
  <si>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</si>
  <si>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</si>
  <si>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</si>
  <si>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</si>
  <si>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</si>
  <si>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</si>
  <si>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</si>
  <si>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</si>
  <si>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</si>
  <si>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</si>
  <si>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</si>
  <si>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</si>
  <si>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</si>
  <si>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</si>
  <si>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</si>
  <si>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</si>
  <si>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</si>
  <si>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</si>
  <si>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</si>
  <si>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</si>
  <si>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</si>
  <si>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</si>
  <si>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</si>
  <si>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</si>
  <si>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</si>
  <si>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</si>
  <si>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</si>
  <si>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</si>
  <si>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</si>
  <si>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</si>
  <si>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</si>
  <si>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</si>
  <si>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</si>
  <si>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</si>
  <si>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</si>
  <si>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</si>
  <si>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</si>
  <si>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</si>
  <si>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</si>
  <si>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</si>
  <si>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</si>
  <si>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</si>
  <si>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</si>
  <si>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</si>
  <si>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</si>
  <si>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</si>
  <si>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</si>
  <si>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</si>
  <si>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</si>
  <si>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</si>
  <si>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</si>
  <si>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</si>
  <si>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</si>
  <si>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</si>
  <si>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</si>
  <si>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</si>
  <si>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</si>
  <si>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</si>
  <si>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</si>
  <si>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</si>
  <si>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</si>
  <si>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</si>
  <si>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</si>
  <si>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</si>
  <si>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</si>
  <si>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</si>
  <si>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</si>
  <si>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</si>
  <si>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</si>
  <si>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</si>
  <si>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</si>
  <si>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</si>
  <si>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</si>
  <si>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</si>
  <si>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</si>
  <si>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</si>
  <si>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</si>
  <si>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</si>
  <si>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</si>
  <si>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</si>
  <si>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</si>
  <si>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</si>
  <si>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</si>
  <si>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</si>
  <si>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</si>
  <si>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</si>
  <si>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</si>
  <si>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</si>
  <si>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</si>
  <si>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</si>
  <si>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</si>
  <si>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</si>
  <si>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</si>
  <si>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</si>
  <si>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</si>
  <si>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</si>
  <si>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</si>
  <si>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</si>
  <si>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</si>
  <si>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</si>
  <si>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</si>
  <si>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</si>
  <si>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</si>
  <si>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</si>
  <si>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</si>
  <si>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</si>
  <si>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</si>
  <si>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</si>
  <si>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</si>
  <si>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</si>
  <si>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</si>
  <si>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</si>
  <si>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</si>
  <si>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</si>
  <si>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</si>
  <si>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</si>
  <si>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</si>
  <si>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</si>
  <si>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</si>
  <si>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</si>
  <si>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</si>
  <si>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</si>
  <si>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</si>
  <si>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</si>
  <si>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</si>
  <si>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</si>
  <si>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</si>
  <si>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</si>
  <si>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</si>
  <si>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</si>
  <si>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</si>
  <si>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</si>
  <si>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</si>
  <si>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</si>
  <si>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</si>
  <si>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</si>
  <si>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</si>
  <si>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</si>
  <si>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</si>
  <si>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</si>
  <si>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</si>
  <si>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</si>
  <si>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</si>
  <si>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</si>
  <si>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</si>
  <si>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</si>
  <si>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</si>
  <si>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</si>
  <si>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</si>
  <si>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</si>
  <si>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</si>
  <si>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</si>
  <si>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</si>
  <si>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</si>
  <si>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</si>
  <si>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</si>
  <si>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</si>
  <si>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</si>
  <si>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</si>
  <si>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</si>
  <si>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</si>
  <si>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</si>
  <si>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</si>
  <si>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</si>
  <si>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</si>
  <si>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</si>
  <si>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</si>
  <si>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</si>
  <si>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</si>
  <si>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</si>
  <si>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</si>
  <si>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</si>
  <si>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</si>
  <si>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</si>
  <si>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</si>
  <si>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</si>
  <si>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</si>
  <si>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</si>
  <si>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</si>
  <si>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</si>
  <si>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</si>
  <si>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</si>
  <si>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</si>
  <si>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</si>
  <si>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</si>
  <si>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</si>
  <si>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</si>
  <si>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</si>
  <si>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</si>
  <si>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</si>
  <si>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</si>
  <si>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</si>
  <si>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</si>
  <si>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</si>
  <si>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</si>
  <si>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</si>
  <si>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</si>
  <si>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</si>
  <si>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</si>
  <si>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</si>
  <si>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</si>
  <si>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</si>
  <si>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</si>
  <si>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</si>
  <si>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</si>
  <si>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</si>
  <si>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</si>
  <si>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</si>
  <si>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</si>
  <si>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</si>
  <si>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</si>
  <si>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</si>
  <si>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</si>
  <si>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</si>
  <si>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</si>
  <si>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</si>
  <si>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</si>
  <si>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</si>
  <si>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</si>
  <si>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</si>
  <si>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</si>
  <si>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</si>
  <si>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</si>
  <si>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</si>
  <si>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</si>
  <si>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</si>
  <si>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</si>
  <si>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</si>
  <si>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</si>
  <si>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</si>
  <si>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</si>
  <si>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</si>
  <si>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</si>
  <si>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</si>
  <si>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</si>
  <si>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</si>
  <si>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</si>
  <si>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</si>
  <si>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</si>
  <si>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</si>
  <si>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</si>
  <si>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</si>
  <si>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</si>
  <si>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</si>
  <si>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</si>
  <si>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</si>
  <si>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</si>
  <si>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</si>
  <si>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</si>
  <si>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</si>
  <si>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</si>
  <si>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</si>
  <si>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</si>
  <si>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</si>
  <si>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</si>
  <si>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</si>
  <si>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</si>
  <si>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</si>
  <si>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</si>
  <si>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</si>
  <si>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</si>
  <si>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</si>
  <si>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</si>
  <si>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</si>
  <si>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</si>
  <si>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</si>
  <si>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</si>
  <si>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</si>
  <si>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</si>
  <si>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</si>
  <si>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</si>
  <si>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</si>
  <si>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</si>
  <si>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</si>
  <si>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</si>
  <si>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</si>
  <si>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</si>
  <si>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</si>
  <si>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</si>
  <si>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</si>
  <si>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</si>
  <si>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</si>
  <si>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</si>
  <si>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</si>
  <si>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</si>
  <si>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</si>
  <si>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</si>
  <si>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</si>
  <si>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</si>
  <si>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</si>
  <si>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</si>
  <si>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</si>
  <si>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</si>
  <si>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</si>
  <si>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</si>
  <si>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</si>
  <si>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</si>
  <si>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</si>
  <si>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</si>
  <si>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</si>
  <si>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</si>
  <si>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</si>
  <si>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</si>
  <si>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</si>
  <si>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</si>
  <si>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</si>
  <si>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</si>
  <si>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</si>
  <si>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</si>
  <si>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</si>
  <si>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</si>
  <si>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</si>
  <si>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</si>
  <si>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</si>
  <si>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</si>
  <si>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</si>
  <si>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</si>
  <si>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</si>
  <si>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</si>
  <si>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</si>
  <si>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</si>
  <si>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</si>
  <si>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</si>
  <si>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</si>
  <si>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</si>
  <si>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</si>
  <si>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</si>
  <si>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</si>
  <si>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</si>
  <si>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</si>
  <si>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</si>
  <si>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</si>
  <si>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</si>
  <si>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</si>
  <si>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</si>
  <si>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</si>
  <si>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</si>
  <si>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</si>
  <si>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</si>
  <si>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</si>
  <si>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</si>
  <si>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</si>
  <si>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</si>
  <si>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</si>
  <si>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</si>
  <si>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</si>
  <si>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</si>
  <si>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</si>
  <si>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</si>
  <si>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</si>
  <si>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</si>
  <si>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</si>
  <si>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</si>
  <si>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</si>
  <si>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</si>
  <si>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</si>
  <si>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</si>
  <si>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</si>
  <si>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</si>
  <si>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</si>
  <si>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</si>
  <si>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</si>
  <si>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</si>
  <si>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</si>
  <si>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</si>
  <si>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</si>
  <si>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</si>
  <si>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</si>
  <si>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</si>
  <si>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</si>
  <si>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</si>
  <si>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</si>
  <si>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</si>
  <si>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</si>
  <si>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</si>
  <si>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</si>
  <si>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</si>
  <si>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</si>
  <si>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</si>
  <si>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</si>
  <si>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</si>
  <si>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</si>
  <si>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</si>
  <si>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</si>
  <si>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</si>
  <si>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</si>
  <si>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</si>
  <si>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</si>
  <si>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</si>
  <si>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</si>
  <si>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</si>
  <si>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</si>
  <si>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</si>
  <si>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</si>
  <si>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</si>
  <si>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</si>
  <si>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</si>
  <si>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</si>
  <si>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</si>
  <si>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</si>
  <si>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</si>
  <si>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</si>
  <si>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</si>
  <si>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</si>
  <si>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</si>
  <si>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</si>
  <si>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</si>
  <si>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</si>
  <si>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</si>
  <si>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</si>
  <si>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</si>
  <si>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</si>
  <si>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</si>
  <si>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</si>
  <si>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</si>
  <si>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</si>
  <si>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</si>
  <si>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</si>
  <si>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</si>
  <si>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</si>
  <si>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</si>
  <si>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</si>
  <si>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</si>
  <si>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</si>
  <si>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</si>
  <si>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</si>
  <si>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</si>
  <si>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</si>
  <si>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</si>
  <si>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</si>
  <si>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</si>
  <si>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</si>
  <si>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</si>
  <si>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</si>
  <si>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</si>
  <si>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</si>
  <si>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</si>
  <si>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</si>
  <si>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</si>
  <si>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</si>
  <si>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</si>
  <si>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</si>
  <si>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</si>
  <si>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</si>
  <si>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</si>
  <si>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</si>
  <si>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</si>
  <si>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</si>
  <si>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</si>
  <si>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</si>
  <si>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</si>
  <si>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</si>
  <si>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</si>
  <si>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</si>
  <si>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</si>
  <si>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</si>
  <si>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</si>
  <si>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</si>
  <si>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</si>
  <si>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</si>
  <si>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</si>
  <si>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</si>
  <si>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</si>
  <si>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</si>
  <si>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</si>
  <si>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</si>
  <si>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</si>
  <si>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</si>
  <si>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</si>
  <si>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</si>
  <si>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</si>
  <si>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</si>
  <si>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</si>
  <si>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</si>
  <si>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</si>
  <si>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</si>
  <si>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</si>
  <si>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</si>
  <si>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</si>
  <si>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</si>
  <si>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</si>
  <si>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</si>
  <si>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</si>
  <si>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</si>
  <si>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</si>
  <si>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</si>
  <si>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</si>
  <si>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</si>
  <si>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</si>
  <si>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</si>
  <si>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</si>
  <si>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</si>
  <si>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</si>
  <si>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</si>
  <si>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</si>
  <si>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</si>
  <si>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</si>
  <si>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</si>
  <si>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</si>
  <si>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</si>
  <si>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</si>
  <si>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</si>
  <si>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</si>
  <si>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</si>
  <si>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</si>
  <si>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</si>
  <si>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</si>
  <si>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</si>
  <si>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</si>
  <si>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</si>
  <si>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</si>
  <si>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</si>
  <si>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</si>
  <si>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</si>
  <si>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</si>
  <si>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</si>
  <si>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</si>
  <si>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</si>
  <si>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</si>
  <si>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</si>
  <si>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</si>
  <si>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</si>
  <si>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</si>
  <si>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</si>
  <si>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</si>
  <si>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</si>
  <si>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</si>
  <si>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</si>
  <si>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</si>
  <si>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</si>
  <si>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</si>
  <si>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</si>
  <si>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</si>
  <si>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</si>
  <si>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</si>
  <si>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</si>
  <si>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</si>
  <si>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</si>
  <si>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</si>
  <si>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</si>
  <si>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</si>
  <si>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</si>
  <si>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</si>
  <si>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</si>
  <si>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</si>
  <si>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</si>
  <si>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</si>
  <si>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</si>
  <si>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</si>
  <si>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</si>
  <si>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</si>
  <si>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</si>
  <si>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</si>
  <si>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</si>
  <si>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</si>
  <si>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</si>
  <si>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</si>
  <si>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</si>
  <si>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</si>
  <si>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</si>
  <si>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</si>
  <si>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</si>
  <si>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</si>
  <si>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</si>
  <si>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</si>
  <si>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</si>
  <si>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</si>
  <si>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</si>
  <si>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</si>
  <si>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</si>
  <si>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</si>
  <si>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</si>
  <si>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</si>
  <si>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</si>
  <si>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</si>
  <si>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</si>
  <si>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</si>
  <si>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</si>
  <si>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</si>
  <si>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</si>
  <si>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</si>
  <si>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</si>
  <si>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</si>
  <si>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</si>
  <si>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</si>
  <si>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</si>
  <si>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</si>
  <si>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</si>
  <si>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</si>
  <si>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</si>
  <si>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</si>
  <si>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</si>
  <si>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</si>
  <si>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</si>
  <si>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</si>
  <si>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</si>
  <si>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</si>
  <si>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</si>
  <si>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</si>
  <si>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</si>
  <si>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</si>
  <si>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</si>
  <si>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</si>
  <si>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</si>
  <si>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</si>
  <si>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</si>
  <si>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</si>
  <si>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</si>
  <si>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</si>
  <si>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</si>
  <si>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</si>
  <si>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</si>
  <si>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</si>
  <si>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</si>
  <si>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</si>
  <si>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</si>
  <si>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</si>
  <si>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</si>
  <si>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</si>
  <si>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</si>
  <si>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</si>
  <si>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</si>
  <si>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</si>
  <si>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</si>
  <si>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</si>
  <si>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</si>
  <si>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</si>
  <si>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</si>
  <si>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</si>
  <si>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</si>
  <si>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</si>
  <si>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</si>
  <si>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</si>
  <si>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</si>
  <si>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</si>
  <si>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</si>
  <si>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</si>
  <si>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</si>
  <si>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</si>
  <si>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</si>
  <si>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</si>
  <si>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</si>
  <si>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</si>
  <si>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</si>
  <si>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</si>
  <si>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</si>
  <si>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</si>
  <si>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</si>
  <si>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</si>
  <si>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</si>
  <si>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</si>
  <si>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</si>
  <si>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</si>
  <si>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</si>
  <si>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</si>
  <si>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</si>
  <si>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</si>
  <si>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</si>
  <si>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</si>
  <si>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</si>
  <si>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</si>
  <si>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</si>
  <si>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</si>
  <si>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</si>
  <si>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</si>
  <si>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</si>
  <si>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</si>
  <si>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</si>
  <si>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</si>
  <si>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</si>
  <si>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</si>
  <si>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</si>
  <si>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</si>
  <si>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</si>
  <si>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</si>
  <si>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</si>
  <si>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</si>
  <si>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</si>
  <si>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</si>
  <si>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</si>
  <si>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</si>
  <si>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</si>
  <si>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</si>
  <si>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</si>
  <si>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</si>
  <si>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</si>
  <si>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</si>
  <si>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</si>
  <si>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</si>
  <si>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</si>
  <si>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</si>
  <si>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</si>
  <si>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</si>
  <si>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</si>
  <si>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</si>
  <si>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</si>
  <si>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</si>
  <si>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</si>
  <si>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</si>
  <si>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</si>
  <si>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</si>
  <si>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</si>
  <si>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</si>
  <si>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</si>
  <si>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</si>
  <si>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</si>
  <si>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</si>
  <si>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</si>
  <si>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</si>
  <si>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</si>
  <si>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</si>
  <si>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</si>
  <si>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</si>
  <si>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</si>
  <si>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</si>
  <si>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</si>
  <si>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</si>
  <si>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</si>
  <si>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</si>
  <si>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</si>
  <si>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</si>
  <si>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</si>
  <si>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</si>
  <si>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</si>
  <si>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</si>
  <si>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</si>
  <si>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</si>
  <si>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</si>
  <si>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</si>
  <si>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</si>
  <si>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</si>
  <si>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</si>
  <si>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</si>
  <si>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</si>
  <si>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</si>
  <si>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</si>
  <si>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</si>
  <si>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</si>
  <si>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</si>
  <si>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</si>
  <si>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</si>
  <si>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</si>
  <si>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</si>
  <si>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</si>
  <si>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</si>
  <si>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</si>
  <si>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</si>
  <si>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</si>
  <si>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</si>
  <si>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</si>
  <si>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</si>
  <si>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</si>
  <si>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</si>
  <si>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</si>
  <si>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</si>
  <si>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</si>
  <si>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</si>
  <si>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</si>
  <si>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</si>
  <si>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</si>
  <si>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</si>
  <si>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</si>
  <si>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</si>
  <si>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</si>
  <si>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</si>
  <si>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</si>
  <si>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</si>
  <si>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</si>
  <si>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</si>
  <si>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</si>
  <si>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</si>
  <si>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</si>
  <si>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</si>
  <si>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</si>
  <si>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</si>
  <si>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</si>
  <si>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</si>
  <si>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</si>
  <si>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</si>
  <si>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</si>
  <si>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</si>
  <si>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</si>
  <si>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</si>
  <si>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</si>
  <si>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</si>
  <si>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</si>
  <si>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</si>
  <si>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</si>
  <si>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</si>
  <si>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</si>
  <si>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</si>
  <si>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</si>
  <si>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</si>
  <si>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</si>
  <si>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</si>
  <si>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</si>
  <si>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</si>
  <si>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</si>
  <si>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</si>
  <si>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</si>
  <si>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</si>
  <si>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</si>
  <si>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</si>
  <si>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</si>
  <si>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</si>
  <si>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</si>
  <si>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</si>
  <si>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</si>
  <si>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</si>
  <si>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</si>
  <si>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</si>
  <si>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</si>
  <si>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</si>
  <si>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</si>
  <si>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</si>
  <si>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</si>
  <si>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</si>
  <si>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</si>
  <si>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</si>
  <si>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</si>
  <si>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</si>
  <si>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</si>
  <si>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</si>
  <si>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</si>
  <si>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</si>
  <si>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</si>
  <si>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</si>
  <si>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</si>
  <si>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</si>
  <si>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</si>
  <si>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</si>
  <si>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</si>
  <si>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</si>
  <si>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</si>
  <si>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</si>
  <si>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</si>
  <si>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</si>
  <si>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</si>
  <si>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</si>
  <si>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</si>
  <si>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</si>
  <si>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</si>
  <si>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</si>
  <si>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</si>
  <si>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</si>
  <si>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</si>
  <si>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</si>
  <si>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</si>
  <si>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</si>
  <si>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</si>
  <si>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</si>
  <si>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</si>
  <si>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</si>
  <si>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</si>
  <si>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</si>
  <si>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</si>
  <si>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</si>
  <si>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</si>
  <si>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</si>
  <si>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</si>
  <si>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</si>
  <si>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</si>
  <si>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</si>
  <si>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</si>
  <si>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</si>
  <si>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</si>
  <si>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</si>
  <si>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</si>
  <si>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</si>
  <si>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</si>
  <si>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</si>
  <si>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</si>
  <si>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</si>
  <si>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</si>
  <si>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</si>
  <si>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</si>
  <si>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</si>
  <si>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</si>
  <si>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</si>
  <si>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</si>
  <si>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</si>
  <si>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</si>
  <si>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</si>
  <si>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</si>
  <si>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</si>
  <si>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</si>
  <si>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</si>
  <si>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</si>
  <si>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</si>
  <si>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</si>
  <si>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</si>
  <si>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</si>
  <si>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</si>
  <si>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</si>
  <si>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</si>
  <si>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</si>
  <si>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</si>
  <si>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</si>
  <si>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</si>
  <si>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</si>
  <si>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</si>
  <si>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</si>
  <si>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</si>
  <si>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</si>
  <si>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</si>
  <si>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</si>
  <si>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</si>
  <si>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</si>
  <si>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</si>
  <si>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</si>
  <si>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</si>
  <si>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</si>
  <si>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</si>
  <si>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</si>
  <si>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</si>
  <si>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</si>
  <si>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</si>
  <si>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</si>
  <si>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</si>
  <si>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</si>
  <si>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</si>
  <si>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</si>
  <si>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</si>
  <si>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</si>
  <si>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</si>
  <si>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</si>
  <si>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</si>
  <si>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</si>
  <si>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</si>
  <si>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</si>
  <si>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</si>
  <si>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</si>
  <si>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</si>
  <si>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</si>
  <si>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</si>
  <si>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</si>
  <si>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</si>
  <si>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</si>
  <si>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</si>
  <si>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</si>
  <si>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</si>
  <si>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</si>
  <si>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</si>
  <si>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</si>
  <si>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</si>
  <si>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</si>
  <si>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</si>
  <si>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</si>
  <si>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</si>
  <si>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</si>
  <si>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</si>
  <si>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</si>
  <si>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</si>
  <si>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</si>
  <si>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</si>
  <si>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</si>
  <si>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</si>
  <si>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</si>
  <si>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</si>
  <si>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</si>
  <si>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</si>
  <si>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</si>
  <si>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</si>
  <si>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</si>
  <si>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</si>
  <si>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</si>
  <si>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</si>
  <si>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</si>
  <si>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</si>
  <si>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</si>
  <si>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</si>
  <si>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</si>
  <si>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</si>
  <si>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</si>
  <si>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</si>
  <si>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</si>
  <si>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</si>
  <si>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</si>
  <si>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</si>
  <si>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</si>
  <si>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</si>
  <si>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</si>
  <si>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</si>
  <si>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</si>
  <si>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</si>
  <si>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</si>
  <si>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</si>
  <si>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</si>
  <si>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</si>
  <si>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</si>
  <si>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</si>
  <si>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</si>
  <si>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</si>
  <si>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</si>
  <si>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</si>
  <si>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</si>
  <si>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</si>
  <si>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</si>
  <si>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</si>
  <si>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</si>
  <si>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</si>
  <si>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</si>
  <si>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</si>
  <si>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</si>
  <si>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</si>
  <si>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</si>
  <si>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</si>
  <si>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</si>
  <si>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ST. CLAIR</t>
  </si>
  <si>
    <t>40 SIGNAL HILL PLACE</t>
  </si>
  <si>
    <t>BELLEVILLE</t>
  </si>
  <si>
    <t>FICK, EGGEMEYER, &amp; WILLIAMSON CPAs PC</t>
  </si>
  <si>
    <t>KEITH SLUSSER</t>
  </si>
  <si>
    <t>6240 S. LINDBERGH BLVD</t>
  </si>
  <si>
    <t>ST. LOUIS</t>
  </si>
  <si>
    <t>314-845-7999</t>
  </si>
  <si>
    <t>MO</t>
  </si>
  <si>
    <t>KEITH@AFEWCPAS.COM</t>
  </si>
  <si>
    <t>618-397-0325</t>
  </si>
  <si>
    <t>FICK, EGGEMEYER, &amp; WILLIAMSON CPAs</t>
  </si>
  <si>
    <t>2013 Series</t>
  </si>
  <si>
    <t>2020 Series</t>
  </si>
  <si>
    <t>x</t>
  </si>
  <si>
    <t>314-845-7770</t>
  </si>
  <si>
    <t>Belleville District #118 Food Service</t>
  </si>
  <si>
    <t>Tech Electronics</t>
  </si>
  <si>
    <t>Johnson Control</t>
  </si>
  <si>
    <t>Kone Elevator</t>
  </si>
  <si>
    <t>Waste management</t>
  </si>
  <si>
    <t>Windstream</t>
  </si>
  <si>
    <t>Charter</t>
  </si>
  <si>
    <t>AT&amp;T</t>
  </si>
  <si>
    <t>Harmony Emge</t>
  </si>
  <si>
    <t>Page 11, LN 107, Column C - Miscellaneous income</t>
  </si>
  <si>
    <t>Page 11, LN 107, Column D - Miscellaneous income</t>
  </si>
  <si>
    <t>Page 12, LN 168 - Miscellaneous restricted income</t>
  </si>
  <si>
    <t>Page 18, LN 171 - Miscellaneous debt payments</t>
  </si>
  <si>
    <t>Mr. Kelly Bohnenstiehl</t>
  </si>
  <si>
    <t>kbohnenstiehl@signalhill181.org</t>
  </si>
  <si>
    <t>Keith Slusser, CPA</t>
  </si>
  <si>
    <t>50082181002   Signal Hill SD 181</t>
  </si>
  <si>
    <t>Signal Hill SD 181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</si>
</sst>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14" fontId="58" fillId="0" borderId="0" xfId="3" applyNumberFormat="1" applyFont="1" applyBorder="1" applyProtection="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t="s">
        <v>2084</v>
      </c>
      <c r="B13" s="2088"/>
      <c r="C13" s="2088"/>
      <c r="D13" s="2088"/>
      <c r="E13" s="2088"/>
      <c r="F13" s="2088"/>
      <c r="G13" s="2088"/>
      <c r="H13" s="2089"/>
      <c r="I13" s="31"/>
      <c r="J13" s="30"/>
      <c r="K13" s="28"/>
      <c r="L13" s="30"/>
      <c r="M13" s="30"/>
      <c r="N13" s="30"/>
      <c r="O13" s="30"/>
      <c r="P13" s="30"/>
      <c r="Q13" s="30"/>
      <c r="R13" s="30"/>
      <c r="S13" s="30"/>
      <c r="T13" s="2092" t="s">
        <v>2055</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2052</v>
      </c>
      <c r="B15" s="2090"/>
      <c r="C15" s="2090"/>
      <c r="D15" s="2090"/>
      <c r="E15" s="2090"/>
      <c r="F15" s="2090"/>
      <c r="G15" s="2090"/>
      <c r="H15" s="2091"/>
      <c r="T15" s="2053" t="s">
        <v>2056</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2085</v>
      </c>
      <c r="B17" s="2115"/>
      <c r="C17" s="2115"/>
      <c r="D17" s="2115"/>
      <c r="E17" s="2115"/>
      <c r="F17" s="2115"/>
      <c r="G17" s="2115"/>
      <c r="H17" s="2116"/>
      <c r="T17" s="2102" t="s">
        <v>2057</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2053</v>
      </c>
      <c r="B19" s="2086"/>
      <c r="C19" s="2086"/>
      <c r="D19" s="2086"/>
      <c r="E19" s="2086"/>
      <c r="F19" s="2086"/>
      <c r="G19" s="2086"/>
      <c r="H19" s="2084"/>
      <c r="I19" s="30"/>
      <c r="J19" s="96"/>
      <c r="K19" s="40"/>
      <c r="L19" s="38"/>
      <c r="M19" s="109" t="s">
        <v>312</v>
      </c>
      <c r="P19" s="27"/>
      <c r="Q19" s="27"/>
      <c r="R19" s="27"/>
      <c r="S19" s="31"/>
      <c r="T19" s="2085" t="s">
        <v>2058</v>
      </c>
      <c r="U19" s="2083"/>
      <c r="V19" s="2083"/>
      <c r="W19" s="2084"/>
      <c r="X19" s="2100" t="s">
        <v>2060</v>
      </c>
      <c r="Y19" s="2101"/>
      <c r="Z19" s="2098">
        <v>63123</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2054</v>
      </c>
      <c r="B21" s="2083"/>
      <c r="C21" s="2083"/>
      <c r="D21" s="2083"/>
      <c r="E21" s="2083"/>
      <c r="F21" s="2083"/>
      <c r="G21" s="2083"/>
      <c r="H21" s="2084"/>
      <c r="I21" s="2108" t="s">
        <v>673</v>
      </c>
      <c r="J21" s="2071"/>
      <c r="K21" s="2071"/>
      <c r="L21" s="2071"/>
      <c r="M21" s="2071"/>
      <c r="N21" s="2071"/>
      <c r="O21" s="2071"/>
      <c r="P21" s="2071"/>
      <c r="Q21" s="2071"/>
      <c r="R21" s="2071"/>
      <c r="S21" s="2072"/>
      <c r="T21" s="2050" t="s">
        <v>2059</v>
      </c>
      <c r="U21" s="2051"/>
      <c r="V21" s="2051"/>
      <c r="W21" s="2051"/>
      <c r="X21" s="2064" t="s">
        <v>2067</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c r="B23" s="2106"/>
      <c r="C23" s="2106"/>
      <c r="D23" s="2106"/>
      <c r="E23" s="2106"/>
      <c r="F23" s="2106"/>
      <c r="G23" s="2106"/>
      <c r="H23" s="2107"/>
      <c r="T23" s="2045"/>
      <c r="U23" s="2046"/>
      <c r="V23" s="2046"/>
      <c r="W23" s="2046"/>
      <c r="X23" s="2061"/>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62223</v>
      </c>
      <c r="B25" s="2083"/>
      <c r="C25" s="2083"/>
      <c r="D25" s="2083"/>
      <c r="E25" s="2083"/>
      <c r="F25" s="2083"/>
      <c r="G25" s="2083"/>
      <c r="H25" s="2084"/>
      <c r="I25" s="110"/>
      <c r="J25" s="2149"/>
      <c r="K25" s="2149"/>
      <c r="L25" s="2149"/>
      <c r="M25" s="2149"/>
      <c r="N25" s="2149"/>
      <c r="O25" s="2149"/>
      <c r="P25" s="2149"/>
      <c r="Q25" s="2149"/>
      <c r="R25" s="2149"/>
      <c r="S25" s="2150"/>
      <c r="T25" s="2042" t="s">
        <v>2061</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99"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99"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2081</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2082</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2062</v>
      </c>
      <c r="B42" s="2132"/>
      <c r="C42" s="2133"/>
      <c r="D42" s="2146"/>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80" zoomScaleNormal="80" workbookViewId="0">
      <selection activeCell="H30" sqref="H3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562792</v>
      </c>
      <c r="C4" s="1722">
        <v>0</v>
      </c>
      <c r="D4" s="1723">
        <f>B4-C4</f>
        <v>562792</v>
      </c>
      <c r="E4" s="1722">
        <v>786868.33</v>
      </c>
      <c r="F4" s="1723">
        <f>E4-C4</f>
        <v>786868.33</v>
      </c>
    </row>
    <row r="5" spans="1:8" ht="13.7" customHeight="1" x14ac:dyDescent="0.2">
      <c r="A5" s="579" t="s">
        <v>865</v>
      </c>
      <c r="B5" s="1724">
        <f>'Revenues 9-14'!D5</f>
        <v>161482</v>
      </c>
      <c r="C5" s="1664">
        <v>0</v>
      </c>
      <c r="D5" s="1725">
        <f t="shared" ref="D5:D18" si="0">B5-C5</f>
        <v>161482</v>
      </c>
      <c r="E5" s="1664">
        <v>223678</v>
      </c>
      <c r="F5" s="1725">
        <f>E5-C5</f>
        <v>223678</v>
      </c>
    </row>
    <row r="6" spans="1:8" ht="13.7" customHeight="1" x14ac:dyDescent="0.2">
      <c r="A6" s="579" t="s">
        <v>408</v>
      </c>
      <c r="B6" s="1724">
        <f>'Revenues 9-14'!E5</f>
        <v>145940</v>
      </c>
      <c r="C6" s="1664">
        <v>0</v>
      </c>
      <c r="D6" s="1725">
        <f t="shared" si="0"/>
        <v>145940</v>
      </c>
      <c r="E6" s="1664">
        <v>199633</v>
      </c>
      <c r="F6" s="1725">
        <f t="shared" ref="F6:F18" si="1">E6-C6</f>
        <v>199633</v>
      </c>
    </row>
    <row r="7" spans="1:8" ht="13.7" customHeight="1" x14ac:dyDescent="0.2">
      <c r="A7" s="579" t="s">
        <v>154</v>
      </c>
      <c r="B7" s="1724">
        <f>'Revenues 9-14'!F5</f>
        <v>34604</v>
      </c>
      <c r="C7" s="1664">
        <v>0</v>
      </c>
      <c r="D7" s="1725">
        <f t="shared" si="0"/>
        <v>34604</v>
      </c>
      <c r="E7" s="1664">
        <v>47931</v>
      </c>
      <c r="F7" s="1725">
        <f t="shared" si="1"/>
        <v>47931</v>
      </c>
    </row>
    <row r="8" spans="1:8" ht="13.7" customHeight="1" x14ac:dyDescent="0.2">
      <c r="A8" s="579" t="s">
        <v>1169</v>
      </c>
      <c r="B8" s="1724">
        <f>'Revenues 9-14'!G5</f>
        <v>34353</v>
      </c>
      <c r="C8" s="1664">
        <v>0</v>
      </c>
      <c r="D8" s="1725">
        <f t="shared" si="0"/>
        <v>34353</v>
      </c>
      <c r="E8" s="1664">
        <v>48011</v>
      </c>
      <c r="F8" s="1725">
        <f t="shared" si="1"/>
        <v>48011</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14418</v>
      </c>
      <c r="C10" s="1664">
        <v>0</v>
      </c>
      <c r="D10" s="1725">
        <f t="shared" si="0"/>
        <v>14418</v>
      </c>
      <c r="E10" s="1664">
        <v>19971</v>
      </c>
      <c r="F10" s="1725">
        <f t="shared" si="1"/>
        <v>19971</v>
      </c>
    </row>
    <row r="11" spans="1:8" x14ac:dyDescent="0.2">
      <c r="A11" s="579" t="s">
        <v>406</v>
      </c>
      <c r="B11" s="1724">
        <f>'Revenues 9-14'!J5</f>
        <v>248597</v>
      </c>
      <c r="C11" s="1664">
        <v>0</v>
      </c>
      <c r="D11" s="1725">
        <f t="shared" si="0"/>
        <v>248597</v>
      </c>
      <c r="E11" s="1664">
        <v>320020</v>
      </c>
      <c r="F11" s="1725">
        <f t="shared" si="1"/>
        <v>320020</v>
      </c>
    </row>
    <row r="12" spans="1:8" ht="13.7" customHeight="1" x14ac:dyDescent="0.2">
      <c r="A12" s="579" t="s">
        <v>156</v>
      </c>
      <c r="B12" s="1724">
        <f>'Revenues 9-14'!K5</f>
        <v>14418</v>
      </c>
      <c r="C12" s="1664">
        <v>0</v>
      </c>
      <c r="D12" s="1725">
        <f t="shared" si="0"/>
        <v>14418</v>
      </c>
      <c r="E12" s="1664">
        <v>19971</v>
      </c>
      <c r="F12" s="1725">
        <f t="shared" si="1"/>
        <v>19971</v>
      </c>
    </row>
    <row r="13" spans="1:8" ht="13.7" customHeight="1" x14ac:dyDescent="0.2">
      <c r="A13" s="579" t="s">
        <v>930</v>
      </c>
      <c r="B13" s="1724">
        <f>SUM('Revenues 9-14'!C6:D6)</f>
        <v>25952</v>
      </c>
      <c r="C13" s="1664">
        <v>0</v>
      </c>
      <c r="D13" s="1725">
        <f t="shared" si="0"/>
        <v>25952</v>
      </c>
      <c r="E13" s="1664">
        <f>19971+15977</f>
        <v>35948</v>
      </c>
      <c r="F13" s="1725">
        <f t="shared" si="1"/>
        <v>35948</v>
      </c>
    </row>
    <row r="14" spans="1:8" ht="13.7" customHeight="1" x14ac:dyDescent="0.2">
      <c r="A14" s="579" t="s">
        <v>407</v>
      </c>
      <c r="B14" s="1724">
        <f>SUM('Revenues 9-14'!C7:D7,'Revenues 9-14'!F7:H7)</f>
        <v>5768</v>
      </c>
      <c r="C14" s="1664">
        <v>0</v>
      </c>
      <c r="D14" s="1725">
        <f t="shared" si="0"/>
        <v>5768</v>
      </c>
      <c r="E14" s="1664">
        <v>7989</v>
      </c>
      <c r="F14" s="1725">
        <f t="shared" si="1"/>
        <v>7989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30710</v>
      </c>
      <c r="C16" s="1664"/>
      <c r="D16" s="1725">
        <f t="shared" si="0"/>
        <v>30710</v>
      </c>
      <c r="E16" s="1664">
        <v>42020</v>
      </c>
      <c r="F16" s="1725">
        <f t="shared" si="1"/>
        <v>42020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1279034</v>
      </c>
      <c r="C19" s="1726">
        <f>SUM(C4:C18)</f>
        <v>0</v>
      </c>
      <c r="D19" s="1726">
        <f>SUM(D4:D18)</f>
        <v>1279034</v>
      </c>
      <c r="E19" s="1726">
        <f>SUM(E4:E18)</f>
        <v>1752040.33</v>
      </c>
      <c r="F19" s="1726">
        <f>SUM(F4:F18)</f>
        <v>1752040.33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A16" colorId="8" zoomScale="80" zoomScaleNormal="80" zoomScaleSheetLayoutView="80" workbookViewId="0">
      <selection activeCell="H32" sqref="H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2064</v>
      </c>
      <c r="B33" s="595">
        <v>41505</v>
      </c>
      <c r="C33" s="1734">
        <v>2036700</v>
      </c>
      <c r="D33" s="1735">
        <v>4</v>
      </c>
      <c r="E33" s="1734">
        <v>1395000</v>
      </c>
      <c r="F33" s="1734"/>
      <c r="G33" s="1734"/>
      <c r="H33" s="1734">
        <v>1395000</v>
      </c>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2065</v>
      </c>
      <c r="B35" s="595">
        <v>43941</v>
      </c>
      <c r="C35" s="1737">
        <v>2455000</v>
      </c>
      <c r="D35" s="1735">
        <v>4</v>
      </c>
      <c r="E35" s="1737"/>
      <c r="F35" s="1737">
        <v>2455000</v>
      </c>
      <c r="G35" s="1737"/>
      <c r="H35" s="1737"/>
      <c r="I35" s="1736">
        <f t="shared" si="1"/>
        <v>2455000</v>
      </c>
      <c r="J35" s="1737">
        <v>2156489</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4491700</v>
      </c>
      <c r="D49" s="1742"/>
      <c r="E49" s="1736">
        <f t="shared" ref="E49:J49" si="2">SUM(E31:E48)</f>
        <v>1395000</v>
      </c>
      <c r="F49" s="1736">
        <f t="shared" si="2"/>
        <v>2455000</v>
      </c>
      <c r="G49" s="1736">
        <f t="shared" si="2"/>
        <v>0</v>
      </c>
      <c r="H49" s="1736">
        <f t="shared" si="2"/>
        <v>1395000</v>
      </c>
      <c r="I49" s="1736">
        <f t="shared" si="2"/>
        <v>2455000</v>
      </c>
      <c r="J49" s="1736">
        <f t="shared" si="2"/>
        <v>2156489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80" zoomScaleNormal="8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5768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5768</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5768</v>
      </c>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5768</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D1" colorId="8" zoomScale="80" zoomScaleNormal="80" workbookViewId="0">
      <selection activeCell="A13" sqref="A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78859</v>
      </c>
      <c r="D5" s="1770"/>
      <c r="E5" s="1770"/>
      <c r="F5" s="1765">
        <f>(C5+D5)-E5</f>
        <v>78859</v>
      </c>
      <c r="G5" s="676"/>
      <c r="H5" s="680"/>
      <c r="I5" s="680"/>
      <c r="J5" s="680"/>
      <c r="K5" s="637"/>
      <c r="L5" s="1442">
        <f>F5-K5</f>
        <v>78859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4359692</v>
      </c>
      <c r="D8" s="1771"/>
      <c r="E8" s="1771"/>
      <c r="F8" s="1765">
        <f>(C8+D8)-E8</f>
        <v>4359692</v>
      </c>
      <c r="G8" s="681">
        <v>50</v>
      </c>
      <c r="H8" s="619">
        <v>2352653</v>
      </c>
      <c r="I8" s="619">
        <v>77194</v>
      </c>
      <c r="J8" s="619"/>
      <c r="K8" s="1442">
        <f>(H8+I8)-J8</f>
        <v>2429847</v>
      </c>
      <c r="L8" s="1442">
        <f>F8-K8</f>
        <v>1929845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3677642</v>
      </c>
      <c r="D10" s="1772">
        <v>397925</v>
      </c>
      <c r="E10" s="1772">
        <v>107000</v>
      </c>
      <c r="F10" s="1773">
        <f>(C10+D10)-E10</f>
        <v>3968567</v>
      </c>
      <c r="G10" s="681">
        <v>20</v>
      </c>
      <c r="H10" s="683">
        <v>1393711</v>
      </c>
      <c r="I10" s="683">
        <v>171926</v>
      </c>
      <c r="J10" s="683">
        <v>44940</v>
      </c>
      <c r="K10" s="1442">
        <f>(H10+I10)-J10</f>
        <v>1520697</v>
      </c>
      <c r="L10" s="1442">
        <f>F10-K10</f>
        <v>2447870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v>104101</v>
      </c>
      <c r="D13" s="1771">
        <v>15311</v>
      </c>
      <c r="E13" s="1771"/>
      <c r="F13" s="1765">
        <f>(C13+D13)-E13</f>
        <v>119412</v>
      </c>
      <c r="G13" s="681">
        <v>5</v>
      </c>
      <c r="H13" s="619">
        <v>96005</v>
      </c>
      <c r="I13" s="619">
        <v>5761</v>
      </c>
      <c r="J13" s="619"/>
      <c r="K13" s="1442">
        <f>(H13+I13)-J13</f>
        <v>101766</v>
      </c>
      <c r="L13" s="1442">
        <f>F13-K13</f>
        <v>17646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8220294</v>
      </c>
      <c r="D16" s="1765">
        <f>SUM(D3,D5:D6,D8:D10,D12:D15)</f>
        <v>413236</v>
      </c>
      <c r="E16" s="1765">
        <f>SUM(E3,E5:E6,E8:E10,E12:E15)</f>
        <v>107000</v>
      </c>
      <c r="F16" s="1765">
        <f>SUM(F3,F5:F6,F8:F10,F12:F15)</f>
        <v>8526530</v>
      </c>
      <c r="G16" s="681"/>
      <c r="H16" s="1435">
        <f>SUM(H3,H6,H8:H10,H12:H14,)</f>
        <v>3842369</v>
      </c>
      <c r="I16" s="1435">
        <f>SUM(I3,I6,I8:I10,I12:I14,)</f>
        <v>254881</v>
      </c>
      <c r="J16" s="1435">
        <f>SUM(J3,J6,J8:J10,J12:J14,)</f>
        <v>44940</v>
      </c>
      <c r="K16" s="1435">
        <f>(H16+I16)-J16</f>
        <v>4052310</v>
      </c>
      <c r="L16" s="1435">
        <f>F16-K16</f>
        <v>4474220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254881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7" colorId="8" zoomScale="80" zoomScaleNormal="8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3453085</v>
      </c>
      <c r="G8" s="701"/>
    </row>
    <row r="9" spans="1:9" x14ac:dyDescent="0.2">
      <c r="A9" s="705" t="s">
        <v>457</v>
      </c>
      <c r="B9" s="706" t="s">
        <v>1848</v>
      </c>
      <c r="C9" s="707"/>
      <c r="D9" s="705" t="s">
        <v>498</v>
      </c>
      <c r="E9" s="704"/>
      <c r="F9" s="1775">
        <f>'Expenditures 15-22'!K151</f>
        <v>617297</v>
      </c>
      <c r="G9" s="708"/>
    </row>
    <row r="10" spans="1:9" x14ac:dyDescent="0.2">
      <c r="A10" s="705" t="s">
        <v>496</v>
      </c>
      <c r="B10" s="706" t="s">
        <v>1849</v>
      </c>
      <c r="C10" s="707"/>
      <c r="D10" s="705" t="s">
        <v>498</v>
      </c>
      <c r="E10" s="704"/>
      <c r="F10" s="1775">
        <f>'Expenditures 15-22'!K174</f>
        <v>1440258</v>
      </c>
      <c r="G10" s="708"/>
    </row>
    <row r="11" spans="1:9" x14ac:dyDescent="0.2">
      <c r="A11" s="705" t="s">
        <v>458</v>
      </c>
      <c r="B11" s="706" t="s">
        <v>1850</v>
      </c>
      <c r="C11" s="707"/>
      <c r="D11" s="705" t="s">
        <v>498</v>
      </c>
      <c r="E11" s="704"/>
      <c r="F11" s="1775">
        <f>'Expenditures 15-22'!K210</f>
        <v>15263</v>
      </c>
      <c r="G11" s="708"/>
    </row>
    <row r="12" spans="1:9" x14ac:dyDescent="0.2">
      <c r="A12" s="705" t="s">
        <v>459</v>
      </c>
      <c r="B12" s="706" t="s">
        <v>1851</v>
      </c>
      <c r="C12" s="707"/>
      <c r="D12" s="705" t="s">
        <v>498</v>
      </c>
      <c r="E12" s="704"/>
      <c r="F12" s="1775">
        <f>'Expenditures 15-22'!K295</f>
        <v>96598</v>
      </c>
      <c r="G12" s="708"/>
    </row>
    <row r="13" spans="1:9" x14ac:dyDescent="0.2">
      <c r="A13" s="705" t="s">
        <v>106</v>
      </c>
      <c r="B13" s="706" t="s">
        <v>1852</v>
      </c>
      <c r="C13" s="707"/>
      <c r="D13" s="705" t="s">
        <v>498</v>
      </c>
      <c r="E13" s="704"/>
      <c r="F13" s="1775">
        <f>'Expenditures 15-22'!K342</f>
        <v>304757</v>
      </c>
      <c r="G13" s="709"/>
    </row>
    <row r="14" spans="1:9" ht="12" customHeight="1" thickBot="1" x14ac:dyDescent="0.25">
      <c r="A14" s="1443"/>
      <c r="B14" s="1444"/>
      <c r="C14" s="1445"/>
      <c r="D14" s="1446" t="s">
        <v>498</v>
      </c>
      <c r="E14" s="1447" t="s">
        <v>952</v>
      </c>
      <c r="F14" s="1776">
        <f>SUM(F8:F13)</f>
        <v>5927258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5998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89919</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40503</v>
      </c>
      <c r="G52" s="701"/>
    </row>
    <row r="53" spans="1:7" x14ac:dyDescent="0.2">
      <c r="A53" s="705" t="s">
        <v>456</v>
      </c>
      <c r="B53" s="705" t="s">
        <v>1458</v>
      </c>
      <c r="C53" s="724">
        <f>'Expenditures 15-22'!B102</f>
        <v>4000</v>
      </c>
      <c r="D53" s="723" t="str">
        <f>'Expenditures 15-22'!A102</f>
        <v>Total Payments to Other Govt Units</v>
      </c>
      <c r="E53" s="704"/>
      <c r="F53" s="1782">
        <f>'Expenditures 15-22'!K102</f>
        <v>403103</v>
      </c>
      <c r="G53" s="701"/>
    </row>
    <row r="54" spans="1:7" x14ac:dyDescent="0.2">
      <c r="A54" s="705" t="s">
        <v>456</v>
      </c>
      <c r="B54" s="705" t="s">
        <v>1459</v>
      </c>
      <c r="C54" s="724" t="s">
        <v>975</v>
      </c>
      <c r="D54" s="720" t="s">
        <v>1086</v>
      </c>
      <c r="E54" s="704"/>
      <c r="F54" s="1782">
        <f>'Expenditures 15-22'!G114</f>
        <v>645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283817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1395000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517</v>
      </c>
      <c r="G67" s="701"/>
    </row>
    <row r="68" spans="1:9" x14ac:dyDescent="0.2">
      <c r="A68" s="705" t="s">
        <v>459</v>
      </c>
      <c r="B68" s="705" t="s">
        <v>1462</v>
      </c>
      <c r="C68" s="721" t="str">
        <f>'Expenditures 15-22'!B218</f>
        <v>1225</v>
      </c>
      <c r="D68" s="727" t="str">
        <f>'Expenditures 15-22'!A218</f>
        <v>Special Education Programs - Pre-K</v>
      </c>
      <c r="E68" s="704"/>
      <c r="F68" s="1782">
        <f>'Expenditures 15-22'!K218</f>
        <v>3607</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72</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2223181</v>
      </c>
      <c r="G77" s="701"/>
    </row>
    <row r="78" spans="1:9" s="728" customFormat="1" ht="12" customHeight="1" thickTop="1" thickBot="1" x14ac:dyDescent="0.25">
      <c r="A78" s="1450"/>
      <c r="B78" s="1448"/>
      <c r="C78" s="1445"/>
      <c r="D78" s="1449" t="s">
        <v>2012</v>
      </c>
      <c r="E78" s="1447"/>
      <c r="F78" s="1788">
        <f>(F14-F77)</f>
        <v>3704077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334.4</v>
      </c>
      <c r="G79" s="733"/>
      <c r="H79" s="705"/>
      <c r="I79" s="705"/>
    </row>
    <row r="80" spans="1:9" s="728" customFormat="1" ht="12" customHeight="1" thickBot="1" x14ac:dyDescent="0.25">
      <c r="A80" s="1452"/>
      <c r="B80" s="1448"/>
      <c r="C80" s="1445"/>
      <c r="D80" s="1449" t="s">
        <v>2013</v>
      </c>
      <c r="E80" s="1447" t="s">
        <v>952</v>
      </c>
      <c r="F80" s="1790">
        <f>IF(F79&gt;0,F78/F79," Complete Line 79")</f>
        <v>11076.78528708134</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20894</v>
      </c>
      <c r="G95" s="745"/>
    </row>
    <row r="96" spans="1:7" x14ac:dyDescent="0.2">
      <c r="A96" s="741" t="s">
        <v>139</v>
      </c>
      <c r="B96" s="741" t="s">
        <v>174</v>
      </c>
      <c r="C96" s="743">
        <v>1700</v>
      </c>
      <c r="D96" s="751" t="str">
        <f>'Revenues 9-14'!A82</f>
        <v>Total District/School Activity Income</v>
      </c>
      <c r="E96" s="739"/>
      <c r="F96" s="1793">
        <f>SUM('Revenues 9-14'!C82,'Revenues 9-14'!D82)</f>
        <v>8078</v>
      </c>
      <c r="G96" s="745"/>
    </row>
    <row r="97" spans="1:7" x14ac:dyDescent="0.2">
      <c r="A97" s="741" t="s">
        <v>456</v>
      </c>
      <c r="B97" s="741" t="s">
        <v>175</v>
      </c>
      <c r="C97" s="743">
        <f>'Revenues 9-14'!B84</f>
        <v>1811</v>
      </c>
      <c r="D97" s="744" t="str">
        <f>'Revenues 9-14'!A84</f>
        <v>Rentals - Regular Textbooks</v>
      </c>
      <c r="E97" s="739"/>
      <c r="F97" s="1793">
        <f>'Revenues 9-14'!C84</f>
        <v>12995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104739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10385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19451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86271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143470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4498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78916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17295</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12930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521422</v>
      </c>
    </row>
    <row r="176" spans="1:7" ht="12" customHeight="1" x14ac:dyDescent="0.2">
      <c r="A176" s="1443"/>
      <c r="B176" s="1453"/>
      <c r="C176" s="1454"/>
      <c r="D176" s="1455" t="s">
        <v>2014</v>
      </c>
      <c r="E176" s="1456"/>
      <c r="F176" s="1793">
        <f>'PCTC-OEPP 27-28'!F78-F175</f>
        <v>3182655</v>
      </c>
    </row>
    <row r="177" spans="1:9" ht="12" customHeight="1" x14ac:dyDescent="0.2">
      <c r="A177" s="1443"/>
      <c r="B177" s="1453"/>
      <c r="C177" s="1454"/>
      <c r="D177" s="1455" t="s">
        <v>1794</v>
      </c>
      <c r="E177" s="1456"/>
      <c r="F177" s="1793">
        <f>'Cap Outlay Deprec 26'!I18</f>
        <v>254881</v>
      </c>
    </row>
    <row r="178" spans="1:9" ht="12" customHeight="1" x14ac:dyDescent="0.2">
      <c r="A178" s="1443"/>
      <c r="B178" s="1453"/>
      <c r="C178" s="1454"/>
      <c r="D178" s="1455" t="s">
        <v>2015</v>
      </c>
      <c r="E178" s="1456"/>
      <c r="F178" s="1793">
        <f>F176+F177</f>
        <v>3437536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334.4</v>
      </c>
      <c r="G179" s="763"/>
      <c r="I179" s="701"/>
    </row>
    <row r="180" spans="1:9" ht="12" customHeight="1" thickBot="1" x14ac:dyDescent="0.25">
      <c r="A180" s="1443"/>
      <c r="B180" s="1457"/>
      <c r="C180" s="1454"/>
      <c r="D180" s="1455" t="s">
        <v>2017</v>
      </c>
      <c r="E180" s="1456" t="s">
        <v>1528</v>
      </c>
      <c r="F180" s="1798">
        <f>F178/F179</f>
        <v>10279.712918660287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80" zoomScaleNormal="80" workbookViewId="0">
      <selection activeCell="B26" sqref="B26"/>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f>B19</f>
        <v>202540300</v>
      </c>
      <c r="C18" s="2036" t="s">
        <v>2069</v>
      </c>
      <c r="D18" s="1886">
        <f>2827.5+2827.5</f>
        <v>5655</v>
      </c>
      <c r="E18" s="1906">
        <f t="shared" ref="E18:E81" si="0">IF(D18&lt;25000,D18,"25,000")</f>
        <v>5655</v>
      </c>
      <c r="F18" s="1906" t="str">
        <f t="shared" ref="F18:F81" si="1">IF(D18&gt;=25000,(D18-E18),"0")</f>
        <v>0</v>
      </c>
      <c r="G18" s="1887"/>
    </row>
    <row r="19" spans="1:7" x14ac:dyDescent="0.25">
      <c r="A19" s="1888"/>
      <c r="B19" s="1908">
        <v>202540300</v>
      </c>
      <c r="C19" s="2036" t="s">
        <v>2070</v>
      </c>
      <c r="D19" s="1886">
        <f>1448+531+244</f>
        <v>2223</v>
      </c>
      <c r="E19" s="1906">
        <f t="shared" si="0"/>
        <v>2223</v>
      </c>
      <c r="F19" s="1906" t="str">
        <f t="shared" si="1"/>
        <v>0</v>
      </c>
    </row>
    <row r="20" spans="1:7" x14ac:dyDescent="0.25">
      <c r="A20" s="1888"/>
      <c r="B20" s="1908">
        <v>202540300</v>
      </c>
      <c r="C20" s="2036" t="s">
        <v>2071</v>
      </c>
      <c r="D20" s="1886">
        <f>572.7+590.96+590.96+4800+590.96</f>
        <v>7145.58</v>
      </c>
      <c r="E20" s="1906">
        <f t="shared" si="0"/>
        <v>7145.58</v>
      </c>
      <c r="F20" s="1906" t="str">
        <f t="shared" si="1"/>
        <v>0</v>
      </c>
    </row>
    <row r="21" spans="1:7" x14ac:dyDescent="0.25">
      <c r="A21" s="1888"/>
      <c r="B21" s="1908">
        <v>202540300</v>
      </c>
      <c r="C21" s="2036" t="s">
        <v>2072</v>
      </c>
      <c r="D21" s="1886">
        <f>4372.22-425.7</f>
        <v>3946.5200000000004</v>
      </c>
      <c r="E21" s="1906">
        <f t="shared" si="0"/>
        <v>3946.5200000000004</v>
      </c>
      <c r="F21" s="1906" t="str">
        <f t="shared" si="1"/>
        <v>0</v>
      </c>
    </row>
    <row r="22" spans="1:7" x14ac:dyDescent="0.25">
      <c r="A22" s="1888"/>
      <c r="B22" s="1908">
        <v>202540300</v>
      </c>
      <c r="C22" s="2036" t="s">
        <v>2073</v>
      </c>
      <c r="D22" s="1886">
        <f>522.84+526.71+526.77+529.47+542.08+542.27+542.27+539.68+539.64+539.64+521.95+521.87</f>
        <v>6395.1900000000005</v>
      </c>
      <c r="E22" s="1906">
        <f t="shared" si="0"/>
        <v>6395.1900000000005</v>
      </c>
      <c r="F22" s="1906" t="str">
        <f t="shared" si="1"/>
        <v>0</v>
      </c>
    </row>
    <row r="23" spans="1:7" x14ac:dyDescent="0.25">
      <c r="A23" s="1888"/>
      <c r="B23" s="1908">
        <v>102560300</v>
      </c>
      <c r="C23" s="2036" t="s">
        <v>2068</v>
      </c>
      <c r="D23" s="1886">
        <f>14499.28+9522.89+7038.58+6424.74+8449.66+9308.67+1850+4695.52+2560.4+2741.7</f>
        <v>67091.44</v>
      </c>
      <c r="E23" s="1906" t="str">
        <f t="shared" si="0"/>
        <v>25,000</v>
      </c>
      <c r="F23" s="1906">
        <f t="shared" si="1"/>
        <v>42091.44</v>
      </c>
    </row>
    <row r="24" spans="1:7" x14ac:dyDescent="0.25">
      <c r="A24" s="1888"/>
      <c r="B24" s="1908">
        <v>402550300</v>
      </c>
      <c r="C24" s="2036" t="s">
        <v>2076</v>
      </c>
      <c r="D24" s="1886">
        <f>8274+6594</f>
        <v>14868</v>
      </c>
      <c r="E24" s="1906">
        <f t="shared" si="0"/>
        <v>14868</v>
      </c>
      <c r="F24" s="1906" t="str">
        <f t="shared" si="1"/>
        <v>0</v>
      </c>
    </row>
    <row r="25" spans="1:7" x14ac:dyDescent="0.25">
      <c r="A25" s="1888"/>
      <c r="B25" s="1908">
        <f>B26</f>
        <v>202540300</v>
      </c>
      <c r="C25" s="2036" t="s">
        <v>2075</v>
      </c>
      <c r="D25" s="1886">
        <v>3779</v>
      </c>
      <c r="E25" s="1906">
        <f t="shared" si="0"/>
        <v>3779</v>
      </c>
      <c r="F25" s="1906" t="str">
        <f t="shared" si="1"/>
        <v>0</v>
      </c>
    </row>
    <row r="26" spans="1:7" x14ac:dyDescent="0.25">
      <c r="A26" s="1888"/>
      <c r="B26" s="1908">
        <v>202540300</v>
      </c>
      <c r="C26" s="2036" t="s">
        <v>2074</v>
      </c>
      <c r="D26" s="1886">
        <f>1280+256+256+256+256+256+256+256</f>
        <v>3072</v>
      </c>
      <c r="E26" s="1906">
        <f t="shared" si="0"/>
        <v>3072</v>
      </c>
      <c r="F26" s="1906" t="str">
        <f t="shared" si="1"/>
        <v>0</v>
      </c>
    </row>
    <row r="27" spans="1:7" x14ac:dyDescent="0.25">
      <c r="A27" s="1888"/>
      <c r="B27" s="1908"/>
      <c r="C27" s="2036"/>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114175.73000000001</v>
      </c>
      <c r="E142" s="1893">
        <f>SUM(E18:E141)</f>
        <v>47084.29</v>
      </c>
      <c r="F142" s="1894">
        <f>SUM(F18:F141)</f>
        <v>42091.44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90" zoomScaleNormal="90" workbookViewId="0">
      <selection activeCell="G21" sqref="G2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f>'Expenditures 15-22'!K61+'Expenditures 15-22'!K124+'Expenditures 15-22'!K266</f>
        <v>661167</v>
      </c>
      <c r="F9" s="805"/>
      <c r="G9" s="806"/>
      <c r="H9" s="157"/>
      <c r="I9" s="157"/>
    </row>
    <row r="10" spans="1:13" s="542" customFormat="1" ht="12" customHeight="1" x14ac:dyDescent="0.2">
      <c r="A10" s="802" t="s">
        <v>1894</v>
      </c>
      <c r="B10" s="803"/>
      <c r="C10" s="807"/>
      <c r="D10" s="804"/>
      <c r="E10" s="1800">
        <f>'Expenditures 15-22'!K63</f>
        <v>113851</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16551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2492211</v>
      </c>
      <c r="F19" s="1802"/>
      <c r="G19" s="1804">
        <f>'Expenditures 15-22'!K33-SUM('Expenditures 15-22'!G33,'Expenditures 15-22'!I33)+'Expenditures 15-22'!D229</f>
        <v>2492211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54299</v>
      </c>
      <c r="F21" s="1805"/>
      <c r="G21" s="1808">
        <f>'Expenditures 15-22'!K42-SUM('Expenditures 15-22'!G42,'Expenditures 15-22'!I42)+'Expenditures 15-22'!K120-SUM('Expenditures 15-22'!G120,'Expenditures 15-22'!I120)+'Expenditures 15-22'!K180-SUM('Expenditures 15-22'!G180,'Expenditures 15-22'!I180)+'Expenditures 15-22'!D238</f>
        <v>54299</v>
      </c>
      <c r="H21" s="817"/>
      <c r="I21" s="157"/>
    </row>
    <row r="22" spans="1:9" s="542" customFormat="1" ht="12" customHeight="1" x14ac:dyDescent="0.2">
      <c r="A22" s="824" t="s">
        <v>560</v>
      </c>
      <c r="B22" s="825"/>
      <c r="C22" s="823">
        <v>2200</v>
      </c>
      <c r="D22" s="1805"/>
      <c r="E22" s="1807">
        <f>'Expenditures 15-22'!K47-SUM('Expenditures 15-22'!G47,'Expenditures 15-22'!I47)+'Expenditures 15-22'!D243</f>
        <v>13422</v>
      </c>
      <c r="F22" s="1805"/>
      <c r="G22" s="1808">
        <f>'Expenditures 15-22'!K47-SUM('Expenditures 15-22'!G47,'Expenditures 15-22'!I47)+'Expenditures 15-22'!D243</f>
        <v>13422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491241</v>
      </c>
      <c r="F23" s="1805"/>
      <c r="G23" s="1807">
        <f>'Expenditures 15-22'!K53-SUM('Expenditures 15-22'!G53,'Expenditures 15-22'!I53)+'Expenditures 15-22'!D257+'Expenditures 15-22'!K330-SUM('Expenditures 15-22'!G330,'Expenditures 15-22'!I330)</f>
        <v>491241</v>
      </c>
      <c r="H23" s="817"/>
      <c r="I23" s="157"/>
    </row>
    <row r="24" spans="1:9" s="542" customFormat="1" ht="12" customHeight="1" x14ac:dyDescent="0.2">
      <c r="A24" s="824" t="s">
        <v>562</v>
      </c>
      <c r="B24" s="825"/>
      <c r="C24" s="823">
        <v>2400</v>
      </c>
      <c r="D24" s="1805"/>
      <c r="E24" s="1807">
        <f>'Expenditures 15-22'!K57-SUM('Expenditures 15-22'!G57,'Expenditures 15-22'!I57)+'Expenditures 15-22'!D261</f>
        <v>161759</v>
      </c>
      <c r="F24" s="1805"/>
      <c r="G24" s="1808">
        <f>'Expenditures 15-22'!K57-SUM('Expenditures 15-22'!G57,'Expenditures 15-22'!I57)+'Expenditures 15-22'!D261</f>
        <v>161759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32791</v>
      </c>
      <c r="E27" s="1807">
        <f>E8</f>
        <v>0</v>
      </c>
      <c r="F27" s="1807">
        <f>'Expenditures 15-22'!K60-SUM('Expenditures 15-22'!G60,'Expenditures 15-22'!I60)+'Expenditures 15-22'!D264-E8</f>
        <v>32791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377350</v>
      </c>
      <c r="F28" s="1809">
        <f>'Expenditures 15-22'!K61-SUM('Expenditures 15-22'!G61,'Expenditures 15-22'!I61)+'Expenditures 15-22'!K124-SUM('Expenditures 15-22'!G124,'Expenditures 15-22'!I124)+'Expenditures 15-22'!D266-E9</f>
        <v>-283817</v>
      </c>
      <c r="G28" s="1808">
        <f>E9</f>
        <v>661167</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15263</v>
      </c>
      <c r="F29" s="1805"/>
      <c r="G29" s="1808">
        <f>'Expenditures 15-22'!K62-SUM('Expenditures 15-22'!G62,'Expenditures 15-22'!I62)+'Expenditures 15-22'!K125-SUM('Expenditures 15-22'!G125,'Expenditures 15-22'!I125)+'Expenditures 15-22'!K182-SUM('Expenditures 15-22'!G182,'Expenditures 15-22'!I182)+'Expenditures 15-22'!D267</f>
        <v>15263</v>
      </c>
      <c r="H29" s="815"/>
    </row>
    <row r="30" spans="1:9" ht="12" customHeight="1" x14ac:dyDescent="0.2">
      <c r="A30" s="824" t="s">
        <v>100</v>
      </c>
      <c r="B30" s="827"/>
      <c r="C30" s="823">
        <v>2560</v>
      </c>
      <c r="D30" s="1805"/>
      <c r="E30" s="1807">
        <f>'Expenditures 15-22'!K63-SUM('Expenditures 15-22'!G63,'Expenditures 15-22'!I63)+'Expenditures 15-22'!D268-E10</f>
        <v>6673</v>
      </c>
      <c r="F30" s="1805"/>
      <c r="G30" s="1807">
        <f>'Expenditures 15-22'!K63-SUM('Expenditures 15-22'!G63,'Expenditures 15-22'!I63)+'Expenditures 15-22'!D268-E10</f>
        <v>6673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40575</v>
      </c>
      <c r="F39" s="1805"/>
      <c r="G39" s="1807">
        <f>'Expenditures 15-22'!K75-SUM('Expenditures 15-22'!G75,'Expenditures 15-22'!I75)+'Expenditures 15-22'!K130-SUM('Expenditures 15-22'!G130,'Expenditures 15-22'!I130)+'Expenditures 15-22'!K185-SUM('Expenditures 15-22'!G185,'Expenditures 15-22'!I185)+'Expenditures 15-22'!D280</f>
        <v>40575</v>
      </c>
    </row>
    <row r="40" spans="1:7" ht="12" customHeight="1" x14ac:dyDescent="0.2">
      <c r="A40" s="820" t="s">
        <v>1798</v>
      </c>
      <c r="B40" s="821"/>
      <c r="C40" s="823"/>
      <c r="D40" s="1805"/>
      <c r="E40" s="1809">
        <f>-'Contracts Paid in CY 29'!F142</f>
        <v>-42091.44</v>
      </c>
      <c r="F40" s="1805"/>
      <c r="G40" s="1809">
        <f>-'Contracts Paid in CY 29'!F142</f>
        <v>-42091.44</v>
      </c>
    </row>
    <row r="41" spans="1:7" ht="12" customHeight="1" x14ac:dyDescent="0.2">
      <c r="A41" s="828" t="s">
        <v>155</v>
      </c>
      <c r="B41" s="829"/>
      <c r="C41" s="830"/>
      <c r="D41" s="1809">
        <f>SUM(D19:D39)</f>
        <v>32791</v>
      </c>
      <c r="E41" s="1809">
        <f>SUM(E19:E40)</f>
        <v>3610701.56</v>
      </c>
      <c r="F41" s="1809">
        <f>SUM(F19:F39)</f>
        <v>-251026</v>
      </c>
      <c r="G41" s="1809">
        <f>SUM(G19:G40)</f>
        <v>3894518.56</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32791</v>
      </c>
      <c r="F43" s="1458" t="s">
        <v>470</v>
      </c>
      <c r="G43" s="1810">
        <f>F41</f>
        <v>-251026</v>
      </c>
    </row>
    <row r="44" spans="1:7" ht="12" customHeight="1" x14ac:dyDescent="0.2">
      <c r="A44" s="817"/>
      <c r="B44" s="157"/>
      <c r="C44" s="831"/>
      <c r="D44" s="1458" t="s">
        <v>471</v>
      </c>
      <c r="E44" s="1810">
        <f>E41</f>
        <v>3610701.56</v>
      </c>
      <c r="F44" s="1458" t="s">
        <v>471</v>
      </c>
      <c r="G44" s="1810">
        <f>G41</f>
        <v>3894518.56</v>
      </c>
    </row>
    <row r="45" spans="1:7" ht="12" customHeight="1" x14ac:dyDescent="0.2">
      <c r="A45" s="817"/>
      <c r="B45" s="157"/>
      <c r="C45" s="157"/>
      <c r="D45" s="1459" t="s">
        <v>999</v>
      </c>
      <c r="E45" s="1811">
        <f>(E43/E44)</f>
        <v>9.0816145990199205E-3</v>
      </c>
      <c r="F45" s="1459" t="s">
        <v>999</v>
      </c>
      <c r="G45" s="1811">
        <f>(G43/G44)</f>
        <v>-6.4456234097392512E-2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11" sqref="C1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Signal Hill SD 181</v>
      </c>
      <c r="D6" s="2405"/>
      <c r="E6" s="2405"/>
      <c r="F6" s="1482"/>
      <c r="G6" s="1507"/>
      <c r="L6" s="1507"/>
      <c r="M6" s="1855"/>
      <c r="N6" s="1855"/>
      <c r="O6" s="1855"/>
    </row>
    <row r="7" spans="1:15" ht="11.25" customHeight="1" thickBot="1" x14ac:dyDescent="0.3">
      <c r="A7" s="1480"/>
      <c r="B7" s="1481"/>
      <c r="C7" s="2406" t="str">
        <f>COVER!A13</f>
        <v>50082181002   Signal Hill SD 181</v>
      </c>
      <c r="D7" s="2406"/>
      <c r="E7" s="2406"/>
      <c r="F7" s="1482"/>
      <c r="G7" s="1507"/>
      <c r="L7" s="1507"/>
      <c r="M7" s="1855"/>
      <c r="N7" s="1855"/>
      <c r="O7" s="1855"/>
    </row>
    <row r="8" spans="1:15" ht="25.5" customHeight="1" thickBot="1" x14ac:dyDescent="0.25">
      <c r="A8" s="1519" t="s">
        <v>1874</v>
      </c>
      <c r="B8" s="1483" t="s">
        <v>2066</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2" sqref="I12"/>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1" t="str">
        <f>COVER!A17</f>
        <v>Signal Hill SD 181</v>
      </c>
      <c r="K6" s="2421"/>
      <c r="L6" s="2422"/>
      <c r="M6" s="838"/>
      <c r="N6" s="1999"/>
    </row>
    <row r="7" spans="1:14" x14ac:dyDescent="0.2">
      <c r="A7" s="2423" t="s">
        <v>864</v>
      </c>
      <c r="B7" s="2424"/>
      <c r="C7" s="2424"/>
      <c r="D7" s="2424"/>
      <c r="E7" s="2425"/>
      <c r="F7" s="839"/>
      <c r="G7" s="838"/>
      <c r="H7" s="838"/>
      <c r="I7" s="1925" t="s">
        <v>369</v>
      </c>
      <c r="J7" s="2426" t="str">
        <f>COVER!A13</f>
        <v>50082181002   Signal Hill SD 181</v>
      </c>
      <c r="K7" s="2426"/>
      <c r="L7" s="242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7" t="s">
        <v>478</v>
      </c>
      <c r="B11" s="2428"/>
      <c r="C11" s="242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143572</v>
      </c>
      <c r="F12" s="1943"/>
      <c r="G12" s="1969">
        <f>G68</f>
        <v>0</v>
      </c>
      <c r="H12" s="1945">
        <f t="shared" ref="H12:H18" si="0">SUM(E12:G12)</f>
        <v>143572</v>
      </c>
      <c r="I12" s="1944">
        <f>109400+8200+12200+200+500+250+1000+1000+2000+1200+1500</f>
        <v>137450</v>
      </c>
      <c r="J12" s="1943"/>
      <c r="K12" s="1944"/>
      <c r="L12" s="1945">
        <f t="shared" ref="L12:L18" si="1">SUM(I12:K12)</f>
        <v>137450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0" t="s">
        <v>7</v>
      </c>
      <c r="C18" s="2431"/>
      <c r="D18" s="243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143572</v>
      </c>
      <c r="F19" s="1951">
        <f t="shared" si="2"/>
        <v>0</v>
      </c>
      <c r="G19" s="1951">
        <f t="shared" ref="G19" si="3">SUM(G12:G17)-G18</f>
        <v>0</v>
      </c>
      <c r="H19" s="1951">
        <f t="shared" si="2"/>
        <v>143572</v>
      </c>
      <c r="I19" s="1951">
        <f t="shared" si="2"/>
        <v>137450</v>
      </c>
      <c r="J19" s="1951">
        <f t="shared" si="2"/>
        <v>0</v>
      </c>
      <c r="K19" s="1951">
        <f t="shared" si="2"/>
        <v>0</v>
      </c>
      <c r="L19" s="1951">
        <f t="shared" si="2"/>
        <v>137450</v>
      </c>
      <c r="M19" s="838"/>
      <c r="N19" s="1999"/>
    </row>
    <row r="20" spans="1:14" ht="13.5" thickTop="1" x14ac:dyDescent="0.2">
      <c r="A20" s="2004">
        <v>9</v>
      </c>
      <c r="B20" s="2433" t="s">
        <v>2021</v>
      </c>
      <c r="C20" s="2433"/>
      <c r="D20" s="2434"/>
      <c r="E20" s="1952"/>
      <c r="F20" s="1952"/>
      <c r="G20" s="1952"/>
      <c r="H20" s="1952"/>
      <c r="I20" s="1952"/>
      <c r="J20" s="1952"/>
      <c r="K20" s="1952"/>
      <c r="L20" s="1953">
        <f>IF(AND(H19&gt;0,L19&gt;0),(((L19-H19)/H19)),"Enter Budget Data")</f>
        <v>-4.2640626305964949E-2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5"/>
      <c r="D27" s="2435"/>
      <c r="E27" s="843"/>
      <c r="F27" s="2436"/>
      <c r="G27" s="2436"/>
      <c r="H27" s="2436"/>
      <c r="I27" s="838"/>
      <c r="J27" s="838"/>
      <c r="K27" s="838"/>
      <c r="L27" s="838"/>
      <c r="M27" s="838"/>
      <c r="N27" s="1999"/>
    </row>
    <row r="28" spans="1:14" x14ac:dyDescent="0.2">
      <c r="A28" s="1998"/>
      <c r="B28" s="2008"/>
      <c r="C28" s="1958" t="s">
        <v>1026</v>
      </c>
      <c r="D28" s="844"/>
      <c r="E28" s="1959"/>
      <c r="F28" s="2437" t="s">
        <v>1492</v>
      </c>
      <c r="G28" s="2437"/>
      <c r="H28" s="2437"/>
      <c r="I28" s="838"/>
      <c r="J28" s="838"/>
      <c r="K28" s="838"/>
      <c r="L28" s="838"/>
      <c r="M28" s="838"/>
      <c r="N28" s="1999"/>
    </row>
    <row r="29" spans="1:14" x14ac:dyDescent="0.2">
      <c r="A29" s="1998"/>
      <c r="B29" s="2008"/>
      <c r="C29" s="2438"/>
      <c r="D29" s="2438"/>
      <c r="E29" s="845"/>
      <c r="F29" s="2438"/>
      <c r="G29" s="2438"/>
      <c r="H29" s="2438"/>
      <c r="I29" s="838"/>
      <c r="J29" s="838"/>
      <c r="K29" s="838"/>
      <c r="L29" s="838"/>
      <c r="M29" s="838"/>
      <c r="N29" s="1999"/>
    </row>
    <row r="30" spans="1:14" x14ac:dyDescent="0.2">
      <c r="A30" s="1998"/>
      <c r="B30" s="2008"/>
      <c r="C30" s="1961" t="s">
        <v>1544</v>
      </c>
      <c r="D30" s="838"/>
      <c r="E30" s="1960"/>
      <c r="F30" s="2420" t="s">
        <v>1493</v>
      </c>
      <c r="G30" s="2420"/>
      <c r="H30" s="242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1" t="s">
        <v>2024</v>
      </c>
      <c r="D34" s="2442"/>
      <c r="E34" s="2442"/>
      <c r="F34" s="2442"/>
      <c r="G34" s="2442"/>
      <c r="H34" s="2442"/>
      <c r="I34" s="2442"/>
      <c r="J34" s="2442"/>
      <c r="K34" s="2017"/>
      <c r="L34" s="838"/>
      <c r="M34" s="838"/>
      <c r="N34" s="1999"/>
    </row>
    <row r="35" spans="1:14" x14ac:dyDescent="0.2">
      <c r="A35" s="1998"/>
      <c r="B35" s="838"/>
      <c r="C35" s="2442"/>
      <c r="D35" s="2442"/>
      <c r="E35" s="2442"/>
      <c r="F35" s="2442"/>
      <c r="G35" s="2442"/>
      <c r="H35" s="2442"/>
      <c r="I35" s="2442"/>
      <c r="J35" s="244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1" t="s">
        <v>2025</v>
      </c>
      <c r="D37" s="2442"/>
      <c r="E37" s="2442"/>
      <c r="F37" s="2442"/>
      <c r="G37" s="2442"/>
      <c r="H37" s="2442"/>
      <c r="I37" s="2442"/>
      <c r="J37" s="2442"/>
      <c r="K37" s="2017"/>
      <c r="L37" s="2019"/>
      <c r="M37" s="838"/>
      <c r="N37" s="1999"/>
    </row>
    <row r="38" spans="1:14" x14ac:dyDescent="0.2">
      <c r="A38" s="1998"/>
      <c r="B38" s="838"/>
      <c r="C38" s="2442"/>
      <c r="D38" s="2442"/>
      <c r="E38" s="2442"/>
      <c r="F38" s="2442"/>
      <c r="G38" s="2442"/>
      <c r="H38" s="2442"/>
      <c r="I38" s="2442"/>
      <c r="J38" s="244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3" t="s">
        <v>2026</v>
      </c>
      <c r="D40" s="2444"/>
      <c r="E40" s="2444"/>
      <c r="F40" s="2444"/>
      <c r="G40" s="2444"/>
      <c r="H40" s="2444"/>
      <c r="I40" s="2444"/>
      <c r="J40" s="244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1" t="str">
        <f>J6</f>
        <v>Signal Hill SD 181</v>
      </c>
      <c r="M52" s="2421"/>
      <c r="N52" s="2451"/>
    </row>
    <row r="53" spans="1:14" x14ac:dyDescent="0.2">
      <c r="A53" s="1983"/>
      <c r="B53" s="1984"/>
      <c r="C53" s="1984"/>
      <c r="D53" s="1984"/>
      <c r="E53" s="1984"/>
      <c r="F53" s="1984"/>
      <c r="G53" s="1984"/>
      <c r="H53" s="1984"/>
      <c r="I53" s="1984"/>
      <c r="J53" s="1984"/>
      <c r="K53" s="1925" t="s">
        <v>369</v>
      </c>
      <c r="L53" s="2426" t="str">
        <f>J7</f>
        <v>50082181002   Signal Hill SD 181</v>
      </c>
      <c r="M53" s="2426"/>
      <c r="N53" s="245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3"/>
      <c r="B55" s="2454"/>
      <c r="C55" s="2454"/>
      <c r="D55" s="1971"/>
      <c r="E55" s="1971"/>
      <c r="F55" s="1971"/>
      <c r="G55" s="2455" t="s">
        <v>2030</v>
      </c>
      <c r="H55" s="2455"/>
      <c r="I55" s="2455"/>
      <c r="J55" s="2455"/>
      <c r="K55" s="2455"/>
      <c r="L55" s="2455"/>
      <c r="M55" s="2455"/>
      <c r="N55" s="2456"/>
    </row>
    <row r="56" spans="1:14" ht="63.75" x14ac:dyDescent="0.2">
      <c r="A56" s="2457" t="s">
        <v>2031</v>
      </c>
      <c r="B56" s="2458"/>
      <c r="C56" s="245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0" t="s">
        <v>296</v>
      </c>
      <c r="B57" s="2461"/>
      <c r="C57" s="246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9" t="s">
        <v>2041</v>
      </c>
      <c r="B58" s="2440"/>
      <c r="C58" s="2440"/>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62" t="s">
        <v>297</v>
      </c>
      <c r="B59" s="2463"/>
      <c r="C59" s="246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2" t="s">
        <v>236</v>
      </c>
      <c r="B60" s="2463"/>
      <c r="C60" s="2463"/>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2" t="s">
        <v>697</v>
      </c>
      <c r="B61" s="2463"/>
      <c r="C61" s="2463"/>
      <c r="D61" s="1968">
        <v>2365</v>
      </c>
      <c r="E61" s="1978">
        <f>'Expenditures 15-22'!K323</f>
        <v>0</v>
      </c>
      <c r="F61" s="1973"/>
      <c r="G61" s="2032"/>
      <c r="H61" s="2033"/>
      <c r="I61" s="2033"/>
      <c r="J61" s="2033"/>
      <c r="K61" s="2033"/>
      <c r="L61" s="2033"/>
      <c r="M61" s="2033"/>
      <c r="N61" s="1976">
        <f t="shared" si="4"/>
        <v>0</v>
      </c>
    </row>
    <row r="62" spans="1:14" ht="24" customHeight="1" x14ac:dyDescent="0.2">
      <c r="A62" s="2462" t="s">
        <v>237</v>
      </c>
      <c r="B62" s="2463"/>
      <c r="C62" s="2463"/>
      <c r="D62" s="1968">
        <v>2366</v>
      </c>
      <c r="E62" s="1978">
        <f>'Expenditures 15-22'!K324</f>
        <v>0</v>
      </c>
      <c r="F62" s="1973"/>
      <c r="G62" s="2032"/>
      <c r="H62" s="2033"/>
      <c r="I62" s="2033"/>
      <c r="J62" s="2033"/>
      <c r="K62" s="2033"/>
      <c r="L62" s="2033"/>
      <c r="M62" s="2033"/>
      <c r="N62" s="1976">
        <f t="shared" si="4"/>
        <v>0</v>
      </c>
    </row>
    <row r="63" spans="1:14" ht="24" customHeight="1" x14ac:dyDescent="0.2">
      <c r="A63" s="2439" t="s">
        <v>1022</v>
      </c>
      <c r="B63" s="2440"/>
      <c r="C63" s="2440"/>
      <c r="D63" s="1968">
        <v>2367</v>
      </c>
      <c r="E63" s="1978">
        <f>'Expenditures 15-22'!K325</f>
        <v>273212</v>
      </c>
      <c r="F63" s="1973"/>
      <c r="G63" s="2032"/>
      <c r="H63" s="2033"/>
      <c r="I63" s="2033"/>
      <c r="J63" s="2033"/>
      <c r="K63" s="2033"/>
      <c r="L63" s="2033"/>
      <c r="M63" s="2033"/>
      <c r="N63" s="1976" t="str">
        <f t="shared" si="4"/>
        <v>Column N does not agree with Column E</v>
      </c>
    </row>
    <row r="64" spans="1:14" ht="24" customHeight="1" x14ac:dyDescent="0.2">
      <c r="A64" s="2462" t="s">
        <v>1023</v>
      </c>
      <c r="B64" s="2463"/>
      <c r="C64" s="2463"/>
      <c r="D64" s="1968">
        <v>2368</v>
      </c>
      <c r="E64" s="1978">
        <f>'Expenditures 15-22'!K326</f>
        <v>0</v>
      </c>
      <c r="F64" s="1973"/>
      <c r="G64" s="2032"/>
      <c r="H64" s="2033"/>
      <c r="I64" s="2033"/>
      <c r="J64" s="2033"/>
      <c r="K64" s="2033"/>
      <c r="L64" s="2033"/>
      <c r="M64" s="2033"/>
      <c r="N64" s="1976">
        <f t="shared" si="4"/>
        <v>0</v>
      </c>
    </row>
    <row r="65" spans="1:14" ht="24" customHeight="1" x14ac:dyDescent="0.2">
      <c r="A65" s="2462" t="s">
        <v>965</v>
      </c>
      <c r="B65" s="2463"/>
      <c r="C65" s="2463"/>
      <c r="D65" s="1968">
        <v>2369</v>
      </c>
      <c r="E65" s="1978">
        <f>'Expenditures 15-22'!K327</f>
        <v>31545</v>
      </c>
      <c r="F65" s="1973"/>
      <c r="G65" s="2032"/>
      <c r="H65" s="2033"/>
      <c r="I65" s="2033"/>
      <c r="J65" s="2033"/>
      <c r="K65" s="2033"/>
      <c r="L65" s="2033"/>
      <c r="M65" s="2033"/>
      <c r="N65" s="1976" t="str">
        <f t="shared" si="4"/>
        <v>Column N does not agree with Column E</v>
      </c>
    </row>
    <row r="66" spans="1:14" ht="24" customHeight="1" x14ac:dyDescent="0.2">
      <c r="A66" s="2462" t="s">
        <v>469</v>
      </c>
      <c r="B66" s="2463"/>
      <c r="C66" s="2463"/>
      <c r="D66" s="1968">
        <v>2371</v>
      </c>
      <c r="E66" s="1978">
        <f>'Expenditures 15-22'!K328</f>
        <v>0</v>
      </c>
      <c r="F66" s="1973"/>
      <c r="G66" s="2032"/>
      <c r="H66" s="2033"/>
      <c r="I66" s="2033"/>
      <c r="J66" s="2033"/>
      <c r="K66" s="2033"/>
      <c r="L66" s="2033"/>
      <c r="M66" s="2033"/>
      <c r="N66" s="1976">
        <f t="shared" si="4"/>
        <v>0</v>
      </c>
    </row>
    <row r="67" spans="1:14" ht="24.75" customHeight="1" x14ac:dyDescent="0.2">
      <c r="A67" s="2464" t="s">
        <v>2042</v>
      </c>
      <c r="B67" s="2465"/>
      <c r="C67" s="2465"/>
      <c r="D67" s="1970">
        <v>2372</v>
      </c>
      <c r="E67" s="1979">
        <f>'Expenditures 15-22'!K329</f>
        <v>0</v>
      </c>
      <c r="F67" s="1973"/>
      <c r="G67" s="2034"/>
      <c r="H67" s="2035"/>
      <c r="I67" s="2035"/>
      <c r="J67" s="2035"/>
      <c r="K67" s="2035"/>
      <c r="L67" s="2035"/>
      <c r="M67" s="2035"/>
      <c r="N67" s="1976">
        <f t="shared" si="4"/>
        <v>0</v>
      </c>
    </row>
    <row r="68" spans="1:14" x14ac:dyDescent="0.2">
      <c r="A68" s="2466" t="s">
        <v>1151</v>
      </c>
      <c r="B68" s="2467"/>
      <c r="C68" s="2467"/>
      <c r="D68" s="1971"/>
      <c r="E68" s="1975">
        <f>SUM(E57:E67)</f>
        <v>304757</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31" sqref="B3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2077</v>
      </c>
    </row>
    <row r="6" spans="1:2" x14ac:dyDescent="0.2">
      <c r="A6" s="847">
        <v>2</v>
      </c>
      <c r="B6" s="307" t="s">
        <v>2078</v>
      </c>
    </row>
    <row r="7" spans="1:2" x14ac:dyDescent="0.2">
      <c r="A7" s="847">
        <v>3</v>
      </c>
      <c r="B7" s="307" t="s">
        <v>2079</v>
      </c>
    </row>
    <row r="8" spans="1:2" x14ac:dyDescent="0.2">
      <c r="A8" s="847">
        <v>4</v>
      </c>
      <c r="B8" s="307" t="s">
        <v>2080</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Signal Hill SD 181</v>
      </c>
    </row>
    <row r="65" spans="2:2" x14ac:dyDescent="0.2">
      <c r="B65" s="849" t="str">
        <f>COVER!A13</f>
        <v>50082181002   Signal Hill SD 181</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6" sqref="G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632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pageSetUpPr fitToPage="1"/>
  </sheetPr>
  <dimension ref="A1:H48"/>
  <sheetViews>
    <sheetView showGridLines="0" showZeros="0" topLeftCell="C4"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3102734</v>
      </c>
      <c r="C8" s="1813">
        <f>'Acct Summary 7-8'!D8</f>
        <v>229353</v>
      </c>
      <c r="D8" s="1813">
        <f>'Acct Summary 7-8'!F8</f>
        <v>58634</v>
      </c>
      <c r="E8" s="1813">
        <f>'Acct Summary 7-8'!I8</f>
        <v>19038</v>
      </c>
      <c r="F8" s="1813">
        <f>SUM(B8:E8)</f>
        <v>3409759</v>
      </c>
    </row>
    <row r="9" spans="1:8" s="858" customFormat="1" ht="14.25" customHeight="1" thickBot="1" x14ac:dyDescent="0.25">
      <c r="A9" s="857" t="s">
        <v>1353</v>
      </c>
      <c r="B9" s="1814">
        <f>'Acct Summary 7-8'!C17</f>
        <v>3453085</v>
      </c>
      <c r="C9" s="1814">
        <f>'Acct Summary 7-8'!D17</f>
        <v>617297</v>
      </c>
      <c r="D9" s="1814">
        <f>'Acct Summary 7-8'!F17</f>
        <v>15263</v>
      </c>
      <c r="E9" s="1813"/>
      <c r="F9" s="1813">
        <f>SUM(B9:E9)</f>
        <v>4085645</v>
      </c>
    </row>
    <row r="10" spans="1:8" s="858" customFormat="1" ht="14.25" thickTop="1" thickBot="1" x14ac:dyDescent="0.25">
      <c r="A10" s="859" t="s">
        <v>1354</v>
      </c>
      <c r="B10" s="1815">
        <f>(B8-B9)</f>
        <v>-350351</v>
      </c>
      <c r="C10" s="1815">
        <f>(C8-C9)</f>
        <v>-387944</v>
      </c>
      <c r="D10" s="1815">
        <f>(D8-D9)</f>
        <v>43371</v>
      </c>
      <c r="E10" s="1814">
        <f>(E8-E9)</f>
        <v>19038</v>
      </c>
      <c r="F10" s="1816">
        <f>SUM(F8-F9)</f>
        <v>-675886</v>
      </c>
    </row>
    <row r="11" spans="1:8" s="858" customFormat="1" ht="14.25" thickTop="1" thickBot="1" x14ac:dyDescent="0.25">
      <c r="A11" s="860" t="s">
        <v>1903</v>
      </c>
      <c r="B11" s="1817">
        <f>'Acct Summary 7-8'!C81</f>
        <v>1488286</v>
      </c>
      <c r="C11" s="1817">
        <f>'Acct Summary 7-8'!D81</f>
        <v>290081</v>
      </c>
      <c r="D11" s="1817">
        <f>'Acct Summary 7-8'!F81</f>
        <v>510738</v>
      </c>
      <c r="E11" s="1817">
        <f>'Acct Summary 7-8'!I81</f>
        <v>498548</v>
      </c>
      <c r="F11" s="1818">
        <f>SUM(B11:E11)</f>
        <v>2787653</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pageSetUpPr fitToPage="1"/>
  </sheetPr>
  <dimension ref="A1:L84"/>
  <sheetViews>
    <sheetView showGridLines="0" defaultGridColor="0" topLeftCell="B44" colorId="8" zoomScale="80" zoomScaleNormal="8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t="str">
        <f>COVER!A13</f>
        <v>50082181002   Signal Hill SD 181</v>
      </c>
      <c r="E2" s="1542">
        <v>2020</v>
      </c>
      <c r="F2" s="1542">
        <v>1</v>
      </c>
      <c r="G2" s="1899">
        <v>101000300</v>
      </c>
    </row>
    <row r="3" spans="1:7" ht="15" x14ac:dyDescent="0.25">
      <c r="A3" t="s">
        <v>950</v>
      </c>
      <c r="B3" s="135" t="str">
        <f>COVER!A15</f>
        <v>ST. CLAIR</v>
      </c>
      <c r="E3" s="1830" t="s">
        <v>1971</v>
      </c>
      <c r="F3" s="1830" t="s">
        <v>1970</v>
      </c>
      <c r="G3" s="1899">
        <v>101000400</v>
      </c>
    </row>
    <row r="4" spans="1:7" ht="15" x14ac:dyDescent="0.25">
      <c r="A4" t="s">
        <v>1000</v>
      </c>
      <c r="B4" s="135" t="str">
        <f>COVER!A17</f>
        <v>Signal Hill SD 181</v>
      </c>
      <c r="E4" s="1828">
        <v>44119</v>
      </c>
      <c r="F4" s="1829">
        <v>44151</v>
      </c>
      <c r="G4" s="1899">
        <v>101000600</v>
      </c>
    </row>
    <row r="5" spans="1:7" ht="15" x14ac:dyDescent="0.25">
      <c r="A5" t="s">
        <v>699</v>
      </c>
      <c r="B5" s="135" t="str">
        <f>COVER!A38</f>
        <v>Mr. Kelly Bohnenstiehl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0</v>
      </c>
      <c r="G15" s="1899">
        <v>402100400</v>
      </c>
    </row>
    <row r="16" spans="1:7" ht="15" x14ac:dyDescent="0.25">
      <c r="A16" t="s">
        <v>419</v>
      </c>
      <c r="B16" s="135" t="str">
        <f>COVER!T13</f>
        <v>FICK, EGGEMEYER, &amp; WILLIAMSON CPAs PC</v>
      </c>
      <c r="G16" s="1899">
        <v>402100600</v>
      </c>
    </row>
    <row r="17" spans="1:7" ht="15" x14ac:dyDescent="0.25">
      <c r="A17" t="s">
        <v>878</v>
      </c>
      <c r="B17" s="135" t="str">
        <f>COVER!T15</f>
        <v>KEITH SLUSSER</v>
      </c>
      <c r="G17" s="1899">
        <v>402100800</v>
      </c>
    </row>
    <row r="18" spans="1:7" ht="15" x14ac:dyDescent="0.25">
      <c r="A18" t="s">
        <v>1140</v>
      </c>
      <c r="B18" s="135" t="str">
        <f>COVER!T17</f>
        <v>6240 S. LINDBERGH BLVD</v>
      </c>
      <c r="G18" s="1899">
        <v>102200300</v>
      </c>
    </row>
    <row r="19" spans="1:7" ht="15" x14ac:dyDescent="0.25">
      <c r="A19" t="s">
        <v>880</v>
      </c>
      <c r="B19" s="135" t="str">
        <f>COVER!T25</f>
        <v>KEITH@AFEWCPAS.COM</v>
      </c>
      <c r="G19" s="1899">
        <v>102200400</v>
      </c>
    </row>
    <row r="20" spans="1:7" ht="15" x14ac:dyDescent="0.25">
      <c r="A20" t="s">
        <v>881</v>
      </c>
      <c r="B20" s="135" t="str">
        <f>COVER!T19</f>
        <v>ST. LOUIS</v>
      </c>
      <c r="G20" s="1899">
        <v>102200600</v>
      </c>
    </row>
    <row r="21" spans="1:7" ht="15" x14ac:dyDescent="0.25">
      <c r="A21" t="s">
        <v>476</v>
      </c>
      <c r="B21" s="135" t="str">
        <f>COVER!X19</f>
        <v>MO</v>
      </c>
      <c r="G21" s="1899">
        <v>102200800</v>
      </c>
    </row>
    <row r="22" spans="1:7" ht="15" x14ac:dyDescent="0.25">
      <c r="A22" t="s">
        <v>882</v>
      </c>
      <c r="B22" s="135">
        <f>COVER!Z19</f>
        <v>63123</v>
      </c>
      <c r="G22" s="1899">
        <v>102300300</v>
      </c>
    </row>
    <row r="23" spans="1:7" ht="15" x14ac:dyDescent="0.25">
      <c r="A23" t="s">
        <v>1142</v>
      </c>
      <c r="B23" s="135" t="str">
        <f>COVER!T21</f>
        <v>314-845-7999</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1488286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1452769</v>
      </c>
      <c r="D92" s="2" t="str">
        <f t="shared" si="0"/>
        <v>Error?</v>
      </c>
      <c r="G92" s="1899">
        <v>102640600</v>
      </c>
    </row>
    <row r="93" spans="1:7" ht="15" x14ac:dyDescent="0.25">
      <c r="A93" s="5">
        <v>32</v>
      </c>
      <c r="B93" s="1832">
        <f>'Assets-Liab 5-6'!C41</f>
        <v>1488286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290081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281807</v>
      </c>
      <c r="D123" s="2" t="str">
        <f t="shared" si="0"/>
        <v>Error?</v>
      </c>
      <c r="G123" s="1899">
        <v>203000400</v>
      </c>
    </row>
    <row r="124" spans="1:7" ht="15" x14ac:dyDescent="0.25">
      <c r="A124" s="5">
        <v>63</v>
      </c>
      <c r="B124" s="1832">
        <f>'Assets-Liab 5-6'!D41</f>
        <v>290081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298511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298511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510738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510738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158150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158150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78859</v>
      </c>
      <c r="D273" s="2" t="str">
        <f t="shared" si="3"/>
        <v>Error?</v>
      </c>
    </row>
    <row r="274" spans="1:4" x14ac:dyDescent="0.2">
      <c r="A274" s="5">
        <v>213</v>
      </c>
      <c r="B274" s="1832">
        <f>'Assets-Liab 5-6'!M17</f>
        <v>4377715</v>
      </c>
      <c r="D274" s="2" t="str">
        <f t="shared" si="3"/>
        <v>Error?</v>
      </c>
    </row>
    <row r="275" spans="1:4" x14ac:dyDescent="0.2">
      <c r="A275" s="5">
        <v>214</v>
      </c>
      <c r="B275" s="1832">
        <f>'Assets-Liab 5-6'!M18</f>
        <v>0</v>
      </c>
      <c r="D275" s="2" t="str">
        <f t="shared" si="3"/>
        <v>Error?</v>
      </c>
    </row>
    <row r="276" spans="1:4" x14ac:dyDescent="0.2">
      <c r="A276" s="5">
        <v>215</v>
      </c>
      <c r="B276" s="1832">
        <f>'Assets-Liab 5-6'!M19</f>
        <v>17646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4892342</v>
      </c>
      <c r="C279" s="2" t="s">
        <v>569</v>
      </c>
      <c r="D279" s="2" t="str">
        <f t="shared" si="3"/>
        <v>Error?</v>
      </c>
    </row>
    <row r="280" spans="1:4" x14ac:dyDescent="0.2">
      <c r="A280" s="5">
        <v>219</v>
      </c>
      <c r="B280" s="1832">
        <f>'Assets-Liab 5-6'!M40</f>
        <v>4892342</v>
      </c>
      <c r="D280" s="2" t="str">
        <f t="shared" si="3"/>
        <v>Error?</v>
      </c>
    </row>
    <row r="281" spans="1:4" x14ac:dyDescent="0.2">
      <c r="A281" s="5">
        <v>220</v>
      </c>
      <c r="B281" s="1832">
        <f>'Assets-Liab 5-6'!M41</f>
        <v>4892342</v>
      </c>
      <c r="C281" s="2" t="s">
        <v>569</v>
      </c>
      <c r="D281" s="2" t="str">
        <f t="shared" si="3"/>
        <v>Error?</v>
      </c>
    </row>
    <row r="282" spans="1:4" x14ac:dyDescent="0.2">
      <c r="A282" s="5">
        <v>221</v>
      </c>
      <c r="B282" s="1832">
        <f>'Assets-Liab 5-6'!N21</f>
        <v>298511</v>
      </c>
      <c r="D282" s="2" t="str">
        <f t="shared" si="3"/>
        <v>Error?</v>
      </c>
    </row>
    <row r="283" spans="1:4" x14ac:dyDescent="0.2">
      <c r="A283" s="5">
        <v>222</v>
      </c>
      <c r="B283" s="1832">
        <f>'Assets-Liab 5-6'!N22</f>
        <v>2156489</v>
      </c>
      <c r="D283" s="2" t="str">
        <f t="shared" si="3"/>
        <v>Error?</v>
      </c>
    </row>
    <row r="284" spans="1:4" x14ac:dyDescent="0.2">
      <c r="A284" s="5">
        <v>223</v>
      </c>
      <c r="B284" s="1832">
        <f>'Assets-Liab 5-6'!N23</f>
        <v>2455000</v>
      </c>
      <c r="C284" s="2" t="s">
        <v>569</v>
      </c>
      <c r="D284" s="2" t="str">
        <f t="shared" si="3"/>
        <v>Error?</v>
      </c>
    </row>
    <row r="285" spans="1:4" x14ac:dyDescent="0.2">
      <c r="A285" s="5">
        <v>224</v>
      </c>
      <c r="B285" s="1832">
        <f>'Assets-Liab 5-6'!N36</f>
        <v>2455000</v>
      </c>
      <c r="D285" s="2" t="str">
        <f t="shared" si="3"/>
        <v>Error?</v>
      </c>
    </row>
    <row r="286" spans="1:4" x14ac:dyDescent="0.2">
      <c r="A286" s="10">
        <v>225</v>
      </c>
      <c r="B286" s="1832"/>
      <c r="D286" s="2" t="str">
        <f t="shared" si="3"/>
        <v>OK</v>
      </c>
    </row>
    <row r="287" spans="1:4" x14ac:dyDescent="0.2">
      <c r="A287" s="5">
        <v>226</v>
      </c>
      <c r="B287" s="1832">
        <f>'Assets-Liab 5-6'!N37</f>
        <v>2455000</v>
      </c>
      <c r="C287" s="2" t="s">
        <v>569</v>
      </c>
      <c r="D287" s="2" t="str">
        <f t="shared" si="3"/>
        <v>Error?</v>
      </c>
    </row>
    <row r="288" spans="1:4" x14ac:dyDescent="0.2">
      <c r="A288" s="5">
        <v>227</v>
      </c>
      <c r="B288" s="1832">
        <f>'Assets-Liab 5-6'!N41</f>
        <v>2455000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1518533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168668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1845782</v>
      </c>
      <c r="C720" s="2" t="s">
        <v>569</v>
      </c>
      <c r="D720" s="2" t="str">
        <f t="shared" si="10"/>
        <v>Error?</v>
      </c>
    </row>
    <row r="721" spans="1:4" x14ac:dyDescent="0.2">
      <c r="A721" s="5">
        <v>660</v>
      </c>
      <c r="B721" s="1832">
        <f>'Expenditures 15-22'!C36</f>
        <v>29324</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29324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1200</v>
      </c>
      <c r="D732" s="2" t="str">
        <f t="shared" si="10"/>
        <v>Error?</v>
      </c>
    </row>
    <row r="733" spans="1:4" x14ac:dyDescent="0.2">
      <c r="A733" s="5">
        <v>672</v>
      </c>
      <c r="B733" s="1832">
        <f>'Expenditures 15-22'!C50</f>
        <v>112205</v>
      </c>
      <c r="D733" s="2" t="str">
        <f t="shared" si="10"/>
        <v>Error?</v>
      </c>
    </row>
    <row r="734" spans="1:4" x14ac:dyDescent="0.2">
      <c r="A734" s="5">
        <v>673</v>
      </c>
      <c r="B734" s="1832">
        <f>'Expenditures 15-22'!C53</f>
        <v>113405</v>
      </c>
      <c r="C734" s="2" t="s">
        <v>569</v>
      </c>
      <c r="D734" s="2" t="str">
        <f t="shared" si="10"/>
        <v>Error?</v>
      </c>
    </row>
    <row r="735" spans="1:4" x14ac:dyDescent="0.2">
      <c r="A735" s="5">
        <v>674</v>
      </c>
      <c r="B735" s="1832">
        <f>'Expenditures 15-22'!C55</f>
        <v>123736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123736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18606</v>
      </c>
      <c r="D739" s="2" t="str">
        <f t="shared" si="10"/>
        <v>Error?</v>
      </c>
    </row>
    <row r="740" spans="1:4" x14ac:dyDescent="0.2">
      <c r="A740" s="5">
        <v>679</v>
      </c>
      <c r="B740" s="1832">
        <f>'Expenditures 15-22'!C61</f>
        <v>5215</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35258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59079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325544</v>
      </c>
      <c r="C755" s="2" t="s">
        <v>569</v>
      </c>
      <c r="D755" s="2" t="str">
        <f t="shared" si="10"/>
        <v>Error?</v>
      </c>
    </row>
    <row r="756" spans="1:4" x14ac:dyDescent="0.2">
      <c r="A756" s="5">
        <v>695</v>
      </c>
      <c r="B756" s="1832">
        <f>'Expenditures 15-22'!C75</f>
        <v>17403</v>
      </c>
      <c r="D756" s="2" t="str">
        <f t="shared" si="10"/>
        <v>Error?</v>
      </c>
    </row>
    <row r="757" spans="1:4" x14ac:dyDescent="0.2">
      <c r="A757" s="5">
        <v>696</v>
      </c>
      <c r="B757" s="1832">
        <f>'Expenditures 15-22'!C114</f>
        <v>2188729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344837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17372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391246</v>
      </c>
      <c r="C778" s="2" t="s">
        <v>569</v>
      </c>
      <c r="D778" s="2" t="str">
        <f t="shared" si="11"/>
        <v>Error?</v>
      </c>
    </row>
    <row r="779" spans="1:4" x14ac:dyDescent="0.2">
      <c r="A779" s="5">
        <v>718</v>
      </c>
      <c r="B779" s="1832">
        <f>'Expenditures 15-22'!D36</f>
        <v>5663</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5663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13856</v>
      </c>
      <c r="D791" s="2" t="str">
        <f t="shared" si="11"/>
        <v>Error?</v>
      </c>
    </row>
    <row r="792" spans="1:4" x14ac:dyDescent="0.2">
      <c r="A792" s="5">
        <v>731</v>
      </c>
      <c r="B792" s="1832">
        <f>'Expenditures 15-22'!D53</f>
        <v>13856</v>
      </c>
      <c r="C792" s="2" t="s">
        <v>569</v>
      </c>
      <c r="D792" s="2" t="str">
        <f t="shared" si="11"/>
        <v>Error?</v>
      </c>
    </row>
    <row r="793" spans="1:4" x14ac:dyDescent="0.2">
      <c r="A793" s="5">
        <v>732</v>
      </c>
      <c r="B793" s="1832">
        <f>'Expenditures 15-22'!D55</f>
        <v>28170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28170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2706</v>
      </c>
      <c r="D797" s="2" t="str">
        <f t="shared" si="11"/>
        <v>Error?</v>
      </c>
    </row>
    <row r="798" spans="1:4" x14ac:dyDescent="0.2">
      <c r="A798" s="5">
        <v>737</v>
      </c>
      <c r="B798" s="1832">
        <f>'Expenditures 15-22'!D61</f>
        <v>985</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3691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51380</v>
      </c>
      <c r="C813" s="2" t="s">
        <v>569</v>
      </c>
      <c r="D813" s="2" t="str">
        <f t="shared" si="11"/>
        <v>Error?</v>
      </c>
    </row>
    <row r="814" spans="1:4" x14ac:dyDescent="0.2">
      <c r="A814" s="5">
        <v>753</v>
      </c>
      <c r="B814" s="1832">
        <f>'Expenditures 15-22'!D75</f>
        <v>1023</v>
      </c>
      <c r="D814" s="2" t="str">
        <f t="shared" si="11"/>
        <v>Error?</v>
      </c>
    </row>
    <row r="815" spans="1:4" x14ac:dyDescent="0.2">
      <c r="A815" s="5">
        <v>754</v>
      </c>
      <c r="B815" s="1832">
        <f>'Expenditures 15-22'!D114</f>
        <v>443649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19525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39571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69502</v>
      </c>
      <c r="C836" s="2" t="s">
        <v>569</v>
      </c>
      <c r="D836" s="2" t="str">
        <f t="shared" si="12"/>
        <v>Error?</v>
      </c>
    </row>
    <row r="837" spans="1:4" x14ac:dyDescent="0.2">
      <c r="A837" s="5">
        <v>776</v>
      </c>
      <c r="B837" s="1832">
        <f>'Expenditures 15-22'!E36</f>
        <v>15373</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15373</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7303</v>
      </c>
      <c r="D848" s="2" t="str">
        <f t="shared" si="12"/>
        <v>Error?</v>
      </c>
    </row>
    <row r="849" spans="1:4" x14ac:dyDescent="0.2">
      <c r="A849" s="5">
        <v>788</v>
      </c>
      <c r="B849" s="1832">
        <f>'Expenditures 15-22'!E50</f>
        <v>16380</v>
      </c>
      <c r="D849" s="2" t="str">
        <f t="shared" si="12"/>
        <v>Error?</v>
      </c>
    </row>
    <row r="850" spans="1:4" x14ac:dyDescent="0.2">
      <c r="A850" s="5">
        <v>789</v>
      </c>
      <c r="B850" s="1832">
        <f>'Expenditures 15-22'!E53</f>
        <v>23683</v>
      </c>
      <c r="C850" s="2" t="s">
        <v>569</v>
      </c>
      <c r="D850" s="2" t="str">
        <f t="shared" si="12"/>
        <v>Error?</v>
      </c>
    </row>
    <row r="851" spans="1:4" x14ac:dyDescent="0.2">
      <c r="A851" s="5">
        <v>790</v>
      </c>
      <c r="B851" s="1832">
        <f>'Expenditures 15-22'!E55</f>
        <v>941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941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6402</v>
      </c>
      <c r="D855" s="2" t="str">
        <f t="shared" si="12"/>
        <v>Error?</v>
      </c>
    </row>
    <row r="856" spans="1:4" x14ac:dyDescent="0.2">
      <c r="A856" s="5">
        <v>795</v>
      </c>
      <c r="B856" s="1832">
        <f>'Expenditures 15-22'!E61</f>
        <v>19418</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67091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92911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132908</v>
      </c>
      <c r="C871" s="2" t="s">
        <v>569</v>
      </c>
      <c r="D871" s="2" t="str">
        <f t="shared" si="12"/>
        <v>Error?</v>
      </c>
    </row>
    <row r="872" spans="1:4" x14ac:dyDescent="0.2">
      <c r="A872" s="5">
        <v>811</v>
      </c>
      <c r="B872" s="1832">
        <f>'Expenditures 15-22'!E75</f>
        <v>11686</v>
      </c>
      <c r="D872" s="2" t="str">
        <f t="shared" si="12"/>
        <v>Error?</v>
      </c>
    </row>
    <row r="873" spans="1:4" x14ac:dyDescent="0.2">
      <c r="A873" s="5">
        <v>812</v>
      </c>
      <c r="B873" s="1832">
        <f>'Expenditures 15-22'!E114</f>
        <v>214096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118153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11973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144394</v>
      </c>
      <c r="C894" s="2" t="s">
        <v>569</v>
      </c>
      <c r="D894" s="2" t="str">
        <f t="shared" si="12"/>
        <v>Error?</v>
      </c>
    </row>
    <row r="895" spans="1:4" x14ac:dyDescent="0.2">
      <c r="A895" s="5">
        <v>834</v>
      </c>
      <c r="B895" s="1832">
        <f>'Expenditures 15-22'!F36</f>
        <v>3425</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3425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13422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13422</v>
      </c>
      <c r="C905" s="2" t="s">
        <v>569</v>
      </c>
      <c r="D905" s="2" t="str">
        <f t="shared" si="13"/>
        <v>Error?</v>
      </c>
    </row>
    <row r="906" spans="1:4" x14ac:dyDescent="0.2">
      <c r="A906" s="5">
        <v>845</v>
      </c>
      <c r="B906" s="1832">
        <f>'Expenditures 15-22'!F49</f>
        <v>1241</v>
      </c>
      <c r="D906" s="2" t="str">
        <f t="shared" si="13"/>
        <v>Error?</v>
      </c>
    </row>
    <row r="907" spans="1:4" x14ac:dyDescent="0.2">
      <c r="A907" s="5">
        <v>846</v>
      </c>
      <c r="B907" s="1832">
        <f>'Expenditures 15-22'!F50</f>
        <v>569</v>
      </c>
      <c r="D907" s="2" t="str">
        <f t="shared" si="13"/>
        <v>Error?</v>
      </c>
    </row>
    <row r="908" spans="1:4" x14ac:dyDescent="0.2">
      <c r="A908" s="5">
        <v>847</v>
      </c>
      <c r="B908" s="1832">
        <f>'Expenditures 15-22'!F53</f>
        <v>1810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1137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11502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12639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31296</v>
      </c>
      <c r="C929" s="2" t="s">
        <v>569</v>
      </c>
      <c r="D929" s="2" t="str">
        <f t="shared" si="13"/>
        <v>Error?</v>
      </c>
    </row>
    <row r="930" spans="1:4" x14ac:dyDescent="0.2">
      <c r="A930" s="5">
        <v>869</v>
      </c>
      <c r="B930" s="1832">
        <f>'Expenditures 15-22'!F75</f>
        <v>10391</v>
      </c>
      <c r="D930" s="2" t="str">
        <f t="shared" si="13"/>
        <v>Error?</v>
      </c>
    </row>
    <row r="931" spans="1:4" x14ac:dyDescent="0.2">
      <c r="A931" s="5">
        <v>870</v>
      </c>
      <c r="B931" s="1832">
        <f>'Expenditures 15-22'!F114</f>
        <v>186081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645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645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645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388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388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15832</v>
      </c>
      <c r="D1022" s="2" t="str">
        <f t="shared" si="14"/>
        <v>Error?</v>
      </c>
    </row>
    <row r="1023" spans="1:4" x14ac:dyDescent="0.2">
      <c r="A1023" s="5">
        <v>962</v>
      </c>
      <c r="B1023" s="1832">
        <f>'Expenditures 15-22'!H50</f>
        <v>562</v>
      </c>
      <c r="D1023" s="2" t="str">
        <f t="shared" ref="D1023:D1086" si="15">IF(ISBLANK(B1023),"OK",IF(A1023-B1023=0,"OK","Error?"))</f>
        <v>Error?</v>
      </c>
    </row>
    <row r="1024" spans="1:4" x14ac:dyDescent="0.2">
      <c r="A1024" s="5">
        <v>963</v>
      </c>
      <c r="B1024" s="1832">
        <f>'Expenditures 15-22'!H53</f>
        <v>16394</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16394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403103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419885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2001048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238617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2451957</v>
      </c>
      <c r="C1108" s="2" t="s">
        <v>569</v>
      </c>
      <c r="D1108" s="2" t="str">
        <f t="shared" si="16"/>
        <v>Error?</v>
      </c>
    </row>
    <row r="1109" spans="1:4" x14ac:dyDescent="0.2">
      <c r="A1109" s="5">
        <v>1048</v>
      </c>
      <c r="B1109" s="1832">
        <f>'Expenditures 15-22'!K36</f>
        <v>53785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53785</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13422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13422</v>
      </c>
      <c r="C1119" s="2" t="s">
        <v>569</v>
      </c>
      <c r="D1119" s="2" t="str">
        <f t="shared" si="16"/>
        <v>Error?</v>
      </c>
    </row>
    <row r="1120" spans="1:4" x14ac:dyDescent="0.2">
      <c r="A1120" s="5">
        <v>1059</v>
      </c>
      <c r="B1120" s="1832">
        <f>'Expenditures 15-22'!K49</f>
        <v>25576</v>
      </c>
      <c r="C1120" s="2" t="s">
        <v>569</v>
      </c>
      <c r="D1120" s="2" t="str">
        <f t="shared" si="16"/>
        <v>Error?</v>
      </c>
    </row>
    <row r="1121" spans="1:4" x14ac:dyDescent="0.2">
      <c r="A1121" s="5">
        <v>1060</v>
      </c>
      <c r="B1121" s="1832">
        <f>'Expenditures 15-22'!K50</f>
        <v>143572</v>
      </c>
      <c r="C1121" s="2" t="s">
        <v>569</v>
      </c>
      <c r="D1121" s="2" t="str">
        <f t="shared" si="16"/>
        <v>Error?</v>
      </c>
    </row>
    <row r="1122" spans="1:4" x14ac:dyDescent="0.2">
      <c r="A1122" s="5">
        <v>1061</v>
      </c>
      <c r="B1122" s="1832">
        <f>'Expenditures 15-22'!K53</f>
        <v>169148</v>
      </c>
      <c r="C1122" s="2" t="s">
        <v>569</v>
      </c>
      <c r="D1122" s="2" t="str">
        <f t="shared" si="16"/>
        <v>Error?</v>
      </c>
    </row>
    <row r="1123" spans="1:4" x14ac:dyDescent="0.2">
      <c r="A1123" s="5">
        <v>1062</v>
      </c>
      <c r="B1123" s="1832">
        <f>'Expenditures 15-22'!K55</f>
        <v>152847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152847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28851</v>
      </c>
      <c r="C1127" s="2" t="s">
        <v>569</v>
      </c>
      <c r="D1127" s="2" t="str">
        <f t="shared" si="16"/>
        <v>Error?</v>
      </c>
    </row>
    <row r="1128" spans="1:4" x14ac:dyDescent="0.2">
      <c r="A1128" s="5">
        <v>1067</v>
      </c>
      <c r="B1128" s="1832">
        <f>'Expenditures 15-22'!K61</f>
        <v>25618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113851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168320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557522</v>
      </c>
      <c r="C1143" s="2" t="s">
        <v>569</v>
      </c>
      <c r="D1143" s="2" t="str">
        <f t="shared" si="16"/>
        <v>Error?</v>
      </c>
    </row>
    <row r="1144" spans="1:4" x14ac:dyDescent="0.2">
      <c r="A1144" s="5">
        <v>1083</v>
      </c>
      <c r="B1144" s="1832">
        <f>'Expenditures 15-22'!K75</f>
        <v>40503</v>
      </c>
      <c r="C1144" s="2" t="s">
        <v>569</v>
      </c>
      <c r="D1144" s="2" t="str">
        <f t="shared" si="16"/>
        <v>Error?</v>
      </c>
    </row>
    <row r="1145" spans="1:4" x14ac:dyDescent="0.2">
      <c r="A1145" s="5">
        <v>1084</v>
      </c>
      <c r="B1145" s="1832">
        <f>'Expenditures 15-22'!K102</f>
        <v>403103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3453085</v>
      </c>
      <c r="C1152" s="2" t="s">
        <v>569</v>
      </c>
      <c r="D1152" s="2" t="str">
        <f t="shared" si="17"/>
        <v>Error?</v>
      </c>
    </row>
    <row r="1153" spans="1:4" x14ac:dyDescent="0.2">
      <c r="A1153" s="5">
        <v>1092</v>
      </c>
      <c r="B1153" s="1832">
        <f>'Expenditures 15-22'!K115</f>
        <v>-350351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106251</v>
      </c>
      <c r="D1221" s="2" t="str">
        <f t="shared" si="18"/>
        <v>Error?</v>
      </c>
    </row>
    <row r="1222" spans="1:4" x14ac:dyDescent="0.2">
      <c r="A1222" s="10">
        <v>1161</v>
      </c>
      <c r="B1222" s="1832"/>
      <c r="D1222" s="2" t="str">
        <f t="shared" si="18"/>
        <v>OK</v>
      </c>
    </row>
    <row r="1223" spans="1:4" x14ac:dyDescent="0.2">
      <c r="A1223" s="5">
        <v>1162</v>
      </c>
      <c r="B1223" s="1832">
        <f>'Expenditures 15-22'!C127</f>
        <v>106251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106251</v>
      </c>
      <c r="C1225" s="2" t="s">
        <v>569</v>
      </c>
      <c r="D1225" s="2" t="str">
        <f t="shared" si="18"/>
        <v>Error?</v>
      </c>
    </row>
    <row r="1226" spans="1:4" x14ac:dyDescent="0.2">
      <c r="A1226" s="5">
        <v>1165</v>
      </c>
      <c r="B1226" s="1832">
        <f>'Expenditures 15-22'!C151</f>
        <v>106251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23123</v>
      </c>
      <c r="D1229" s="2" t="str">
        <f t="shared" si="18"/>
        <v>Error?</v>
      </c>
    </row>
    <row r="1230" spans="1:4" x14ac:dyDescent="0.2">
      <c r="A1230" s="10">
        <v>1169</v>
      </c>
      <c r="B1230" s="1832"/>
      <c r="D1230" s="2" t="str">
        <f t="shared" si="18"/>
        <v>OK</v>
      </c>
    </row>
    <row r="1231" spans="1:4" x14ac:dyDescent="0.2">
      <c r="A1231" s="5">
        <v>1170</v>
      </c>
      <c r="B1231" s="1832">
        <f>'Expenditures 15-22'!D127</f>
        <v>23123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23123</v>
      </c>
      <c r="C1233" s="2" t="s">
        <v>569</v>
      </c>
      <c r="D1233" s="2" t="str">
        <f t="shared" si="18"/>
        <v>Error?</v>
      </c>
    </row>
    <row r="1234" spans="1:4" x14ac:dyDescent="0.2">
      <c r="A1234" s="5">
        <v>1173</v>
      </c>
      <c r="B1234" s="1832">
        <f>'Expenditures 15-22'!D151</f>
        <v>23123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105975</v>
      </c>
      <c r="D1237" s="2" t="str">
        <f t="shared" si="18"/>
        <v>Error?</v>
      </c>
    </row>
    <row r="1238" spans="1:4" x14ac:dyDescent="0.2">
      <c r="A1238" s="10">
        <v>1177</v>
      </c>
      <c r="B1238" s="1832"/>
      <c r="D1238" s="2" t="str">
        <f t="shared" si="18"/>
        <v>OK</v>
      </c>
    </row>
    <row r="1239" spans="1:4" x14ac:dyDescent="0.2">
      <c r="A1239" s="5">
        <v>1178</v>
      </c>
      <c r="B1239" s="1832">
        <f>'Expenditures 15-22'!E127</f>
        <v>105975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105975</v>
      </c>
      <c r="C1241" s="2" t="s">
        <v>569</v>
      </c>
      <c r="D1241" s="2" t="str">
        <f t="shared" si="18"/>
        <v>Error?</v>
      </c>
    </row>
    <row r="1242" spans="1:4" x14ac:dyDescent="0.2">
      <c r="A1242" s="5">
        <v>1181</v>
      </c>
      <c r="B1242" s="1832">
        <f>'Expenditures 15-22'!E151</f>
        <v>105975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98131</v>
      </c>
      <c r="D1245" s="2" t="str">
        <f t="shared" si="18"/>
        <v>Error?</v>
      </c>
    </row>
    <row r="1246" spans="1:4" x14ac:dyDescent="0.2">
      <c r="A1246" s="10">
        <v>1185</v>
      </c>
      <c r="B1246" s="1832"/>
      <c r="D1246" s="2" t="str">
        <f t="shared" si="18"/>
        <v>OK</v>
      </c>
    </row>
    <row r="1247" spans="1:4" x14ac:dyDescent="0.2">
      <c r="A1247" s="5">
        <v>1186</v>
      </c>
      <c r="B1247" s="1832">
        <f>'Expenditures 15-22'!F127</f>
        <v>98131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98131</v>
      </c>
      <c r="C1249" s="2" t="s">
        <v>569</v>
      </c>
      <c r="D1249" s="2" t="str">
        <f t="shared" si="18"/>
        <v>Error?</v>
      </c>
    </row>
    <row r="1250" spans="1:4" x14ac:dyDescent="0.2">
      <c r="A1250" s="5">
        <v>1189</v>
      </c>
      <c r="B1250" s="1832">
        <f>'Expenditures 15-22'!F151</f>
        <v>98131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283817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283817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283817</v>
      </c>
      <c r="C1258" s="2" t="s">
        <v>569</v>
      </c>
      <c r="D1258" s="2" t="str">
        <f t="shared" si="18"/>
        <v>Error?</v>
      </c>
    </row>
    <row r="1259" spans="1:4" x14ac:dyDescent="0.2">
      <c r="A1259" s="5">
        <v>1198</v>
      </c>
      <c r="B1259" s="1832">
        <f>'Expenditures 15-22'!G151</f>
        <v>283817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617297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617297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617297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617297</v>
      </c>
      <c r="C1288" s="2" t="s">
        <v>569</v>
      </c>
      <c r="D1288" s="2" t="str">
        <f t="shared" si="19"/>
        <v>Error?</v>
      </c>
    </row>
    <row r="1289" spans="1:4" x14ac:dyDescent="0.2">
      <c r="A1289" s="5">
        <v>1228</v>
      </c>
      <c r="B1289" s="1832">
        <f>'Expenditures 15-22'!K152</f>
        <v>-387944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42357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1395000</v>
      </c>
      <c r="D1315" s="2" t="str">
        <f t="shared" si="19"/>
        <v>Error?</v>
      </c>
    </row>
    <row r="1316" spans="1:4" x14ac:dyDescent="0.2">
      <c r="A1316" s="5">
        <v>1255</v>
      </c>
      <c r="B1316" s="1832">
        <f>'Expenditures 15-22'!H171</f>
        <v>2901</v>
      </c>
      <c r="D1316" s="2" t="str">
        <f t="shared" si="19"/>
        <v>Error?</v>
      </c>
    </row>
    <row r="1317" spans="1:4" x14ac:dyDescent="0.2">
      <c r="A1317" s="5">
        <v>1256</v>
      </c>
      <c r="B1317" s="1832">
        <f>'Expenditures 15-22'!H172</f>
        <v>1440258</v>
      </c>
      <c r="C1317" s="2" t="s">
        <v>569</v>
      </c>
      <c r="D1317" s="2" t="str">
        <f t="shared" si="19"/>
        <v>Error?</v>
      </c>
    </row>
    <row r="1318" spans="1:4" x14ac:dyDescent="0.2">
      <c r="A1318" s="5">
        <v>1257</v>
      </c>
      <c r="B1318" s="1832">
        <f>'Expenditures 15-22'!H174</f>
        <v>1440258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42357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1395000</v>
      </c>
      <c r="C1329" s="2" t="s">
        <v>569</v>
      </c>
      <c r="D1329" s="2" t="str">
        <f t="shared" si="19"/>
        <v>Error?</v>
      </c>
    </row>
    <row r="1330" spans="1:4" x14ac:dyDescent="0.2">
      <c r="A1330" s="5">
        <v>1269</v>
      </c>
      <c r="B1330" s="1832">
        <f>'Expenditures 15-22'!K171</f>
        <v>2901</v>
      </c>
      <c r="C1330" s="2" t="s">
        <v>569</v>
      </c>
      <c r="D1330" s="2" t="str">
        <f t="shared" si="19"/>
        <v>Error?</v>
      </c>
    </row>
    <row r="1331" spans="1:4" x14ac:dyDescent="0.2">
      <c r="A1331" s="5">
        <v>1270</v>
      </c>
      <c r="B1331" s="1832">
        <f>'Expenditures 15-22'!K172</f>
        <v>1440258</v>
      </c>
      <c r="C1331" s="2" t="s">
        <v>569</v>
      </c>
      <c r="D1331" s="2" t="str">
        <f t="shared" si="19"/>
        <v>Error?</v>
      </c>
    </row>
    <row r="1332" spans="1:4" x14ac:dyDescent="0.2">
      <c r="A1332" s="5">
        <v>1271</v>
      </c>
      <c r="B1332" s="1832">
        <f>'Expenditures 15-22'!K174</f>
        <v>1440258</v>
      </c>
      <c r="C1332" s="2" t="s">
        <v>569</v>
      </c>
      <c r="D1332" s="2" t="str">
        <f t="shared" si="19"/>
        <v>Error?</v>
      </c>
    </row>
    <row r="1333" spans="1:4" x14ac:dyDescent="0.2">
      <c r="A1333" s="5">
        <v>1272</v>
      </c>
      <c r="B1333" s="1832">
        <f>'Expenditures 15-22'!K175</f>
        <v>-1290872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15263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15263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15263</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15263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15263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15263</v>
      </c>
      <c r="C1388" s="2" t="s">
        <v>569</v>
      </c>
      <c r="D1388" s="2" t="str">
        <f t="shared" si="20"/>
        <v>Error?</v>
      </c>
    </row>
    <row r="1389" spans="1:4" x14ac:dyDescent="0.2">
      <c r="A1389" s="5">
        <v>1328</v>
      </c>
      <c r="B1389" s="1832">
        <f>'Expenditures 15-22'!K211</f>
        <v>43371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40899</v>
      </c>
      <c r="C1410" s="2" t="s">
        <v>569</v>
      </c>
      <c r="D1410" s="2" t="str">
        <f t="shared" si="21"/>
        <v>Error?</v>
      </c>
    </row>
    <row r="1411" spans="1:4" x14ac:dyDescent="0.2">
      <c r="A1411" s="5">
        <v>1350</v>
      </c>
      <c r="B1411" s="1832">
        <f>'Expenditures 15-22'!D232</f>
        <v>514</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514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2926</v>
      </c>
      <c r="D1423" s="2" t="str">
        <f t="shared" si="21"/>
        <v>Error?</v>
      </c>
    </row>
    <row r="1424" spans="1:4" x14ac:dyDescent="0.2">
      <c r="A1424" s="5">
        <v>1363</v>
      </c>
      <c r="B1424" s="1832">
        <f>'Expenditures 15-22'!D257</f>
        <v>17336</v>
      </c>
      <c r="C1424" s="2" t="s">
        <v>569</v>
      </c>
      <c r="D1424" s="2" t="str">
        <f t="shared" si="21"/>
        <v>Error?</v>
      </c>
    </row>
    <row r="1425" spans="1:4" x14ac:dyDescent="0.2">
      <c r="A1425" s="5">
        <v>1364</v>
      </c>
      <c r="B1425" s="1832">
        <f>'Expenditures 15-22'!D259</f>
        <v>8912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8912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3940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18252</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6673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28865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55627</v>
      </c>
      <c r="C1446" s="2" t="s">
        <v>569</v>
      </c>
      <c r="D1446" s="2" t="str">
        <f t="shared" si="21"/>
        <v>Error?</v>
      </c>
    </row>
    <row r="1447" spans="1:4" x14ac:dyDescent="0.2">
      <c r="A1447" s="5">
        <v>1386</v>
      </c>
      <c r="B1447" s="1832">
        <f>'Expenditures 15-22'!D280</f>
        <v>72</v>
      </c>
      <c r="D1447" s="2" t="str">
        <f t="shared" si="21"/>
        <v>Error?</v>
      </c>
    </row>
    <row r="1448" spans="1:4" x14ac:dyDescent="0.2">
      <c r="A1448" s="5">
        <v>1387</v>
      </c>
      <c r="B1448" s="1832">
        <f>'Expenditures 15-22'!D295</f>
        <v>96598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40899</v>
      </c>
      <c r="C1474" s="2" t="s">
        <v>569</v>
      </c>
      <c r="D1474" s="2" t="str">
        <f t="shared" si="22"/>
        <v>Error?</v>
      </c>
    </row>
    <row r="1475" spans="1:4" x14ac:dyDescent="0.2">
      <c r="A1475" s="5">
        <v>1414</v>
      </c>
      <c r="B1475" s="1832">
        <f>'Expenditures 15-22'!K232</f>
        <v>514</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514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2926</v>
      </c>
      <c r="C1487" s="2" t="s">
        <v>569</v>
      </c>
      <c r="D1487" s="2" t="str">
        <f t="shared" si="22"/>
        <v>Error?</v>
      </c>
    </row>
    <row r="1488" spans="1:4" x14ac:dyDescent="0.2">
      <c r="A1488" s="5">
        <v>1427</v>
      </c>
      <c r="B1488" s="1832">
        <f>'Expenditures 15-22'!K257</f>
        <v>17336</v>
      </c>
      <c r="C1488" s="2" t="s">
        <v>569</v>
      </c>
      <c r="D1488" s="2" t="str">
        <f t="shared" si="22"/>
        <v>Error?</v>
      </c>
    </row>
    <row r="1489" spans="1:4" x14ac:dyDescent="0.2">
      <c r="A1489" s="5">
        <v>1428</v>
      </c>
      <c r="B1489" s="1832">
        <f>'Expenditures 15-22'!K259</f>
        <v>8912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8912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3940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18252</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6673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28865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55627</v>
      </c>
      <c r="C1510" s="2" t="s">
        <v>569</v>
      </c>
      <c r="D1510" s="2" t="str">
        <f t="shared" si="22"/>
        <v>Error?</v>
      </c>
    </row>
    <row r="1511" spans="1:4" x14ac:dyDescent="0.2">
      <c r="A1511" s="5">
        <v>1450</v>
      </c>
      <c r="B1511" s="1832">
        <f>'Expenditures 15-22'!K280</f>
        <v>72</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96598</v>
      </c>
      <c r="C1517" s="2" t="s">
        <v>569</v>
      </c>
      <c r="D1517" s="2" t="str">
        <f t="shared" si="22"/>
        <v>Error?</v>
      </c>
    </row>
    <row r="1518" spans="1:4" x14ac:dyDescent="0.2">
      <c r="A1518" s="5">
        <v>1457</v>
      </c>
      <c r="B1518" s="1832">
        <f>'Expenditures 15-22'!K296</f>
        <v>-29698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1842489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1488286</v>
      </c>
      <c r="C1630" s="2" t="s">
        <v>569</v>
      </c>
      <c r="D1630" s="2" t="str">
        <f t="shared" si="24"/>
        <v>Error?</v>
      </c>
    </row>
    <row r="1631" spans="1:4" x14ac:dyDescent="0.2">
      <c r="A1631" s="5">
        <v>1570</v>
      </c>
      <c r="B1631" s="1832">
        <f>'Acct Summary 7-8'!D79</f>
        <v>678025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290081</v>
      </c>
      <c r="C1644" s="2" t="s">
        <v>569</v>
      </c>
      <c r="D1644" s="2" t="str">
        <f t="shared" si="24"/>
        <v>Error?</v>
      </c>
    </row>
    <row r="1645" spans="1:4" x14ac:dyDescent="0.2">
      <c r="A1645" s="5">
        <v>1584</v>
      </c>
      <c r="B1645" s="1832">
        <f>'Acct Summary 7-8'!E79</f>
        <v>351783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298511</v>
      </c>
      <c r="C1658" s="2" t="s">
        <v>569</v>
      </c>
      <c r="D1658" s="2" t="str">
        <f t="shared" si="24"/>
        <v>Error?</v>
      </c>
    </row>
    <row r="1659" spans="1:4" x14ac:dyDescent="0.2">
      <c r="A1659" s="5">
        <v>1598</v>
      </c>
      <c r="B1659" s="1832">
        <f>'Acct Summary 7-8'!F79</f>
        <v>463515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510738</v>
      </c>
      <c r="C1672" s="2" t="s">
        <v>569</v>
      </c>
      <c r="D1672" s="2" t="str">
        <f t="shared" si="25"/>
        <v>Error?</v>
      </c>
    </row>
    <row r="1673" spans="1:4" x14ac:dyDescent="0.2">
      <c r="A1673" s="5">
        <v>1612</v>
      </c>
      <c r="B1673" s="1832">
        <f>'Acct Summary 7-8'!G79</f>
        <v>187848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158150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562792</v>
      </c>
      <c r="C1744" s="2" t="s">
        <v>569</v>
      </c>
      <c r="D1744" s="2" t="str">
        <f t="shared" si="26"/>
        <v>Error?</v>
      </c>
    </row>
    <row r="1745" spans="1:5" x14ac:dyDescent="0.2">
      <c r="A1745" s="5">
        <v>1684</v>
      </c>
      <c r="B1745" s="1832">
        <f>'Tax Sched 23'!B5</f>
        <v>161482</v>
      </c>
      <c r="C1745" s="2" t="s">
        <v>569</v>
      </c>
      <c r="D1745" s="2" t="str">
        <f t="shared" si="26"/>
        <v>Error?</v>
      </c>
    </row>
    <row r="1746" spans="1:5" x14ac:dyDescent="0.2">
      <c r="A1746" s="5">
        <v>1685</v>
      </c>
      <c r="B1746" s="1832">
        <f>'Tax Sched 23'!B6</f>
        <v>145940</v>
      </c>
      <c r="C1746" s="2" t="s">
        <v>569</v>
      </c>
      <c r="D1746" s="2" t="str">
        <f t="shared" si="26"/>
        <v>Error?</v>
      </c>
    </row>
    <row r="1747" spans="1:5" x14ac:dyDescent="0.2">
      <c r="A1747" s="5">
        <v>1686</v>
      </c>
      <c r="B1747" s="1832">
        <f>'Tax Sched 23'!B7</f>
        <v>34604</v>
      </c>
      <c r="C1747" s="2" t="s">
        <v>569</v>
      </c>
      <c r="D1747" s="2" t="str">
        <f t="shared" si="26"/>
        <v>Error?</v>
      </c>
    </row>
    <row r="1748" spans="1:5" x14ac:dyDescent="0.2">
      <c r="A1748" s="5">
        <v>1687</v>
      </c>
      <c r="B1748" s="1832">
        <f>'Tax Sched 23'!B8</f>
        <v>34353</v>
      </c>
      <c r="C1748" s="2" t="s">
        <v>569</v>
      </c>
      <c r="D1748" s="2" t="str">
        <f t="shared" si="26"/>
        <v>Error?</v>
      </c>
    </row>
    <row r="1749" spans="1:5" x14ac:dyDescent="0.2">
      <c r="A1749" s="5">
        <v>1688</v>
      </c>
      <c r="B1749" s="1832">
        <f>'Tax Sched 23'!B10</f>
        <v>14418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248597</v>
      </c>
      <c r="C1752" s="2" t="s">
        <v>569</v>
      </c>
      <c r="D1752" s="2" t="str">
        <f t="shared" si="26"/>
        <v>Error?</v>
      </c>
    </row>
    <row r="1753" spans="1:5" x14ac:dyDescent="0.2">
      <c r="A1753" s="5">
        <v>1692</v>
      </c>
      <c r="B1753" s="1832">
        <f>'Tax Sched 23'!B12</f>
        <v>14418</v>
      </c>
      <c r="C1753" s="2" t="s">
        <v>569</v>
      </c>
      <c r="D1753" s="2" t="str">
        <f t="shared" si="26"/>
        <v>Error?</v>
      </c>
    </row>
    <row r="1754" spans="1:5" x14ac:dyDescent="0.2">
      <c r="A1754" s="5">
        <v>1693</v>
      </c>
      <c r="B1754" s="1832">
        <f>'Tax Sched 23'!B14</f>
        <v>5768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1279034</v>
      </c>
      <c r="C1759" s="2" t="s">
        <v>569</v>
      </c>
      <c r="D1759" s="2" t="str">
        <f t="shared" si="26"/>
        <v>Error?</v>
      </c>
    </row>
    <row r="1760" spans="1:5" x14ac:dyDescent="0.2">
      <c r="A1760" s="5">
        <v>1699</v>
      </c>
      <c r="B1760" s="1832">
        <f>'Tax Sched 23'!D4</f>
        <v>562792</v>
      </c>
      <c r="C1760" s="2" t="s">
        <v>569</v>
      </c>
      <c r="D1760" s="2" t="str">
        <f t="shared" si="26"/>
        <v>Error?</v>
      </c>
    </row>
    <row r="1761" spans="1:7" x14ac:dyDescent="0.2">
      <c r="A1761" s="5">
        <v>1700</v>
      </c>
      <c r="B1761" s="1832">
        <f>'Tax Sched 23'!D5</f>
        <v>161482</v>
      </c>
      <c r="C1761" s="2" t="s">
        <v>569</v>
      </c>
      <c r="D1761" s="2" t="str">
        <f t="shared" si="26"/>
        <v>Error?</v>
      </c>
    </row>
    <row r="1762" spans="1:7" s="8" customFormat="1" x14ac:dyDescent="0.2">
      <c r="A1762" s="5">
        <v>1701</v>
      </c>
      <c r="B1762" s="1832">
        <f>'Tax Sched 23'!D6</f>
        <v>145940</v>
      </c>
      <c r="C1762" s="2" t="s">
        <v>569</v>
      </c>
      <c r="D1762" s="2" t="str">
        <f t="shared" si="26"/>
        <v>Error?</v>
      </c>
      <c r="E1762" s="9"/>
      <c r="G1762"/>
    </row>
    <row r="1763" spans="1:7" x14ac:dyDescent="0.2">
      <c r="A1763" s="5">
        <v>1702</v>
      </c>
      <c r="B1763" s="1832">
        <f>'Tax Sched 23'!D7</f>
        <v>34604</v>
      </c>
      <c r="C1763" s="2" t="s">
        <v>569</v>
      </c>
      <c r="D1763" s="2" t="str">
        <f t="shared" si="26"/>
        <v>Error?</v>
      </c>
    </row>
    <row r="1764" spans="1:7" x14ac:dyDescent="0.2">
      <c r="A1764" s="5">
        <v>1703</v>
      </c>
      <c r="B1764" s="1832">
        <f>'Tax Sched 23'!D8</f>
        <v>34353</v>
      </c>
      <c r="C1764" s="2" t="s">
        <v>569</v>
      </c>
      <c r="D1764" s="2" t="str">
        <f t="shared" si="26"/>
        <v>Error?</v>
      </c>
    </row>
    <row r="1765" spans="1:7" x14ac:dyDescent="0.2">
      <c r="A1765" s="5">
        <v>1704</v>
      </c>
      <c r="B1765" s="1832">
        <f>'Tax Sched 23'!D10</f>
        <v>14418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248597</v>
      </c>
      <c r="C1768" s="2" t="s">
        <v>569</v>
      </c>
      <c r="D1768" s="2" t="str">
        <f t="shared" si="26"/>
        <v>Error?</v>
      </c>
    </row>
    <row r="1769" spans="1:7" x14ac:dyDescent="0.2">
      <c r="A1769" s="5">
        <v>1708</v>
      </c>
      <c r="B1769" s="1832">
        <f>'Tax Sched 23'!D12</f>
        <v>14418</v>
      </c>
      <c r="C1769" s="2" t="s">
        <v>569</v>
      </c>
      <c r="D1769" s="2" t="str">
        <f t="shared" si="26"/>
        <v>Error?</v>
      </c>
    </row>
    <row r="1770" spans="1:7" x14ac:dyDescent="0.2">
      <c r="A1770" s="5">
        <v>1709</v>
      </c>
      <c r="B1770" s="1832">
        <f>'Tax Sched 23'!D14</f>
        <v>5768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1279034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786868.33</v>
      </c>
      <c r="C1792" s="2" t="s">
        <v>569</v>
      </c>
      <c r="D1792" s="2" t="str">
        <f t="shared" si="27"/>
        <v>Error?</v>
      </c>
    </row>
    <row r="1793" spans="1:4" x14ac:dyDescent="0.2">
      <c r="A1793" s="5">
        <v>1732</v>
      </c>
      <c r="B1793" s="1832">
        <f>'Tax Sched 23'!F5</f>
        <v>223678</v>
      </c>
      <c r="C1793" s="2" t="s">
        <v>569</v>
      </c>
      <c r="D1793" s="2" t="str">
        <f t="shared" si="27"/>
        <v>Error?</v>
      </c>
    </row>
    <row r="1794" spans="1:4" x14ac:dyDescent="0.2">
      <c r="A1794" s="5">
        <v>1733</v>
      </c>
      <c r="B1794" s="1832">
        <f>'Tax Sched 23'!F6</f>
        <v>199633</v>
      </c>
      <c r="C1794" s="2" t="s">
        <v>569</v>
      </c>
      <c r="D1794" s="2" t="str">
        <f t="shared" si="27"/>
        <v>Error?</v>
      </c>
    </row>
    <row r="1795" spans="1:4" x14ac:dyDescent="0.2">
      <c r="A1795" s="5">
        <v>1734</v>
      </c>
      <c r="B1795" s="1832">
        <f>'Tax Sched 23'!F7</f>
        <v>47931</v>
      </c>
      <c r="C1795" s="2" t="s">
        <v>569</v>
      </c>
      <c r="D1795" s="2" t="str">
        <f t="shared" si="27"/>
        <v>Error?</v>
      </c>
    </row>
    <row r="1796" spans="1:4" x14ac:dyDescent="0.2">
      <c r="A1796" s="5">
        <v>1735</v>
      </c>
      <c r="B1796" s="1832">
        <f>'Tax Sched 23'!F8</f>
        <v>48011</v>
      </c>
      <c r="C1796" s="2" t="s">
        <v>569</v>
      </c>
      <c r="D1796" s="2" t="str">
        <f t="shared" si="27"/>
        <v>Error?</v>
      </c>
    </row>
    <row r="1797" spans="1:4" x14ac:dyDescent="0.2">
      <c r="A1797" s="5">
        <v>1736</v>
      </c>
      <c r="B1797" s="1832">
        <f>'Tax Sched 23'!F10</f>
        <v>19971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320020</v>
      </c>
      <c r="C1800" s="2" t="s">
        <v>569</v>
      </c>
      <c r="D1800" s="2" t="str">
        <f t="shared" si="27"/>
        <v>Error?</v>
      </c>
    </row>
    <row r="1801" spans="1:4" x14ac:dyDescent="0.2">
      <c r="A1801" s="5">
        <v>1740</v>
      </c>
      <c r="B1801" s="1832">
        <f>'Tax Sched 23'!F12</f>
        <v>19971</v>
      </c>
      <c r="C1801" s="2" t="s">
        <v>569</v>
      </c>
      <c r="D1801" s="2" t="str">
        <f t="shared" si="27"/>
        <v>Error?</v>
      </c>
    </row>
    <row r="1802" spans="1:4" x14ac:dyDescent="0.2">
      <c r="A1802" s="5">
        <v>1741</v>
      </c>
      <c r="B1802" s="1832">
        <f>'Tax Sched 23'!F14</f>
        <v>7989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1752040.33</v>
      </c>
      <c r="C1807" s="2" t="s">
        <v>569</v>
      </c>
      <c r="D1807" s="2" t="str">
        <f t="shared" si="27"/>
        <v>Error?</v>
      </c>
    </row>
    <row r="1808" spans="1:4" x14ac:dyDescent="0.2">
      <c r="A1808" s="5">
        <v>1747</v>
      </c>
      <c r="B1808" s="1832">
        <f>'Tax Sched 23'!E4</f>
        <v>786868.33</v>
      </c>
      <c r="D1808" s="2" t="str">
        <f t="shared" si="27"/>
        <v>Error?</v>
      </c>
    </row>
    <row r="1809" spans="1:4" x14ac:dyDescent="0.2">
      <c r="A1809" s="5">
        <v>1748</v>
      </c>
      <c r="B1809" s="1832">
        <f>'Tax Sched 23'!E5</f>
        <v>223678</v>
      </c>
      <c r="D1809" s="2" t="str">
        <f t="shared" si="27"/>
        <v>Error?</v>
      </c>
    </row>
    <row r="1810" spans="1:4" x14ac:dyDescent="0.2">
      <c r="A1810" s="5">
        <v>1749</v>
      </c>
      <c r="B1810" s="1832">
        <f>'Tax Sched 23'!E6</f>
        <v>199633</v>
      </c>
      <c r="D1810" s="2" t="str">
        <f t="shared" si="27"/>
        <v>Error?</v>
      </c>
    </row>
    <row r="1811" spans="1:4" x14ac:dyDescent="0.2">
      <c r="A1811" s="5">
        <v>1750</v>
      </c>
      <c r="B1811" s="1832">
        <f>'Tax Sched 23'!E7</f>
        <v>47931</v>
      </c>
      <c r="D1811" s="2" t="str">
        <f t="shared" si="27"/>
        <v>Error?</v>
      </c>
    </row>
    <row r="1812" spans="1:4" x14ac:dyDescent="0.2">
      <c r="A1812" s="5">
        <v>1751</v>
      </c>
      <c r="B1812" s="1832">
        <f>'Tax Sched 23'!E8</f>
        <v>48011</v>
      </c>
      <c r="D1812" s="2" t="str">
        <f t="shared" si="27"/>
        <v>Error?</v>
      </c>
    </row>
    <row r="1813" spans="1:4" x14ac:dyDescent="0.2">
      <c r="A1813" s="5">
        <v>1752</v>
      </c>
      <c r="B1813" s="1832">
        <f>'Tax Sched 23'!E10</f>
        <v>19971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320020</v>
      </c>
      <c r="D1816" s="2" t="str">
        <f t="shared" si="27"/>
        <v>Error?</v>
      </c>
    </row>
    <row r="1817" spans="1:4" x14ac:dyDescent="0.2">
      <c r="A1817" s="5">
        <v>1756</v>
      </c>
      <c r="B1817" s="1832">
        <f>'Tax Sched 23'!E12</f>
        <v>19971</v>
      </c>
      <c r="D1817" s="2" t="str">
        <f t="shared" si="27"/>
        <v>Error?</v>
      </c>
    </row>
    <row r="1818" spans="1:4" x14ac:dyDescent="0.2">
      <c r="A1818" s="5">
        <v>1757</v>
      </c>
      <c r="B1818" s="1832">
        <f>'Tax Sched 23'!E14</f>
        <v>7989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1752040.33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1395000</v>
      </c>
      <c r="C1939" s="2" t="s">
        <v>569</v>
      </c>
      <c r="D1939" s="2" t="str">
        <f t="shared" si="29"/>
        <v>Error?</v>
      </c>
    </row>
    <row r="1940" spans="1:5" x14ac:dyDescent="0.2">
      <c r="A1940" s="5">
        <v>1879</v>
      </c>
      <c r="B1940" s="1832">
        <f>'Short-Term Long-Term Debt 24'!F49</f>
        <v>2455000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5768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5768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5768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78859</v>
      </c>
      <c r="D2008" s="2" t="str">
        <f t="shared" si="30"/>
        <v>Error?</v>
      </c>
    </row>
    <row r="2009" spans="1:4" x14ac:dyDescent="0.2">
      <c r="A2009" s="5">
        <v>1948</v>
      </c>
      <c r="B2009" s="1832">
        <f>'Cap Outlay Deprec 26'!C8</f>
        <v>4359692</v>
      </c>
      <c r="D2009" s="2" t="str">
        <f t="shared" si="30"/>
        <v>Error?</v>
      </c>
    </row>
    <row r="2010" spans="1:4" x14ac:dyDescent="0.2">
      <c r="A2010" s="5">
        <v>1949</v>
      </c>
      <c r="B2010" s="1832">
        <f>'Cap Outlay Deprec 26'!C10</f>
        <v>3677642</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104101</v>
      </c>
      <c r="D2012" s="2" t="str">
        <f t="shared" si="30"/>
        <v>Error?</v>
      </c>
    </row>
    <row r="2013" spans="1:4" x14ac:dyDescent="0.2">
      <c r="A2013" s="5">
        <v>1952</v>
      </c>
      <c r="B2013" s="1832">
        <f>'Cap Outlay Deprec 26'!C16</f>
        <v>8220294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397925</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15311</v>
      </c>
      <c r="D2018" s="2" t="str">
        <f t="shared" si="30"/>
        <v>Error?</v>
      </c>
    </row>
    <row r="2019" spans="1:4" x14ac:dyDescent="0.2">
      <c r="A2019" s="5">
        <v>1958</v>
      </c>
      <c r="B2019" s="1832">
        <f>'Cap Outlay Deprec 26'!D16</f>
        <v>413236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107000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107000</v>
      </c>
      <c r="C2025" s="2" t="s">
        <v>569</v>
      </c>
      <c r="D2025" s="2" t="str">
        <f t="shared" si="30"/>
        <v>Error?</v>
      </c>
    </row>
    <row r="2026" spans="1:4" x14ac:dyDescent="0.2">
      <c r="A2026" s="5">
        <v>1965</v>
      </c>
      <c r="B2026" s="1832">
        <f>'Cap Outlay Deprec 26'!F5</f>
        <v>78859</v>
      </c>
      <c r="C2026" s="2" t="s">
        <v>569</v>
      </c>
      <c r="D2026" s="2" t="str">
        <f t="shared" si="30"/>
        <v>Error?</v>
      </c>
    </row>
    <row r="2027" spans="1:4" x14ac:dyDescent="0.2">
      <c r="A2027" s="5">
        <v>1966</v>
      </c>
      <c r="B2027" s="1832">
        <f>'Cap Outlay Deprec 26'!F8</f>
        <v>4359692</v>
      </c>
      <c r="C2027" s="2" t="s">
        <v>569</v>
      </c>
      <c r="D2027" s="2" t="str">
        <f t="shared" si="30"/>
        <v>Error?</v>
      </c>
    </row>
    <row r="2028" spans="1:4" x14ac:dyDescent="0.2">
      <c r="A2028" s="5">
        <v>1967</v>
      </c>
      <c r="B2028" s="1832">
        <f>'Cap Outlay Deprec 26'!F10</f>
        <v>3968567</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119412</v>
      </c>
      <c r="C2030" s="2" t="s">
        <v>569</v>
      </c>
      <c r="D2030" s="2" t="str">
        <f t="shared" si="30"/>
        <v>Error?</v>
      </c>
    </row>
    <row r="2031" spans="1:4" x14ac:dyDescent="0.2">
      <c r="A2031" s="5">
        <v>1970</v>
      </c>
      <c r="B2031" s="1832">
        <f>'Cap Outlay Deprec 26'!F16</f>
        <v>8526530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2352653</v>
      </c>
      <c r="D2033" s="2" t="str">
        <f t="shared" si="30"/>
        <v>Error?</v>
      </c>
    </row>
    <row r="2034" spans="1:4" x14ac:dyDescent="0.2">
      <c r="A2034" s="5">
        <v>1973</v>
      </c>
      <c r="B2034" s="1832">
        <f>'Cap Outlay Deprec 26'!H10</f>
        <v>1393711</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96005</v>
      </c>
      <c r="D2036" s="2" t="str">
        <f t="shared" si="30"/>
        <v>Error?</v>
      </c>
    </row>
    <row r="2037" spans="1:4" x14ac:dyDescent="0.2">
      <c r="A2037" s="5">
        <v>1976</v>
      </c>
      <c r="B2037" s="1832">
        <f>'Cap Outlay Deprec 26'!H16</f>
        <v>3842369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77194</v>
      </c>
      <c r="D2039" s="2" t="str">
        <f t="shared" si="30"/>
        <v>Error?</v>
      </c>
    </row>
    <row r="2040" spans="1:4" x14ac:dyDescent="0.2">
      <c r="A2040" s="5">
        <v>1979</v>
      </c>
      <c r="B2040" s="1832">
        <f>'Cap Outlay Deprec 26'!I10</f>
        <v>171926</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5761</v>
      </c>
      <c r="D2042" s="2" t="str">
        <f t="shared" si="30"/>
        <v>Error?</v>
      </c>
    </row>
    <row r="2043" spans="1:4" x14ac:dyDescent="0.2">
      <c r="A2043" s="5">
        <v>1982</v>
      </c>
      <c r="B2043" s="1832">
        <f>'Cap Outlay Deprec 26'!I16</f>
        <v>254881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44940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44940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2429847</v>
      </c>
      <c r="C2051" s="2" t="s">
        <v>569</v>
      </c>
      <c r="D2051" s="2" t="str">
        <f t="shared" si="31"/>
        <v>Error?</v>
      </c>
    </row>
    <row r="2052" spans="1:4" x14ac:dyDescent="0.2">
      <c r="A2052" s="5">
        <v>1991</v>
      </c>
      <c r="B2052" s="1832">
        <f>'Cap Outlay Deprec 26'!K10</f>
        <v>1520697</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101766</v>
      </c>
      <c r="C2054" s="2" t="s">
        <v>569</v>
      </c>
      <c r="D2054" s="2" t="str">
        <f t="shared" si="31"/>
        <v>Error?</v>
      </c>
    </row>
    <row r="2055" spans="1:4" x14ac:dyDescent="0.2">
      <c r="A2055" s="5">
        <v>1994</v>
      </c>
      <c r="B2055" s="1832">
        <f>'Cap Outlay Deprec 26'!K16</f>
        <v>4052310</v>
      </c>
      <c r="C2055" s="2" t="s">
        <v>569</v>
      </c>
      <c r="D2055" s="2" t="str">
        <f t="shared" si="31"/>
        <v>Error?</v>
      </c>
    </row>
    <row r="2056" spans="1:4" x14ac:dyDescent="0.2">
      <c r="A2056" s="5">
        <v>1995</v>
      </c>
      <c r="B2056" s="1832">
        <f>'Cap Outlay Deprec 26'!L5</f>
        <v>78859</v>
      </c>
      <c r="C2056" s="2" t="s">
        <v>569</v>
      </c>
      <c r="D2056" s="2" t="str">
        <f t="shared" si="31"/>
        <v>Error?</v>
      </c>
    </row>
    <row r="2057" spans="1:4" x14ac:dyDescent="0.2">
      <c r="A2057" s="5">
        <v>1996</v>
      </c>
      <c r="B2057" s="1832">
        <f>'Cap Outlay Deprec 26'!L8</f>
        <v>1929845</v>
      </c>
      <c r="C2057" s="2" t="s">
        <v>569</v>
      </c>
      <c r="D2057" s="2" t="str">
        <f t="shared" si="31"/>
        <v>Error?</v>
      </c>
    </row>
    <row r="2058" spans="1:4" x14ac:dyDescent="0.2">
      <c r="A2058" s="5">
        <v>1997</v>
      </c>
      <c r="B2058" s="1832">
        <f>'Cap Outlay Deprec 26'!L10</f>
        <v>2447870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17646</v>
      </c>
      <c r="C2060" s="2" t="s">
        <v>569</v>
      </c>
      <c r="D2060" s="2" t="str">
        <f t="shared" si="31"/>
        <v>Error?</v>
      </c>
    </row>
    <row r="2061" spans="1:4" x14ac:dyDescent="0.2">
      <c r="A2061" s="5">
        <v>2000</v>
      </c>
      <c r="B2061" s="1832">
        <f>'Cap Outlay Deprec 26'!L16</f>
        <v>4474220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403103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35517</v>
      </c>
      <c r="D2435" s="2" t="str">
        <f t="shared" si="37"/>
        <v>Error?</v>
      </c>
    </row>
    <row r="2436" spans="1:4" x14ac:dyDescent="0.2">
      <c r="A2436" s="10">
        <v>2375</v>
      </c>
      <c r="B2436" s="1832"/>
      <c r="D2436" s="2" t="str">
        <f t="shared" si="37"/>
        <v>OK</v>
      </c>
    </row>
    <row r="2437" spans="1:4" x14ac:dyDescent="0.2">
      <c r="A2437" s="5">
        <v>2376</v>
      </c>
      <c r="B2437" s="1832">
        <f>'Assets-Liab 5-6'!D38</f>
        <v>8274</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510738</v>
      </c>
      <c r="D2475" s="2" t="str">
        <f t="shared" si="37"/>
        <v>Error?</v>
      </c>
    </row>
    <row r="2476" spans="1:4" x14ac:dyDescent="0.2">
      <c r="A2476" s="10">
        <v>2415</v>
      </c>
      <c r="B2476" s="1832"/>
      <c r="D2476" s="2" t="str">
        <f t="shared" si="37"/>
        <v>OK</v>
      </c>
    </row>
    <row r="2477" spans="1:4" x14ac:dyDescent="0.2">
      <c r="A2477" s="5">
        <v>2416</v>
      </c>
      <c r="B2477" s="1832">
        <f>'Assets-Liab 5-6'!G38</f>
        <v>158150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298511</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896618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1862736</v>
      </c>
      <c r="C2553" s="2" t="s">
        <v>569</v>
      </c>
      <c r="D2553" s="2" t="str">
        <f t="shared" si="38"/>
        <v>Error?</v>
      </c>
    </row>
    <row r="2554" spans="1:4" x14ac:dyDescent="0.2">
      <c r="A2554" s="5">
        <v>2493</v>
      </c>
      <c r="B2554" s="1832">
        <f>'Acct Summary 7-8'!C7</f>
        <v>343380</v>
      </c>
      <c r="C2554" s="2" t="s">
        <v>569</v>
      </c>
      <c r="D2554" s="2" t="str">
        <f t="shared" si="38"/>
        <v>Error?</v>
      </c>
    </row>
    <row r="2555" spans="1:4" x14ac:dyDescent="0.2">
      <c r="A2555" s="5">
        <v>2494</v>
      </c>
      <c r="B2555" s="1832">
        <f>'Acct Summary 7-8'!C8</f>
        <v>3102734</v>
      </c>
      <c r="C2555" s="2" t="s">
        <v>569</v>
      </c>
      <c r="D2555" s="2" t="str">
        <f t="shared" si="38"/>
        <v>Error?</v>
      </c>
    </row>
    <row r="2556" spans="1:4" x14ac:dyDescent="0.2">
      <c r="A2556" s="5">
        <v>2495</v>
      </c>
      <c r="B2556" s="1832">
        <f>'Acct Summary 7-8'!C12</f>
        <v>2451957</v>
      </c>
      <c r="C2556" s="2" t="s">
        <v>569</v>
      </c>
      <c r="D2556" s="2" t="str">
        <f t="shared" si="38"/>
        <v>Error?</v>
      </c>
    </row>
    <row r="2557" spans="1:4" x14ac:dyDescent="0.2">
      <c r="A2557" s="5">
        <v>2496</v>
      </c>
      <c r="B2557" s="1832">
        <f>'Acct Summary 7-8'!C13</f>
        <v>557522</v>
      </c>
      <c r="C2557" s="2" t="s">
        <v>569</v>
      </c>
      <c r="D2557" s="2" t="str">
        <f t="shared" si="38"/>
        <v>Error?</v>
      </c>
    </row>
    <row r="2558" spans="1:4" x14ac:dyDescent="0.2">
      <c r="A2558" s="5">
        <v>2497</v>
      </c>
      <c r="B2558" s="1832">
        <f>'Acct Summary 7-8'!C14</f>
        <v>40503</v>
      </c>
      <c r="C2558" s="2" t="s">
        <v>569</v>
      </c>
      <c r="D2558" s="2" t="str">
        <f t="shared" si="38"/>
        <v>Error?</v>
      </c>
    </row>
    <row r="2559" spans="1:4" x14ac:dyDescent="0.2">
      <c r="A2559" s="5">
        <v>2498</v>
      </c>
      <c r="B2559" s="1832">
        <f>'Acct Summary 7-8'!C15</f>
        <v>403103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3453085</v>
      </c>
      <c r="C2561" s="2" t="s">
        <v>569</v>
      </c>
      <c r="D2561" s="2" t="str">
        <f t="shared" si="39"/>
        <v>Error?</v>
      </c>
    </row>
    <row r="2562" spans="1:4" x14ac:dyDescent="0.2">
      <c r="A2562" s="5">
        <v>2501</v>
      </c>
      <c r="B2562" s="1832">
        <f>'Acct Summary 7-8'!C20</f>
        <v>-350351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229353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229353</v>
      </c>
      <c r="C2568" s="2" t="s">
        <v>569</v>
      </c>
      <c r="D2568" s="2" t="str">
        <f t="shared" si="39"/>
        <v>Error?</v>
      </c>
    </row>
    <row r="2569" spans="1:4" x14ac:dyDescent="0.2">
      <c r="A2569" s="5">
        <v>2508</v>
      </c>
      <c r="B2569" s="1832">
        <f>'Acct Summary 7-8'!D13</f>
        <v>617297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617297</v>
      </c>
      <c r="C2573" s="2" t="s">
        <v>569</v>
      </c>
      <c r="D2573" s="2" t="str">
        <f t="shared" si="39"/>
        <v>Error?</v>
      </c>
    </row>
    <row r="2574" spans="1:4" x14ac:dyDescent="0.2">
      <c r="A2574" s="5">
        <v>2513</v>
      </c>
      <c r="B2574" s="1832">
        <f>'Acct Summary 7-8'!D20</f>
        <v>-387944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39183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19451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58634</v>
      </c>
      <c r="C2595" s="2" t="s">
        <v>569</v>
      </c>
      <c r="D2595" s="2" t="str">
        <f t="shared" si="39"/>
        <v>Error?</v>
      </c>
    </row>
    <row r="2596" spans="1:4" x14ac:dyDescent="0.2">
      <c r="A2596" s="5">
        <v>2535</v>
      </c>
      <c r="B2596" s="1832">
        <f>'Acct Summary 7-8'!F13</f>
        <v>15263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15263</v>
      </c>
      <c r="C2600" s="2" t="s">
        <v>569</v>
      </c>
      <c r="D2600" s="2" t="str">
        <f t="shared" si="39"/>
        <v>Error?</v>
      </c>
    </row>
    <row r="2601" spans="1:4" x14ac:dyDescent="0.2">
      <c r="A2601" s="5">
        <v>2540</v>
      </c>
      <c r="B2601" s="1832">
        <f>'Acct Summary 7-8'!F20</f>
        <v>43371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66900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66900</v>
      </c>
      <c r="C2606" s="2" t="s">
        <v>569</v>
      </c>
      <c r="D2606" s="2" t="str">
        <f t="shared" si="39"/>
        <v>Error?</v>
      </c>
    </row>
    <row r="2607" spans="1:4" x14ac:dyDescent="0.2">
      <c r="A2607" s="5">
        <v>2546</v>
      </c>
      <c r="B2607" s="1832">
        <f>'Acct Summary 7-8'!G12</f>
        <v>40899</v>
      </c>
      <c r="C2607" s="2" t="s">
        <v>569</v>
      </c>
      <c r="D2607" s="2" t="str">
        <f t="shared" si="39"/>
        <v>Error?</v>
      </c>
    </row>
    <row r="2608" spans="1:4" x14ac:dyDescent="0.2">
      <c r="A2608" s="5">
        <v>2547</v>
      </c>
      <c r="B2608" s="1832">
        <f>'Acct Summary 7-8'!G13</f>
        <v>55627</v>
      </c>
      <c r="C2608" s="2" t="s">
        <v>569</v>
      </c>
      <c r="D2608" s="2" t="str">
        <f t="shared" si="39"/>
        <v>Error?</v>
      </c>
    </row>
    <row r="2609" spans="1:4" x14ac:dyDescent="0.2">
      <c r="A2609" s="5">
        <v>2548</v>
      </c>
      <c r="B2609" s="1832">
        <f>'Acct Summary 7-8'!G14</f>
        <v>72</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96598</v>
      </c>
      <c r="C2612" s="2" t="s">
        <v>569</v>
      </c>
      <c r="D2612" s="2" t="str">
        <f t="shared" si="39"/>
        <v>Error?</v>
      </c>
    </row>
    <row r="2613" spans="1:4" x14ac:dyDescent="0.2">
      <c r="A2613" s="5">
        <v>2552</v>
      </c>
      <c r="B2613" s="1832">
        <f>'Acct Summary 7-8'!G20</f>
        <v>-29698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149386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149386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1440258</v>
      </c>
      <c r="C2634" s="2" t="s">
        <v>569</v>
      </c>
      <c r="D2634" s="2" t="str">
        <f t="shared" si="40"/>
        <v>Error?</v>
      </c>
    </row>
    <row r="2635" spans="1:4" x14ac:dyDescent="0.2">
      <c r="A2635" s="5">
        <v>2574</v>
      </c>
      <c r="B2635" s="1832">
        <f>'Acct Summary 7-8'!E17</f>
        <v>1440258</v>
      </c>
      <c r="C2635" s="2" t="s">
        <v>569</v>
      </c>
      <c r="D2635" s="2" t="str">
        <f t="shared" si="40"/>
        <v>Error?</v>
      </c>
    </row>
    <row r="2636" spans="1:4" x14ac:dyDescent="0.2">
      <c r="A2636" s="5">
        <v>2575</v>
      </c>
      <c r="B2636" s="1832">
        <f>'Acct Summary 7-8'!E20</f>
        <v>-1290872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661167</v>
      </c>
      <c r="D2862" s="2" t="str">
        <f t="shared" si="43"/>
        <v>Error?</v>
      </c>
    </row>
    <row r="2863" spans="1:4" x14ac:dyDescent="0.2">
      <c r="A2863" s="10">
        <v>2802</v>
      </c>
      <c r="B2863" s="1832"/>
      <c r="D2863" s="2" t="str">
        <f t="shared" si="43"/>
        <v>OK</v>
      </c>
    </row>
    <row r="2864" spans="1:4" x14ac:dyDescent="0.2">
      <c r="A2864" s="5">
        <v>2803</v>
      </c>
      <c r="B2864" s="1832">
        <f>'Assets-Liab 5-6'!M20</f>
        <v>418122</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498548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34964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498548</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498548</v>
      </c>
      <c r="C2913" s="2" t="s">
        <v>569</v>
      </c>
      <c r="D2913" s="2" t="str">
        <f t="shared" si="44"/>
        <v>Error?</v>
      </c>
    </row>
    <row r="2914" spans="1:4" x14ac:dyDescent="0.2">
      <c r="A2914" s="5">
        <v>2853</v>
      </c>
      <c r="B2914" s="1832">
        <f>'Assets-Liab 5-6'!L33</f>
        <v>34964</v>
      </c>
      <c r="D2914" s="2" t="str">
        <f t="shared" si="44"/>
        <v>Error?</v>
      </c>
    </row>
    <row r="2915" spans="1:4" x14ac:dyDescent="0.2">
      <c r="A2915" s="10">
        <v>2854</v>
      </c>
      <c r="B2915" s="1832"/>
      <c r="D2915" s="2" t="str">
        <f t="shared" si="44"/>
        <v>OK</v>
      </c>
    </row>
    <row r="2916" spans="1:4" x14ac:dyDescent="0.2">
      <c r="A2916" s="5">
        <v>2855</v>
      </c>
      <c r="B2916" s="1832">
        <f>'Assets-Liab 5-6'!L34</f>
        <v>34964</v>
      </c>
      <c r="C2916" s="2" t="s">
        <v>569</v>
      </c>
      <c r="D2916" s="2" t="str">
        <f t="shared" si="44"/>
        <v>Error?</v>
      </c>
    </row>
    <row r="2917" spans="1:4" x14ac:dyDescent="0.2">
      <c r="A2917" s="5">
        <v>2856</v>
      </c>
      <c r="B2917" s="1832">
        <f>'Assets-Liab 5-6'!L41</f>
        <v>34964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9218</v>
      </c>
      <c r="D3064" s="2" t="str">
        <f t="shared" si="46"/>
        <v>Error?</v>
      </c>
    </row>
    <row r="3065" spans="1:4" x14ac:dyDescent="0.2">
      <c r="A3065" s="5">
        <v>3004</v>
      </c>
      <c r="B3065" s="1832">
        <f>'Expenditures 15-22'!K219</f>
        <v>9218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1237600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19038</v>
      </c>
      <c r="C3225" s="2" t="s">
        <v>569</v>
      </c>
      <c r="D3225" s="2" t="str">
        <f t="shared" si="49"/>
        <v>Error?</v>
      </c>
    </row>
    <row r="3226" spans="1:4" x14ac:dyDescent="0.2">
      <c r="A3226" s="5">
        <v>3165</v>
      </c>
      <c r="B3226" s="1832">
        <f>'Acct Summary 7-8'!I8</f>
        <v>19038</v>
      </c>
      <c r="C3226" s="2" t="s">
        <v>569</v>
      </c>
      <c r="D3226" s="2" t="str">
        <f t="shared" si="49"/>
        <v>Error?</v>
      </c>
    </row>
    <row r="3227" spans="1:4" x14ac:dyDescent="0.2">
      <c r="A3227" s="5">
        <v>3166</v>
      </c>
      <c r="B3227" s="1832">
        <f>'Acct Summary 7-8'!I20</f>
        <v>19038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3852</v>
      </c>
      <c r="D3230" s="2" t="str">
        <f t="shared" si="49"/>
        <v>Error?</v>
      </c>
    </row>
    <row r="3231" spans="1:4" x14ac:dyDescent="0.2">
      <c r="A3231" s="5">
        <v>3170</v>
      </c>
      <c r="B3231" s="1832">
        <f>'Acct Summary 7-8'!C76</f>
        <v>3852</v>
      </c>
      <c r="C3231" s="2" t="s">
        <v>569</v>
      </c>
      <c r="D3231" s="2" t="str">
        <f t="shared" si="49"/>
        <v>Error?</v>
      </c>
    </row>
    <row r="3232" spans="1:4" x14ac:dyDescent="0.2">
      <c r="A3232" s="5">
        <v>3171</v>
      </c>
      <c r="B3232" s="1832">
        <f>'Acct Summary 7-8'!C77</f>
        <v>-3852</v>
      </c>
      <c r="C3232" s="2" t="s">
        <v>569</v>
      </c>
      <c r="D3232" s="2" t="str">
        <f t="shared" si="49"/>
        <v>Error?</v>
      </c>
    </row>
    <row r="3233" spans="1:4" x14ac:dyDescent="0.2">
      <c r="A3233" s="5">
        <v>3172</v>
      </c>
      <c r="B3233" s="1832">
        <f>'Acct Summary 7-8'!C78</f>
        <v>-354203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-387944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3852</v>
      </c>
      <c r="D3251" s="2" t="str">
        <f t="shared" si="49"/>
        <v>Error?</v>
      </c>
    </row>
    <row r="3252" spans="1:4" x14ac:dyDescent="0.2">
      <c r="A3252" s="5">
        <v>3191</v>
      </c>
      <c r="B3252" s="1832">
        <f>'Acct Summary 7-8'!F44</f>
        <v>3852</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3852</v>
      </c>
      <c r="C3255" s="2" t="s">
        <v>569</v>
      </c>
      <c r="D3255" s="2" t="str">
        <f t="shared" si="49"/>
        <v>Error?</v>
      </c>
    </row>
    <row r="3256" spans="1:4" x14ac:dyDescent="0.2">
      <c r="A3256" s="5">
        <v>3195</v>
      </c>
      <c r="B3256" s="1832">
        <f>'Acct Summary 7-8'!F78</f>
        <v>47223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-29698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1237600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1237600</v>
      </c>
      <c r="C3277" s="2" t="s">
        <v>569</v>
      </c>
      <c r="D3277" s="2" t="str">
        <f t="shared" si="50"/>
        <v>Error?</v>
      </c>
    </row>
    <row r="3278" spans="1:4" x14ac:dyDescent="0.2">
      <c r="A3278" s="5">
        <v>3217</v>
      </c>
      <c r="B3278" s="1832">
        <f>'Acct Summary 7-8'!E78</f>
        <v>-53272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19038</v>
      </c>
      <c r="C3320" s="2" t="s">
        <v>569</v>
      </c>
      <c r="D3320" s="2" t="str">
        <f t="shared" si="50"/>
        <v>Error?</v>
      </c>
    </row>
    <row r="3321" spans="1:4" x14ac:dyDescent="0.2">
      <c r="A3321" s="5">
        <v>3260</v>
      </c>
      <c r="B3321" s="1832">
        <f>'Acct Summary 7-8'!I79</f>
        <v>479510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498548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89342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16209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10406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418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116375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23244</v>
      </c>
      <c r="D3387" s="2" t="str">
        <f t="shared" si="51"/>
        <v>Error?</v>
      </c>
    </row>
    <row r="3388" spans="1:4" x14ac:dyDescent="0.2">
      <c r="A3388" s="5">
        <v>3327</v>
      </c>
      <c r="B3388" s="1832">
        <f>'Expenditures 15-22'!D217</f>
        <v>4313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23244</v>
      </c>
      <c r="C3390" s="2" t="s">
        <v>569</v>
      </c>
      <c r="D3390" s="2" t="str">
        <f t="shared" si="51"/>
        <v>Error?</v>
      </c>
    </row>
    <row r="3391" spans="1:4" x14ac:dyDescent="0.2">
      <c r="A3391" s="5">
        <v>3330</v>
      </c>
      <c r="B3391" s="1832">
        <f>'Expenditures 15-22'!K217</f>
        <v>4313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1488286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290081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298511</v>
      </c>
      <c r="D3417" s="2" t="str">
        <f t="shared" si="52"/>
        <v>Error?</v>
      </c>
    </row>
    <row r="3418" spans="1:4" x14ac:dyDescent="0.2">
      <c r="A3418" s="10">
        <v>3357</v>
      </c>
      <c r="B3418" s="1832"/>
      <c r="D3418" s="2" t="str">
        <f t="shared" si="52"/>
        <v>OK</v>
      </c>
    </row>
    <row r="3419" spans="1:4" x14ac:dyDescent="0.2">
      <c r="A3419" s="5">
        <v>3358</v>
      </c>
      <c r="B3419" s="1832">
        <f>'Assets-Liab 5-6'!F4</f>
        <v>510738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158150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498548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34964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30710</v>
      </c>
      <c r="C3446" s="2" t="s">
        <v>569</v>
      </c>
      <c r="D3446" s="2" t="str">
        <f t="shared" si="52"/>
        <v>Error?</v>
      </c>
    </row>
    <row r="3447" spans="1:4" x14ac:dyDescent="0.2">
      <c r="A3447" s="5">
        <v>3386</v>
      </c>
      <c r="B3447" s="1832">
        <f>'Tax Sched 23'!D16</f>
        <v>30710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42020</v>
      </c>
      <c r="C3449" s="2" t="s">
        <v>569</v>
      </c>
      <c r="D3449" s="2" t="str">
        <f t="shared" si="52"/>
        <v>Error?</v>
      </c>
    </row>
    <row r="3450" spans="1:4" x14ac:dyDescent="0.2">
      <c r="A3450" s="5">
        <v>3389</v>
      </c>
      <c r="B3450" s="1832">
        <f>'Tax Sched 23'!E16</f>
        <v>42020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1195973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1195973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1195973</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1195973</v>
      </c>
      <c r="C3568" s="2" t="s">
        <v>569</v>
      </c>
      <c r="D3568" s="2" t="str">
        <f t="shared" si="54"/>
        <v>Error?</v>
      </c>
    </row>
    <row r="3569" spans="1:4" x14ac:dyDescent="0.2">
      <c r="A3569" s="5">
        <v>3508</v>
      </c>
      <c r="B3569" s="1832">
        <f>'Acct Summary 7-8'!K4</f>
        <v>17570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17570</v>
      </c>
      <c r="C3571" s="2" t="s">
        <v>569</v>
      </c>
      <c r="D3571" s="2" t="str">
        <f t="shared" si="54"/>
        <v>Error?</v>
      </c>
    </row>
    <row r="3572" spans="1:4" x14ac:dyDescent="0.2">
      <c r="A3572" s="5">
        <v>3511</v>
      </c>
      <c r="B3572" s="1832">
        <f>'Acct Summary 7-8'!K13</f>
        <v>418128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418128</v>
      </c>
      <c r="C3575" s="2" t="s">
        <v>569</v>
      </c>
      <c r="D3575" s="2" t="str">
        <f t="shared" si="54"/>
        <v>Error?</v>
      </c>
    </row>
    <row r="3576" spans="1:4" x14ac:dyDescent="0.2">
      <c r="A3576" s="5">
        <v>3515</v>
      </c>
      <c r="B3576" s="1832">
        <f>'Acct Summary 7-8'!K20</f>
        <v>-400558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1217400</v>
      </c>
      <c r="D3579" s="2" t="str">
        <f t="shared" si="54"/>
        <v>Error?</v>
      </c>
    </row>
    <row r="3580" spans="1:4" x14ac:dyDescent="0.2">
      <c r="A3580" s="5">
        <v>3519</v>
      </c>
      <c r="B3580" s="1832">
        <f>'Acct Summary 7-8'!K34</f>
        <v>133971</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1351371</v>
      </c>
      <c r="C3584" s="2" t="s">
        <v>569</v>
      </c>
      <c r="D3584" s="2" t="str">
        <f t="shared" si="55"/>
        <v>Error?</v>
      </c>
    </row>
    <row r="3585" spans="1:4" x14ac:dyDescent="0.2">
      <c r="A3585" s="12">
        <v>3524</v>
      </c>
      <c r="B3585" s="1832">
        <f>'Acct Summary 7-8'!K75</f>
        <v>79074</v>
      </c>
      <c r="D3585" s="2" t="str">
        <f t="shared" si="55"/>
        <v>Error?</v>
      </c>
    </row>
    <row r="3586" spans="1:4" x14ac:dyDescent="0.2">
      <c r="A3586" s="5">
        <v>3525</v>
      </c>
      <c r="B3586" s="1832">
        <f>'Acct Summary 7-8'!K76</f>
        <v>79074</v>
      </c>
      <c r="C3586" s="2" t="s">
        <v>569</v>
      </c>
      <c r="D3586" s="2" t="str">
        <f t="shared" si="55"/>
        <v>Error?</v>
      </c>
    </row>
    <row r="3587" spans="1:4" x14ac:dyDescent="0.2">
      <c r="A3587" s="5">
        <v>3526</v>
      </c>
      <c r="B3587" s="1832">
        <f>'Acct Summary 7-8'!K77</f>
        <v>1272297</v>
      </c>
      <c r="C3587" s="2" t="s">
        <v>569</v>
      </c>
      <c r="D3587" s="2" t="str">
        <f t="shared" si="55"/>
        <v>Error?</v>
      </c>
    </row>
    <row r="3588" spans="1:4" x14ac:dyDescent="0.2">
      <c r="A3588" s="5">
        <v>3527</v>
      </c>
      <c r="B3588" s="1832">
        <f>'Acct Summary 7-8'!K78</f>
        <v>871739</v>
      </c>
      <c r="C3588" s="2" t="s">
        <v>569</v>
      </c>
      <c r="D3588" s="2" t="str">
        <f t="shared" si="55"/>
        <v>Error?</v>
      </c>
    </row>
    <row r="3589" spans="1:4" x14ac:dyDescent="0.2">
      <c r="A3589" s="5">
        <v>3528</v>
      </c>
      <c r="B3589" s="1832">
        <f>'Acct Summary 7-8'!K79</f>
        <v>324234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1195973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418128</v>
      </c>
      <c r="D3653" s="2" t="str">
        <f t="shared" si="56"/>
        <v>Error?</v>
      </c>
    </row>
    <row r="3654" spans="1:4" x14ac:dyDescent="0.2">
      <c r="A3654" s="5">
        <v>3593</v>
      </c>
      <c r="B3654" s="1832">
        <f>'Expenditures 15-22'!H350</f>
        <v>418128</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418128</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418128</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418128</v>
      </c>
      <c r="C3669" s="2" t="s">
        <v>569</v>
      </c>
      <c r="D3669" s="2" t="str">
        <f t="shared" si="56"/>
        <v>Error?</v>
      </c>
    </row>
    <row r="3670" spans="1:4" x14ac:dyDescent="0.2">
      <c r="A3670" s="5">
        <v>3609</v>
      </c>
      <c r="B3670" s="1832">
        <f>'Expenditures 15-22'!K350</f>
        <v>418128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418128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418128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-400558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25952</v>
      </c>
      <c r="C3725" s="2" t="s">
        <v>569</v>
      </c>
      <c r="D3725" s="2" t="str">
        <f t="shared" si="57"/>
        <v>Error?</v>
      </c>
    </row>
    <row r="3726" spans="1:4" x14ac:dyDescent="0.2">
      <c r="A3726" s="5">
        <v>3665</v>
      </c>
      <c r="B3726" s="1832">
        <f>'Tax Sched 23'!D13</f>
        <v>25952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35948</v>
      </c>
      <c r="C3728" s="2" t="s">
        <v>569</v>
      </c>
      <c r="D3728" s="2" t="str">
        <f t="shared" si="57"/>
        <v>Error?</v>
      </c>
    </row>
    <row r="3729" spans="1:4" x14ac:dyDescent="0.2">
      <c r="A3729" s="5">
        <v>3668</v>
      </c>
      <c r="B3729" s="1832">
        <f>'Tax Sched 23'!E13</f>
        <v>35948</v>
      </c>
      <c r="D3729" s="2" t="str">
        <f t="shared" si="57"/>
        <v>Error?</v>
      </c>
    </row>
    <row r="3730" spans="1:4" x14ac:dyDescent="0.2">
      <c r="A3730" s="5">
        <v>3669</v>
      </c>
      <c r="B3730" s="1832">
        <f>'ICR Computation 30'!E10</f>
        <v>113851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1795431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4898165</v>
      </c>
      <c r="C4122" s="2" t="s">
        <v>569</v>
      </c>
      <c r="D4122" s="2" t="str">
        <f t="shared" si="63"/>
        <v>Error?</v>
      </c>
    </row>
    <row r="4123" spans="1:4" x14ac:dyDescent="0.2">
      <c r="A4123" s="5">
        <v>4062</v>
      </c>
      <c r="B4123" s="1832">
        <f>'Acct Summary 7-8'!D10</f>
        <v>229353</v>
      </c>
      <c r="C4123" s="2" t="s">
        <v>569</v>
      </c>
      <c r="D4123" s="2" t="str">
        <f t="shared" si="63"/>
        <v>Error?</v>
      </c>
    </row>
    <row r="4124" spans="1:4" x14ac:dyDescent="0.2">
      <c r="A4124" s="5">
        <v>4063</v>
      </c>
      <c r="B4124" s="1832">
        <f>'Acct Summary 7-8'!E10</f>
        <v>149386</v>
      </c>
      <c r="C4124" s="2" t="s">
        <v>569</v>
      </c>
      <c r="D4124" s="2" t="str">
        <f t="shared" si="63"/>
        <v>Error?</v>
      </c>
    </row>
    <row r="4125" spans="1:4" x14ac:dyDescent="0.2">
      <c r="A4125" s="5">
        <v>4064</v>
      </c>
      <c r="B4125" s="1832">
        <f>'Acct Summary 7-8'!F10</f>
        <v>58634</v>
      </c>
      <c r="C4125" s="2" t="s">
        <v>569</v>
      </c>
      <c r="D4125" s="2" t="str">
        <f t="shared" si="63"/>
        <v>Error?</v>
      </c>
    </row>
    <row r="4126" spans="1:4" x14ac:dyDescent="0.2">
      <c r="A4126" s="5">
        <v>4065</v>
      </c>
      <c r="B4126" s="1832">
        <f>'Acct Summary 7-8'!G10</f>
        <v>66900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19038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17570</v>
      </c>
      <c r="C4130" s="2" t="s">
        <v>569</v>
      </c>
      <c r="D4130" s="2" t="str">
        <f t="shared" si="63"/>
        <v>Error?</v>
      </c>
    </row>
    <row r="4131" spans="1:4" x14ac:dyDescent="0.2">
      <c r="A4131" s="5">
        <v>4070</v>
      </c>
      <c r="B4131" s="1832">
        <f>'Acct Summary 7-8'!C18</f>
        <v>1795431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5248516</v>
      </c>
      <c r="C4136" s="2" t="s">
        <v>569</v>
      </c>
      <c r="D4136" s="2" t="str">
        <f t="shared" si="63"/>
        <v>Error?</v>
      </c>
    </row>
    <row r="4137" spans="1:4" x14ac:dyDescent="0.2">
      <c r="A4137" s="5">
        <v>4076</v>
      </c>
      <c r="B4137" s="1832">
        <f>'Acct Summary 7-8'!D19</f>
        <v>617297</v>
      </c>
      <c r="C4137" s="2" t="s">
        <v>569</v>
      </c>
      <c r="D4137" s="2" t="str">
        <f t="shared" si="63"/>
        <v>Error?</v>
      </c>
    </row>
    <row r="4138" spans="1:4" x14ac:dyDescent="0.2">
      <c r="A4138" s="5">
        <v>4077</v>
      </c>
      <c r="B4138" s="1832">
        <f>'Acct Summary 7-8'!E19</f>
        <v>1440258</v>
      </c>
      <c r="C4138" s="2" t="s">
        <v>569</v>
      </c>
      <c r="D4138" s="2" t="str">
        <f t="shared" si="63"/>
        <v>Error?</v>
      </c>
    </row>
    <row r="4139" spans="1:4" x14ac:dyDescent="0.2">
      <c r="A4139" s="5">
        <v>4078</v>
      </c>
      <c r="B4139" s="1832">
        <f>'Acct Summary 7-8'!F19</f>
        <v>15263</v>
      </c>
      <c r="C4139" s="2" t="s">
        <v>569</v>
      </c>
      <c r="D4139" s="2" t="str">
        <f t="shared" si="63"/>
        <v>Error?</v>
      </c>
    </row>
    <row r="4140" spans="1:4" x14ac:dyDescent="0.2">
      <c r="A4140" s="5">
        <v>4079</v>
      </c>
      <c r="B4140" s="1832">
        <f>'Acct Summary 7-8'!G19</f>
        <v>96598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418128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2455000</v>
      </c>
      <c r="C4171" s="2" t="s">
        <v>569</v>
      </c>
      <c r="D4171" s="2" t="str">
        <f t="shared" si="64"/>
        <v>Error?</v>
      </c>
    </row>
    <row r="4172" spans="1:4" x14ac:dyDescent="0.2">
      <c r="A4172" s="5">
        <v>4111</v>
      </c>
      <c r="B4172" s="1832">
        <f>'Short-Term Long-Term Debt 24'!J49</f>
        <v>2156489</v>
      </c>
      <c r="C4172" s="2" t="s">
        <v>569</v>
      </c>
      <c r="D4172" s="2" t="str">
        <f t="shared" si="64"/>
        <v>Error?</v>
      </c>
    </row>
    <row r="4173" spans="1:4" x14ac:dyDescent="0.2">
      <c r="A4173" s="5">
        <v>4112</v>
      </c>
      <c r="B4173" s="1832">
        <f>'Short-Term Long-Term Debt 24'!H49</f>
        <v>1395000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1969.9999999999998</v>
      </c>
      <c r="C4265" s="2" t="s">
        <v>569</v>
      </c>
      <c r="D4265" s="2" t="str">
        <f t="shared" si="65"/>
        <v>Error?</v>
      </c>
      <c r="E4265" s="125"/>
    </row>
    <row r="4266" spans="1:5" x14ac:dyDescent="0.2">
      <c r="A4266" s="12">
        <v>4205</v>
      </c>
      <c r="B4266" s="1832">
        <f>('FP Info 3'!F10)*100000</f>
        <v>560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2650</v>
      </c>
      <c r="C4268" s="2" t="s">
        <v>569</v>
      </c>
      <c r="D4268" s="2" t="str">
        <f t="shared" si="65"/>
        <v>Error?</v>
      </c>
    </row>
    <row r="4269" spans="1:5" x14ac:dyDescent="0.2">
      <c r="A4269" s="12">
        <v>4208</v>
      </c>
      <c r="B4269" s="1832">
        <f>'FP Info 3'!J16</f>
        <v>2787653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12930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4498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39942555</v>
      </c>
      <c r="D4995" s="2" t="str">
        <f t="shared" si="77"/>
        <v>Error?</v>
      </c>
    </row>
    <row r="4996" spans="1:4" x14ac:dyDescent="0.2">
      <c r="A4996" s="12">
        <v>4935</v>
      </c>
      <c r="B4996" s="1832">
        <f>'FP Info 3'!H31</f>
        <v>2756036.2950000004</v>
      </c>
      <c r="D4996" s="2" t="str">
        <f t="shared" si="77"/>
        <v>Error?</v>
      </c>
    </row>
    <row r="4997" spans="1:4" x14ac:dyDescent="0.2">
      <c r="A4997" s="12">
        <v>4936</v>
      </c>
      <c r="B4997" s="1832">
        <f>'FP Info 3'!H37</f>
        <v>2455000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14418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562792</v>
      </c>
      <c r="D5061" s="2" t="str">
        <f t="shared" si="78"/>
        <v>Error?</v>
      </c>
    </row>
    <row r="5062" spans="1:4" x14ac:dyDescent="0.2">
      <c r="A5062" s="10">
        <v>5001</v>
      </c>
      <c r="B5062" s="1832"/>
      <c r="D5062" s="2" t="str">
        <f t="shared" si="78"/>
        <v>OK</v>
      </c>
    </row>
    <row r="5063" spans="1:4" x14ac:dyDescent="0.2">
      <c r="A5063" s="5">
        <v>5002</v>
      </c>
      <c r="B5063" s="1832">
        <f>'Revenues 9-14'!C7</f>
        <v>5768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582978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56741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56741</v>
      </c>
      <c r="C5071" s="2" t="s">
        <v>569</v>
      </c>
      <c r="D5071" s="2" t="str">
        <f t="shared" si="78"/>
        <v>Error?</v>
      </c>
    </row>
    <row r="5072" spans="1:4" x14ac:dyDescent="0.2">
      <c r="A5072" s="5">
        <v>5011</v>
      </c>
      <c r="B5072" s="1832">
        <f>'Revenues 9-14'!C20</f>
        <v>36420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36420</v>
      </c>
      <c r="C5087" s="2" t="s">
        <v>569</v>
      </c>
      <c r="D5087" s="2" t="str">
        <f t="shared" si="78"/>
        <v>Error?</v>
      </c>
    </row>
    <row r="5088" spans="1:4" x14ac:dyDescent="0.2">
      <c r="A5088" s="5">
        <v>5027</v>
      </c>
      <c r="B5088" s="1832">
        <f>'Revenues 9-14'!C65</f>
        <v>15995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15995</v>
      </c>
      <c r="C5090" s="2" t="s">
        <v>569</v>
      </c>
      <c r="D5090" s="2" t="str">
        <f t="shared" si="78"/>
        <v>Error?</v>
      </c>
    </row>
    <row r="5091" spans="1:4" x14ac:dyDescent="0.2">
      <c r="A5091" s="5">
        <v>5030</v>
      </c>
      <c r="B5091" s="1832">
        <f>'Revenues 9-14'!C70</f>
        <v>1358</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20894</v>
      </c>
      <c r="C5096" s="2" t="s">
        <v>569</v>
      </c>
      <c r="D5096" s="2" t="str">
        <f t="shared" si="78"/>
        <v>Error?</v>
      </c>
    </row>
    <row r="5097" spans="1:4" x14ac:dyDescent="0.2">
      <c r="A5097" s="5">
        <v>5036</v>
      </c>
      <c r="B5097" s="1832">
        <f>'Revenues 9-14'!C77</f>
        <v>8078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8078</v>
      </c>
      <c r="C5102" s="2" t="s">
        <v>569</v>
      </c>
      <c r="D5102" s="2" t="str">
        <f t="shared" si="78"/>
        <v>Error?</v>
      </c>
    </row>
    <row r="5103" spans="1:4" x14ac:dyDescent="0.2">
      <c r="A5103" s="5">
        <v>5042</v>
      </c>
      <c r="B5103" s="1832">
        <f>'Revenues 9-14'!C84</f>
        <v>12995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12995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131926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30591</v>
      </c>
      <c r="D5119" s="2" t="str">
        <f t="shared" ref="D5119:D5182" si="79">IF(ISBLANK(B5119),"OK",IF(A5119-B5119=0,"OK","Error?"))</f>
        <v>Error?</v>
      </c>
    </row>
    <row r="5120" spans="1:4" x14ac:dyDescent="0.2">
      <c r="A5120" s="5">
        <v>5059</v>
      </c>
      <c r="B5120" s="1832">
        <f>'Revenues 9-14'!C108</f>
        <v>162517</v>
      </c>
      <c r="C5120" s="2" t="s">
        <v>569</v>
      </c>
      <c r="D5120" s="2" t="str">
        <f t="shared" si="79"/>
        <v>Error?</v>
      </c>
    </row>
    <row r="5121" spans="1:4" x14ac:dyDescent="0.2">
      <c r="A5121" s="5">
        <v>5060</v>
      </c>
      <c r="B5121" s="1832">
        <f>'Revenues 9-14'!C109</f>
        <v>896618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1647327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1647327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99201</v>
      </c>
      <c r="D5137" s="2" t="str">
        <f t="shared" si="79"/>
        <v>Error?</v>
      </c>
    </row>
    <row r="5138" spans="1:4" x14ac:dyDescent="0.2">
      <c r="A5138" s="10">
        <v>5077</v>
      </c>
      <c r="B5138" s="1832"/>
      <c r="D5138" s="2" t="str">
        <f t="shared" si="79"/>
        <v>OK</v>
      </c>
    </row>
    <row r="5139" spans="1:4" x14ac:dyDescent="0.2">
      <c r="A5139" s="5">
        <v>5078</v>
      </c>
      <c r="B5139" s="1832">
        <f>'Revenues 9-14'!C129</f>
        <v>5538</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104739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10385</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98785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215409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1862736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66950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19321</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86271</v>
      </c>
      <c r="C5246" s="2" t="s">
        <v>569</v>
      </c>
      <c r="D5246" s="2" t="str">
        <f t="shared" si="80"/>
        <v>Error?</v>
      </c>
    </row>
    <row r="5247" spans="1:4" x14ac:dyDescent="0.2">
      <c r="A5247" s="5">
        <v>5186</v>
      </c>
      <c r="B5247" s="1832">
        <f>'Revenues 9-14'!C200</f>
        <v>143470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4498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143470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78916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78916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17295</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343380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343380</v>
      </c>
      <c r="C5326" s="2" t="s">
        <v>569</v>
      </c>
      <c r="D5326" s="2" t="str">
        <f t="shared" si="82"/>
        <v>Error?</v>
      </c>
    </row>
    <row r="5327" spans="1:5" x14ac:dyDescent="0.2">
      <c r="A5327" s="5">
        <v>5266</v>
      </c>
      <c r="B5327" s="1832">
        <f>'Revenues 9-14'!C268</f>
        <v>3102734</v>
      </c>
      <c r="C5327" s="2" t="s">
        <v>569</v>
      </c>
      <c r="D5327" s="2" t="str">
        <f t="shared" si="82"/>
        <v>Error?</v>
      </c>
    </row>
    <row r="5328" spans="1:5" x14ac:dyDescent="0.2">
      <c r="A5328" s="5">
        <v>5267</v>
      </c>
      <c r="B5328" s="1832">
        <f>'Revenues 9-14'!D5</f>
        <v>161482</v>
      </c>
      <c r="D5328" s="2" t="str">
        <f t="shared" si="82"/>
        <v>Error?</v>
      </c>
    </row>
    <row r="5329" spans="1:4" x14ac:dyDescent="0.2">
      <c r="A5329" s="10">
        <v>5268</v>
      </c>
      <c r="B5329" s="1832"/>
      <c r="D5329" s="2" t="str">
        <f t="shared" si="82"/>
        <v>OK</v>
      </c>
    </row>
    <row r="5330" spans="1:4" x14ac:dyDescent="0.2">
      <c r="A5330" s="5">
        <v>5269</v>
      </c>
      <c r="B5330" s="1832">
        <f>'Revenues 9-14'!D6</f>
        <v>11534</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173016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4135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4135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52202</v>
      </c>
      <c r="D5354" s="2" t="str">
        <f t="shared" si="82"/>
        <v>Error?</v>
      </c>
    </row>
    <row r="5355" spans="1:4" x14ac:dyDescent="0.2">
      <c r="A5355" s="5">
        <v>5294</v>
      </c>
      <c r="B5355" s="1832">
        <f>'Revenues 9-14'!D108</f>
        <v>52202</v>
      </c>
      <c r="C5355" s="2" t="s">
        <v>569</v>
      </c>
      <c r="D5355" s="2" t="str">
        <f t="shared" si="82"/>
        <v>Error?</v>
      </c>
    </row>
    <row r="5356" spans="1:4" x14ac:dyDescent="0.2">
      <c r="A5356" s="5">
        <v>5295</v>
      </c>
      <c r="B5356" s="1832">
        <f>'Revenues 9-14'!D109</f>
        <v>229353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229353</v>
      </c>
      <c r="C5508" s="2" t="s">
        <v>569</v>
      </c>
      <c r="D5508" s="2" t="str">
        <f t="shared" si="85"/>
        <v>Error?</v>
      </c>
    </row>
    <row r="5509" spans="1:4" x14ac:dyDescent="0.2">
      <c r="A5509" s="5">
        <v>5448</v>
      </c>
      <c r="B5509" s="1832">
        <f>'Revenues 9-14'!E5</f>
        <v>145940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145940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3446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3446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149386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149386</v>
      </c>
      <c r="C5552" s="2" t="s">
        <v>569</v>
      </c>
      <c r="D5552" s="2" t="str">
        <f t="shared" si="85"/>
        <v>Error?</v>
      </c>
    </row>
    <row r="5553" spans="1:4" x14ac:dyDescent="0.2">
      <c r="A5553" s="5">
        <v>5492</v>
      </c>
      <c r="B5553" s="1832">
        <f>'Revenues 9-14'!F5</f>
        <v>34604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34604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4579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4579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39183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20</v>
      </c>
      <c r="D5615" s="2" t="str">
        <f t="shared" si="86"/>
        <v>Error?</v>
      </c>
    </row>
    <row r="5616" spans="1:4" x14ac:dyDescent="0.2">
      <c r="A5616" s="10">
        <v>5555</v>
      </c>
      <c r="B5616" s="1832"/>
      <c r="D5616" s="2" t="str">
        <f t="shared" si="86"/>
        <v>OK</v>
      </c>
    </row>
    <row r="5617" spans="1:5" x14ac:dyDescent="0.2">
      <c r="A5617" s="5">
        <v>5556</v>
      </c>
      <c r="B5617" s="1832">
        <f>'Revenues 9-14'!F153</f>
        <v>19431</v>
      </c>
      <c r="D5617" s="2" t="str">
        <f t="shared" si="86"/>
        <v>Error?</v>
      </c>
    </row>
    <row r="5618" spans="1:5" x14ac:dyDescent="0.2">
      <c r="A5618" s="5">
        <v>5557</v>
      </c>
      <c r="B5618" s="1832">
        <f>'Revenues 9-14'!F155</f>
        <v>19451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19451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19451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58634</v>
      </c>
      <c r="C5720" s="2" t="s">
        <v>569</v>
      </c>
      <c r="D5720" s="2" t="str">
        <f t="shared" si="88"/>
        <v>Error?</v>
      </c>
    </row>
    <row r="5721" spans="1:4" x14ac:dyDescent="0.2">
      <c r="A5721" s="5">
        <v>5660</v>
      </c>
      <c r="B5721" s="1832">
        <f>'Revenues 9-14'!G5</f>
        <v>34353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30710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65063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1837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1837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66900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14418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14418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4620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4620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19038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14418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14418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3152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3152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17570</v>
      </c>
      <c r="C6023" s="2" t="s">
        <v>569</v>
      </c>
      <c r="D6023" s="2" t="str">
        <f t="shared" si="93"/>
        <v>Error?</v>
      </c>
    </row>
    <row r="6024" spans="1:5" x14ac:dyDescent="0.2">
      <c r="A6024" s="5">
        <v>5963</v>
      </c>
      <c r="B6024" s="1832">
        <f>'Revenues 9-14'!G109</f>
        <v>66900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19038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17570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19536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16551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334.4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405298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405298</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405298</v>
      </c>
      <c r="D6216" s="2" t="str">
        <f t="shared" si="96"/>
        <v>Error?</v>
      </c>
      <c r="E6216" s="2" t="s">
        <v>189</v>
      </c>
    </row>
    <row r="6217" spans="1:5" x14ac:dyDescent="0.2">
      <c r="A6217">
        <v>6156</v>
      </c>
      <c r="B6217" s="1832">
        <f>'Assets-Liab 5-6'!J4</f>
        <v>405298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252823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252823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252823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304757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304757</v>
      </c>
      <c r="D6229" s="2" t="str">
        <f t="shared" si="96"/>
        <v>Error?</v>
      </c>
      <c r="E6229" s="2" t="s">
        <v>189</v>
      </c>
    </row>
    <row r="6230" spans="1:5" x14ac:dyDescent="0.2">
      <c r="A6230">
        <v>6169</v>
      </c>
      <c r="B6230" s="1832">
        <f>'Acct Summary 7-8'!J20</f>
        <v>-51934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-51934</v>
      </c>
      <c r="D6263" s="2" t="str">
        <f t="shared" si="96"/>
        <v>Error?</v>
      </c>
      <c r="E6263" s="2" t="s">
        <v>189</v>
      </c>
    </row>
    <row r="6264" spans="1:5" x14ac:dyDescent="0.2">
      <c r="A6264">
        <v>6203</v>
      </c>
      <c r="B6264" s="1832">
        <f>'Acct Summary 7-8'!J79</f>
        <v>457232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405298</v>
      </c>
      <c r="D6266" s="2" t="str">
        <f t="shared" si="96"/>
        <v>Error?</v>
      </c>
      <c r="E6266" s="2" t="s">
        <v>189</v>
      </c>
    </row>
    <row r="6267" spans="1:5" x14ac:dyDescent="0.2">
      <c r="A6267">
        <v>6206</v>
      </c>
      <c r="B6267" s="1832">
        <f>'Acct Summary 7-8'!C82</f>
        <v>-354203</v>
      </c>
      <c r="D6267" s="2" t="str">
        <f t="shared" si="96"/>
        <v>Error?</v>
      </c>
      <c r="E6267" s="2" t="s">
        <v>189</v>
      </c>
    </row>
    <row r="6268" spans="1:5" x14ac:dyDescent="0.2">
      <c r="A6268">
        <v>6207</v>
      </c>
      <c r="B6268" s="1832">
        <f>'Acct Summary 7-8'!D82</f>
        <v>-387944</v>
      </c>
      <c r="D6268" s="2" t="str">
        <f t="shared" si="96"/>
        <v>Error?</v>
      </c>
      <c r="E6268" s="2" t="s">
        <v>189</v>
      </c>
    </row>
    <row r="6269" spans="1:5" x14ac:dyDescent="0.2">
      <c r="A6269">
        <v>6208</v>
      </c>
      <c r="B6269" s="1832">
        <f>'Acct Summary 7-8'!E82</f>
        <v>-53272</v>
      </c>
      <c r="D6269" s="2" t="str">
        <f t="shared" si="96"/>
        <v>Error?</v>
      </c>
      <c r="E6269" s="2" t="s">
        <v>189</v>
      </c>
    </row>
    <row r="6270" spans="1:5" x14ac:dyDescent="0.2">
      <c r="A6270">
        <v>6209</v>
      </c>
      <c r="B6270" s="1832">
        <f>'Acct Summary 7-8'!F82</f>
        <v>47223</v>
      </c>
      <c r="D6270" s="2" t="str">
        <f t="shared" si="96"/>
        <v>Error?</v>
      </c>
      <c r="E6270" s="2" t="s">
        <v>189</v>
      </c>
    </row>
    <row r="6271" spans="1:5" x14ac:dyDescent="0.2">
      <c r="A6271">
        <v>6210</v>
      </c>
      <c r="B6271" s="1832">
        <f>'Acct Summary 7-8'!G82</f>
        <v>-29698</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19038</v>
      </c>
      <c r="D6273" s="2" t="str">
        <f t="shared" si="97"/>
        <v>Error?</v>
      </c>
      <c r="E6273" s="2" t="s">
        <v>189</v>
      </c>
    </row>
    <row r="6274" spans="1:5" x14ac:dyDescent="0.2">
      <c r="A6274">
        <v>6213</v>
      </c>
      <c r="B6274" s="1832">
        <f>'Acct Summary 7-8'!J82</f>
        <v>-51934</v>
      </c>
      <c r="D6274" s="2" t="str">
        <f t="shared" si="97"/>
        <v>Error?</v>
      </c>
      <c r="E6274" s="2" t="s">
        <v>189</v>
      </c>
    </row>
    <row r="6275" spans="1:5" x14ac:dyDescent="0.2">
      <c r="A6275">
        <v>6214</v>
      </c>
      <c r="B6275" s="1832">
        <f>'Acct Summary 7-8'!K82</f>
        <v>871739</v>
      </c>
      <c r="D6275" s="2" t="str">
        <f t="shared" si="97"/>
        <v>Error?</v>
      </c>
      <c r="E6275" s="2" t="s">
        <v>189</v>
      </c>
    </row>
    <row r="6276" spans="1:5" x14ac:dyDescent="0.2">
      <c r="A6276">
        <v>6215</v>
      </c>
      <c r="B6276" s="1832">
        <f>'Acct Summary 7-8'!C83</f>
        <v>-0.23799390708506296</v>
      </c>
      <c r="D6276" s="2" t="str">
        <f t="shared" si="97"/>
        <v>Error?</v>
      </c>
      <c r="E6276" s="2" t="s">
        <v>189</v>
      </c>
    </row>
    <row r="6277" spans="1:5" x14ac:dyDescent="0.2">
      <c r="A6277">
        <v>6216</v>
      </c>
      <c r="B6277" s="1832">
        <f>'Acct Summary 7-8'!D83</f>
        <v>-1.3373643913251816</v>
      </c>
      <c r="D6277" s="2" t="str">
        <f t="shared" si="97"/>
        <v>Error?</v>
      </c>
      <c r="E6277" s="2" t="s">
        <v>189</v>
      </c>
    </row>
    <row r="6278" spans="1:5" x14ac:dyDescent="0.2">
      <c r="A6278">
        <v>6217</v>
      </c>
      <c r="B6278" s="1832">
        <f>'Acct Summary 7-8'!E83</f>
        <v>-0.17845908525983967</v>
      </c>
      <c r="D6278" s="2" t="str">
        <f t="shared" si="97"/>
        <v>Error?</v>
      </c>
      <c r="E6278" s="2" t="s">
        <v>189</v>
      </c>
    </row>
    <row r="6279" spans="1:5" x14ac:dyDescent="0.2">
      <c r="A6279">
        <v>6218</v>
      </c>
      <c r="B6279" s="1832">
        <f>'Acct Summary 7-8'!F83</f>
        <v>9.2460322122105656E-2</v>
      </c>
      <c r="D6279" s="2" t="str">
        <f t="shared" si="97"/>
        <v>Error?</v>
      </c>
      <c r="E6279" s="2" t="s">
        <v>189</v>
      </c>
    </row>
    <row r="6280" spans="1:5" x14ac:dyDescent="0.2">
      <c r="A6280">
        <v>6219</v>
      </c>
      <c r="B6280" s="1832">
        <f>'Acct Summary 7-8'!G83</f>
        <v>-0.18778374960480557</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3.818689474233173E-2</v>
      </c>
      <c r="D6282" s="2" t="str">
        <f t="shared" si="97"/>
        <v>Error?</v>
      </c>
      <c r="E6282" s="2" t="s">
        <v>189</v>
      </c>
    </row>
    <row r="6283" spans="1:5" x14ac:dyDescent="0.2">
      <c r="A6283">
        <v>6222</v>
      </c>
      <c r="B6283" s="1832">
        <f>'Acct Summary 7-8'!J83</f>
        <v>-0.12813781464502663</v>
      </c>
      <c r="D6283" s="2" t="str">
        <f t="shared" si="97"/>
        <v>Error?</v>
      </c>
      <c r="E6283" s="2" t="s">
        <v>189</v>
      </c>
    </row>
    <row r="6284" spans="1:5" x14ac:dyDescent="0.2">
      <c r="A6284">
        <v>6223</v>
      </c>
      <c r="B6284" s="1832">
        <f>'Acct Summary 7-8'!K83</f>
        <v>0.72889521753417508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248597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248597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4226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4226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252823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5998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5998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89919</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354262</v>
      </c>
      <c r="D6981" s="2" t="str">
        <f t="shared" si="108"/>
        <v>Error?</v>
      </c>
    </row>
    <row r="6982" spans="1:4" x14ac:dyDescent="0.2">
      <c r="A6982">
        <v>6921</v>
      </c>
      <c r="B6982" s="1832">
        <f>'Expenditures 15-22'!K85</f>
        <v>354262</v>
      </c>
      <c r="D6982" s="2" t="str">
        <f t="shared" si="108"/>
        <v>Error?</v>
      </c>
    </row>
    <row r="6983" spans="1:4" x14ac:dyDescent="0.2">
      <c r="A6983">
        <v>6922</v>
      </c>
      <c r="B6983" s="1832">
        <f>'Expenditures 15-22'!H86</f>
        <v>48841</v>
      </c>
      <c r="D6983" s="2" t="str">
        <f t="shared" si="108"/>
        <v>Error?</v>
      </c>
    </row>
    <row r="6984" spans="1:4" x14ac:dyDescent="0.2">
      <c r="A6984">
        <v>6923</v>
      </c>
      <c r="B6984" s="1832">
        <f>'Expenditures 15-22'!K86</f>
        <v>48841</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403103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304757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252823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517</v>
      </c>
      <c r="D7073" s="2" t="str">
        <f t="shared" si="109"/>
        <v>Error?</v>
      </c>
    </row>
    <row r="7074" spans="1:4" x14ac:dyDescent="0.2">
      <c r="A7074">
        <v>7013</v>
      </c>
      <c r="B7074" s="1832">
        <f>'Expenditures 15-22'!K216</f>
        <v>517</v>
      </c>
      <c r="D7074" s="2" t="str">
        <f t="shared" si="109"/>
        <v>Error?</v>
      </c>
    </row>
    <row r="7075" spans="1:4" x14ac:dyDescent="0.2">
      <c r="A7075">
        <v>7014</v>
      </c>
      <c r="B7075" s="1832">
        <f>'Expenditures 15-22'!D218</f>
        <v>3607</v>
      </c>
      <c r="D7075" s="2" t="str">
        <f t="shared" si="109"/>
        <v>Error?</v>
      </c>
    </row>
    <row r="7076" spans="1:4" x14ac:dyDescent="0.2">
      <c r="A7076">
        <v>7015</v>
      </c>
      <c r="B7076" s="1832">
        <f>'Expenditures 15-22'!K218</f>
        <v>3607</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14410</v>
      </c>
      <c r="D7093" s="2" t="str">
        <f t="shared" si="109"/>
        <v>Error?</v>
      </c>
    </row>
    <row r="7094" spans="1:4" x14ac:dyDescent="0.2">
      <c r="A7094">
        <v>7033</v>
      </c>
      <c r="B7094" s="1832">
        <f>'Expenditures 15-22'!K254</f>
        <v>14410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239771</v>
      </c>
      <c r="D7173" s="2" t="str">
        <f t="shared" si="111"/>
        <v>Error?</v>
      </c>
    </row>
    <row r="7174" spans="1:4" x14ac:dyDescent="0.2">
      <c r="A7174">
        <v>7113</v>
      </c>
      <c r="B7174" s="1832">
        <f>'Expenditures 15-22'!E325</f>
        <v>33441</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273212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31545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31545</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239771</v>
      </c>
      <c r="D7200" s="2" t="str">
        <f t="shared" si="111"/>
        <v>Error?</v>
      </c>
    </row>
    <row r="7201" spans="1:4" x14ac:dyDescent="0.2">
      <c r="A7201">
        <v>7140</v>
      </c>
      <c r="B7201" s="1832">
        <f>'Expenditures 15-22'!E330</f>
        <v>64986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304757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239771</v>
      </c>
      <c r="D7217" s="2" t="str">
        <f t="shared" si="111"/>
        <v>Error?</v>
      </c>
    </row>
    <row r="7218" spans="1:4" x14ac:dyDescent="0.2">
      <c r="A7218">
        <v>7157</v>
      </c>
      <c r="B7218" s="1832">
        <f>'Expenditures 15-22'!E342</f>
        <v>64986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304757</v>
      </c>
      <c r="D7224" s="2" t="str">
        <f t="shared" si="111"/>
        <v>Error?</v>
      </c>
    </row>
    <row r="7225" spans="1:4" x14ac:dyDescent="0.2">
      <c r="A7225">
        <v>7164</v>
      </c>
      <c r="B7225" s="1832">
        <f>'Expenditures 15-22'!K343</f>
        <v>-51934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63241</v>
      </c>
      <c r="D7251" s="2" t="str">
        <f t="shared" si="112"/>
        <v>Error?</v>
      </c>
    </row>
    <row r="7252" spans="1:4" x14ac:dyDescent="0.2">
      <c r="A7252">
        <f t="shared" si="113"/>
        <v>7191</v>
      </c>
      <c r="B7252" s="1832">
        <f>'Expenditures 15-22'!D9</f>
        <v>12828</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13850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254881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5768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4491700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-42091.44</v>
      </c>
      <c r="D7820" s="2" t="str">
        <f t="shared" si="128"/>
        <v>Error?</v>
      </c>
    </row>
    <row r="7821" spans="1:5" x14ac:dyDescent="0.2">
      <c r="A7821">
        <v>7760</v>
      </c>
      <c r="B7821" s="1832">
        <f>'ICR Computation 30'!G40</f>
        <v>-42091.44</v>
      </c>
      <c r="D7821" s="2" t="str">
        <f t="shared" si="128"/>
        <v>Error?</v>
      </c>
    </row>
    <row r="7822" spans="1:5" x14ac:dyDescent="0.2">
      <c r="A7822" s="1">
        <v>7761</v>
      </c>
      <c r="B7822" s="1832">
        <f>'PCTC-OEPP 27-28'!F14</f>
        <v>5927258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5998</v>
      </c>
      <c r="D7826" s="2" t="str">
        <f t="shared" si="129"/>
        <v>Error?</v>
      </c>
      <c r="E7826" s="4" t="s">
        <v>1998</v>
      </c>
    </row>
    <row r="7827" spans="1:5" x14ac:dyDescent="0.2">
      <c r="A7827">
        <v>7766</v>
      </c>
      <c r="B7827" s="1832">
        <f>'PCTC-OEPP 27-28'!F35</f>
        <v>89919</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40503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2223181</v>
      </c>
      <c r="D7834" s="2" t="str">
        <f t="shared" si="129"/>
        <v>Error?</v>
      </c>
      <c r="E7834" s="4" t="s">
        <v>1998</v>
      </c>
    </row>
    <row r="7835" spans="1:5" x14ac:dyDescent="0.2">
      <c r="A7835">
        <v>7774</v>
      </c>
      <c r="B7835" s="1832">
        <f>'PCTC-OEPP 27-28'!F78</f>
        <v>3704077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11076.78528708134</v>
      </c>
      <c r="D7837" s="2" t="str">
        <f t="shared" si="129"/>
        <v>Error?</v>
      </c>
      <c r="E7837" s="4" t="s">
        <v>1998</v>
      </c>
    </row>
    <row r="7838" spans="1:5" x14ac:dyDescent="0.2">
      <c r="A7838">
        <v>7777</v>
      </c>
      <c r="B7838" s="1832">
        <f>'PCTC-OEPP 27-28'!F96</f>
        <v>8078</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104739</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19451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86271</v>
      </c>
      <c r="D7858" s="2" t="str">
        <f t="shared" si="129"/>
        <v>Error?</v>
      </c>
      <c r="E7858" s="4" t="s">
        <v>1998</v>
      </c>
    </row>
    <row r="7859" spans="1:5" x14ac:dyDescent="0.2">
      <c r="A7859">
        <v>7798</v>
      </c>
      <c r="B7859" s="1832">
        <f>'PCTC-OEPP 27-28'!F127</f>
        <v>143470</v>
      </c>
      <c r="D7859" s="2" t="str">
        <f t="shared" si="129"/>
        <v>Error?</v>
      </c>
      <c r="E7859" s="4" t="s">
        <v>1998</v>
      </c>
    </row>
    <row r="7860" spans="1:5" x14ac:dyDescent="0.2">
      <c r="A7860">
        <v>7799</v>
      </c>
      <c r="B7860" s="1832">
        <f>'PCTC-OEPP 27-28'!F128</f>
        <v>4498</v>
      </c>
      <c r="D7860" s="2" t="str">
        <f t="shared" si="129"/>
        <v>Error?</v>
      </c>
      <c r="E7860" s="4" t="s">
        <v>1998</v>
      </c>
    </row>
    <row r="7861" spans="1:5" x14ac:dyDescent="0.2">
      <c r="A7861">
        <v>7800</v>
      </c>
      <c r="B7861" s="1832">
        <f>'PCTC-OEPP 27-28'!F129</f>
        <v>78916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17295</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12930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521422</v>
      </c>
      <c r="D7877" s="2" t="str">
        <f t="shared" si="129"/>
        <v>Error?</v>
      </c>
      <c r="E7877" s="4" t="s">
        <v>1998</v>
      </c>
    </row>
    <row r="7878" spans="1:5" x14ac:dyDescent="0.2">
      <c r="A7878">
        <v>7817</v>
      </c>
      <c r="B7878" s="1832">
        <f>'PCTC-OEPP 27-28'!F176</f>
        <v>3182655</v>
      </c>
      <c r="D7878" s="2" t="str">
        <f t="shared" si="129"/>
        <v>Error?</v>
      </c>
      <c r="E7878" s="4" t="s">
        <v>1998</v>
      </c>
    </row>
    <row r="7879" spans="1:5" x14ac:dyDescent="0.2">
      <c r="A7879">
        <v>7818</v>
      </c>
      <c r="B7879" s="1832">
        <f>'PCTC-OEPP 27-28'!F178</f>
        <v>3437536</v>
      </c>
      <c r="D7879" s="2" t="str">
        <f t="shared" si="129"/>
        <v>Error?</v>
      </c>
      <c r="E7879" s="4" t="s">
        <v>1998</v>
      </c>
    </row>
    <row r="7880" spans="1:5" x14ac:dyDescent="0.2">
      <c r="A7880">
        <v>7819</v>
      </c>
      <c r="B7880" s="1832">
        <f>'PCTC-OEPP 27-28'!F180</f>
        <v>10279.712918660287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82" zoomScale="110" zoomScaleNormal="110" workbookViewId="0">
      <selection activeCell="A16" sqref="A16:F1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Signal Hill SD 181</v>
      </c>
      <c r="B7" s="2537"/>
      <c r="C7" s="2537"/>
      <c r="D7" s="2538"/>
      <c r="E7" s="2539" t="str">
        <f>COVER!A13</f>
        <v>50082181002   Signal Hill SD 181</v>
      </c>
      <c r="F7" s="2540"/>
      <c r="G7" s="2546">
        <f>COVER!T23</f>
        <v>0</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FICK, EGGEMEYER, &amp; WILLIAMSON CPAs PC</v>
      </c>
      <c r="H9" s="2552"/>
      <c r="I9" s="2552"/>
      <c r="J9" s="2552"/>
      <c r="K9" s="2552"/>
      <c r="L9" s="2553"/>
    </row>
    <row r="10" spans="1:29" ht="13.5" customHeight="1" x14ac:dyDescent="0.2">
      <c r="A10" s="2525" t="str">
        <f>COVER!A38</f>
        <v>Mr. Kelly Bohnenstiehl</v>
      </c>
      <c r="B10" s="2526"/>
      <c r="C10" s="2526"/>
      <c r="D10" s="2526"/>
      <c r="E10" s="2526"/>
      <c r="F10" s="2527"/>
      <c r="G10" s="2519" t="str">
        <f>COVER!T17</f>
        <v>6240 S. LINDBERGH BLVD</v>
      </c>
      <c r="H10" s="2520"/>
      <c r="I10" s="2520"/>
      <c r="J10" s="2520"/>
      <c r="K10" s="2520"/>
      <c r="L10" s="2521"/>
    </row>
    <row r="11" spans="1:29" ht="13.5" customHeight="1" x14ac:dyDescent="0.2">
      <c r="A11" s="963" t="s">
        <v>1502</v>
      </c>
      <c r="B11" s="964"/>
      <c r="C11" s="965"/>
      <c r="D11" s="970"/>
      <c r="E11" s="965"/>
      <c r="F11" s="969"/>
      <c r="G11" s="2519" t="str">
        <f>COVER!T19</f>
        <v>ST. LOUIS</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KEITH@AFEWCPAS.COM</v>
      </c>
      <c r="J13" s="2532"/>
      <c r="K13" s="2532"/>
      <c r="L13" s="2533"/>
    </row>
    <row r="14" spans="1:29" ht="13.5" customHeight="1" x14ac:dyDescent="0.2">
      <c r="A14" s="2519" t="str">
        <f>COVER!A19</f>
        <v>40 SIGNAL HILL PLACE</v>
      </c>
      <c r="B14" s="2520"/>
      <c r="C14" s="2520"/>
      <c r="D14" s="2520"/>
      <c r="E14" s="2520"/>
      <c r="F14" s="2521"/>
      <c r="G14" s="974" t="s">
        <v>1175</v>
      </c>
      <c r="H14" s="972"/>
      <c r="I14" s="972"/>
      <c r="J14" s="972"/>
      <c r="K14" s="972"/>
      <c r="L14" s="973"/>
    </row>
    <row r="15" spans="1:29" ht="13.5" customHeight="1" x14ac:dyDescent="0.2">
      <c r="A15" s="2519" t="str">
        <f>COVER!A21</f>
        <v>BELLEVILLE</v>
      </c>
      <c r="B15" s="2520"/>
      <c r="C15" s="2520"/>
      <c r="D15" s="2520"/>
      <c r="E15" s="2520"/>
      <c r="F15" s="2521"/>
      <c r="G15" s="2516" t="str">
        <f>COVER!T15</f>
        <v>KEITH SLUSSER</v>
      </c>
      <c r="H15" s="2517"/>
      <c r="I15" s="2517"/>
      <c r="J15" s="2517"/>
      <c r="K15" s="2517"/>
      <c r="L15" s="2518"/>
    </row>
    <row r="16" spans="1:29" ht="12.2" customHeight="1" x14ac:dyDescent="0.2">
      <c r="A16" s="2542">
        <f>COVER!A25</f>
        <v>62223</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314-845-7999</v>
      </c>
      <c r="H18" s="2537"/>
      <c r="I18" s="2537"/>
      <c r="J18" s="2537"/>
      <c r="K18" s="2536" t="str">
        <f>COVER!X21</f>
        <v>314-845-7770</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Signal Hill SD 181</v>
      </c>
      <c r="B1" s="2559"/>
      <c r="C1" s="2559"/>
      <c r="D1" s="2559"/>
    </row>
    <row r="2" spans="1:11" s="991" customFormat="1" ht="12.75" x14ac:dyDescent="0.2">
      <c r="A2" s="2560" t="str">
        <f>'Single Audit Cover'!E7</f>
        <v>50082181002   Signal Hill SD 181</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Signal Hill SD 181</v>
      </c>
      <c r="B1" s="2563"/>
      <c r="C1" s="2563"/>
      <c r="D1" s="2563"/>
      <c r="E1" s="2563"/>
    </row>
    <row r="2" spans="1:5" x14ac:dyDescent="0.2">
      <c r="A2" s="2564" t="str">
        <f>'Single Audit Cover'!E7</f>
        <v>50082181002   Signal Hill SD 181</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343380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16551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359931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359931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359931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Signal Hill SD 181</v>
      </c>
      <c r="C1" s="2567"/>
      <c r="D1" s="2567"/>
      <c r="E1" s="2567"/>
      <c r="F1" s="2567"/>
      <c r="G1" s="2567"/>
      <c r="H1" s="2567"/>
      <c r="I1" s="2567"/>
      <c r="J1" s="2567"/>
      <c r="K1" s="2567"/>
      <c r="L1" s="2567"/>
      <c r="M1" s="2567"/>
    </row>
    <row r="2" spans="2:14" ht="15" x14ac:dyDescent="0.2">
      <c r="B2" s="2568" t="str">
        <f>'Single Audit Cover'!E7</f>
        <v>50082181002   Signal Hill SD 181</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Signal Hill SD 181</v>
      </c>
      <c r="B1" s="2580"/>
      <c r="C1" s="2580"/>
      <c r="D1" s="2580"/>
      <c r="E1" s="2580"/>
      <c r="F1" s="2580"/>
    </row>
    <row r="2" spans="1:7" ht="13.5" customHeight="1" x14ac:dyDescent="0.2">
      <c r="A2" s="2568" t="str">
        <f>'Single Audit Cover'!E7</f>
        <v>50082181002   Signal Hill SD 181</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5"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2063</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t="s">
        <v>2083</v>
      </c>
      <c r="E118" s="300"/>
      <c r="F118" s="2037">
        <v>44119</v>
      </c>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Signal Hill SD 181</v>
      </c>
      <c r="C1" s="2595"/>
      <c r="D1" s="2595"/>
      <c r="E1" s="2595"/>
      <c r="F1" s="2595"/>
      <c r="G1" s="2595"/>
      <c r="H1" s="2595"/>
      <c r="I1" s="2595"/>
      <c r="J1" s="1178"/>
    </row>
    <row r="2" spans="2:10" s="295" customFormat="1" ht="12.75" customHeight="1" x14ac:dyDescent="0.2">
      <c r="B2" s="2596" t="str">
        <f>'Single Audit Cover'!E7</f>
        <v>50082181002   Signal Hill SD 181</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8" t="str">
        <f>"Total Federal Expenditures for 7/1/"&amp;MID('AFR20'!E2,3,2)-1&amp;"-6/30/"&amp;MID('AFR20'!E2,3,2)</f>
        <v>Total Federal Expenditures for 7/1/19-6/30/20</v>
      </c>
      <c r="C45" s="1919"/>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Signal Hill SD 181</v>
      </c>
      <c r="C1" s="2594"/>
      <c r="D1" s="2594"/>
      <c r="E1" s="2594"/>
      <c r="F1" s="2594"/>
      <c r="G1" s="2594"/>
      <c r="H1" s="2594"/>
      <c r="I1" s="2594"/>
      <c r="J1" s="2594"/>
      <c r="K1" s="2594"/>
      <c r="L1" s="1144"/>
      <c r="M1" s="1144"/>
    </row>
    <row r="2" spans="1:13" ht="12" customHeight="1" x14ac:dyDescent="0.2">
      <c r="B2" s="2596" t="str">
        <f>'Single Audit Cover'!E7</f>
        <v>50082181002   Signal Hill SD 181</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Signal Hill SD 181</v>
      </c>
      <c r="C1" s="2617"/>
      <c r="D1" s="2617"/>
      <c r="E1" s="2617"/>
      <c r="F1" s="2617"/>
      <c r="G1" s="2617"/>
      <c r="H1" s="2617"/>
      <c r="I1" s="2617"/>
      <c r="J1" s="2617"/>
      <c r="K1" s="2617"/>
      <c r="L1" s="1221"/>
    </row>
    <row r="2" spans="1:12" ht="12.75" customHeight="1" x14ac:dyDescent="0.2">
      <c r="B2" s="2618" t="str">
        <f>'Single Audit Cover'!E7</f>
        <v>50082181002   Signal Hill SD 181</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Signal Hill SD 181</v>
      </c>
      <c r="C1" s="2594"/>
      <c r="D1" s="2594"/>
      <c r="E1" s="1240"/>
    </row>
    <row r="2" spans="2:5" s="1058" customFormat="1" ht="12.75" customHeight="1" x14ac:dyDescent="0.2">
      <c r="B2" s="2596" t="str">
        <f>'Single Audit Cover'!E7</f>
        <v>50082181002   Signal Hill SD 181</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39942555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1.9699999999999999E-2</v>
      </c>
      <c r="E10" s="333" t="s">
        <v>998</v>
      </c>
      <c r="F10" s="332">
        <v>5.5999999999999999E-3</v>
      </c>
      <c r="G10" s="333" t="s">
        <v>998</v>
      </c>
      <c r="H10" s="332">
        <v>1.1999999999999999E-3</v>
      </c>
      <c r="I10" s="333" t="s">
        <v>999</v>
      </c>
      <c r="J10" s="1424">
        <f>ROUND(D10+F10+H10,5)</f>
        <v>2.6499999999999999E-2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3409759</v>
      </c>
      <c r="E16" s="1547"/>
      <c r="F16" s="1546">
        <f>SUM('Acct Summary 7-8'!C17,'Acct Summary 7-8'!D17,'Acct Summary 7-8'!F17)</f>
        <v>4085645</v>
      </c>
      <c r="G16" s="1547"/>
      <c r="H16" s="1546">
        <f>SUM(D16-F16)</f>
        <v>-675886</v>
      </c>
      <c r="I16" s="1548"/>
      <c r="J16" s="1546">
        <f>SUM('Acct Summary 7-8'!C81,'Acct Summary 7-8'!D81,'Acct Summary 7-8'!F81,'Acct Summary 7-8'!I81)</f>
        <v>2787653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2066</v>
      </c>
      <c r="C31" s="344" t="s">
        <v>582</v>
      </c>
      <c r="D31" s="232" t="s">
        <v>1063</v>
      </c>
      <c r="E31" s="217"/>
      <c r="F31" s="217"/>
      <c r="G31" s="340"/>
      <c r="H31" s="1425">
        <f>IF(B31="X",(J7*0.069),IF(B32="X",(J7*0.138),"Enter x in a.or b."))</f>
        <v>2756036.2950000004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2455000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K12" sqref="K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Signal Hill SD 181</v>
      </c>
      <c r="E7" s="368"/>
      <c r="G7" s="247"/>
      <c r="H7" s="364"/>
      <c r="I7" s="364"/>
      <c r="J7" s="364"/>
      <c r="K7" s="364"/>
      <c r="L7" s="307"/>
      <c r="M7" s="307"/>
      <c r="N7" s="307"/>
      <c r="O7" s="307"/>
      <c r="P7" s="307"/>
    </row>
    <row r="8" spans="1:18" ht="12.75" x14ac:dyDescent="0.2">
      <c r="A8" s="307"/>
      <c r="B8" s="307"/>
      <c r="C8" s="366" t="s">
        <v>1115</v>
      </c>
      <c r="D8" s="369" t="str">
        <f>COVER!A13</f>
        <v>50082181002   Signal Hill SD 181</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2787653</v>
      </c>
      <c r="I12" s="380"/>
      <c r="J12" s="380"/>
      <c r="K12" s="1559">
        <f>TRUNC((H12/H13*100000),5)/100000</f>
        <v>0.81755132840000011</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3409759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4085645</v>
      </c>
      <c r="I17" s="380"/>
      <c r="J17" s="389"/>
      <c r="K17" s="1559">
        <f>TRUNC((H17/H18*100000),5)/100000</f>
        <v>1.1982210472000001</v>
      </c>
      <c r="L17" s="381"/>
      <c r="M17" s="390" t="s">
        <v>1161</v>
      </c>
      <c r="O17" s="1565" t="str">
        <f>IF(AND(O16="2", J20 &gt; 2),"1",IF(AND(O16 = "1", J20 &gt; 2),"2",IF(AND(O16="1", J20 &gt;1),"1","0")))</f>
        <v>1</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3409759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3.6199552000000002</v>
      </c>
      <c r="K20" s="1559">
        <f>IF(K17&lt;=1,"0",IF(AND(O16="2", J20 &gt; 2),TRUNC(((K12-0.1)/(K17-1)*100),5)/100,IF(AND(O16 = "1", J20 &gt; 2),TRUNC(((K12-0.1)/(K17-1)*100),5)/100,IF(AND(O16="1", J20 &gt;1),TRUNC(((K12-0.1)/(K17-1)*100),5)/100,""))))</f>
        <v>3.6199552000000002</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2787653</v>
      </c>
      <c r="I24" s="394"/>
      <c r="J24" s="394"/>
      <c r="K24" s="1555">
        <f>TRUNC(((H24/H25*100000)/100000),2)</f>
        <v>245.62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11349.01389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899706.05137999996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2455000</v>
      </c>
      <c r="I32" s="392"/>
      <c r="J32" s="392"/>
      <c r="K32" s="1555">
        <f>TRUNC(100-((((H32/H33*100))*100)/100),2)</f>
        <v>10.92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2756036.2950000004</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6" colorId="8" zoomScaleNormal="100" workbookViewId="0">
      <selection activeCell="E41" sqref="E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1488286</v>
      </c>
      <c r="D4" s="1573">
        <v>290081</v>
      </c>
      <c r="E4" s="1573">
        <v>298511</v>
      </c>
      <c r="F4" s="1573">
        <v>510738</v>
      </c>
      <c r="G4" s="1573">
        <v>158150</v>
      </c>
      <c r="H4" s="1573">
        <v>0</v>
      </c>
      <c r="I4" s="1573">
        <v>498548</v>
      </c>
      <c r="J4" s="1574">
        <v>405298</v>
      </c>
      <c r="K4" s="1573">
        <v>1195973</v>
      </c>
      <c r="L4" s="1573">
        <v>34964</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1488286</v>
      </c>
      <c r="D13" s="1587">
        <f t="shared" ref="D13:L13" si="0">SUM(D4:D12)</f>
        <v>290081</v>
      </c>
      <c r="E13" s="1587">
        <f t="shared" si="0"/>
        <v>298511</v>
      </c>
      <c r="F13" s="1587">
        <f t="shared" si="0"/>
        <v>510738</v>
      </c>
      <c r="G13" s="1587">
        <f t="shared" si="0"/>
        <v>158150</v>
      </c>
      <c r="H13" s="1587">
        <f t="shared" si="0"/>
        <v>0</v>
      </c>
      <c r="I13" s="1587">
        <f t="shared" si="0"/>
        <v>498548</v>
      </c>
      <c r="J13" s="1587">
        <f t="shared" si="0"/>
        <v>405298</v>
      </c>
      <c r="K13" s="1587">
        <f t="shared" si="0"/>
        <v>1195973</v>
      </c>
      <c r="L13" s="1587">
        <f t="shared" si="0"/>
        <v>34964</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78859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4377715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17646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418122</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298511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2156489</v>
      </c>
    </row>
    <row r="23" spans="1:14" ht="13.5" customHeight="1" thickBot="1" x14ac:dyDescent="0.25">
      <c r="A23" s="1426" t="s">
        <v>638</v>
      </c>
      <c r="B23" s="1429"/>
      <c r="C23" s="1575"/>
      <c r="D23" s="1575"/>
      <c r="E23" s="1575"/>
      <c r="F23" s="1575"/>
      <c r="G23" s="1575"/>
      <c r="H23" s="1575"/>
      <c r="I23" s="1575"/>
      <c r="J23" s="1575"/>
      <c r="K23" s="1575"/>
      <c r="L23" s="1575"/>
      <c r="M23" s="1594">
        <f>SUM(M15:M22)</f>
        <v>4892342</v>
      </c>
      <c r="N23" s="1594">
        <f>SUM(N21:N22)</f>
        <v>2455000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34964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34964</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2455000</v>
      </c>
    </row>
    <row r="37" spans="1:14" ht="13.5" thickBot="1" x14ac:dyDescent="0.25">
      <c r="A37" s="1426" t="s">
        <v>648</v>
      </c>
      <c r="B37" s="1429"/>
      <c r="C37" s="1582"/>
      <c r="D37" s="1582"/>
      <c r="E37" s="1582"/>
      <c r="F37" s="1582"/>
      <c r="G37" s="1582"/>
      <c r="H37" s="1582"/>
      <c r="I37" s="1582"/>
      <c r="J37" s="1582"/>
      <c r="K37" s="1582"/>
      <c r="L37" s="1585"/>
      <c r="M37" s="1575"/>
      <c r="N37" s="1594">
        <f>SUM(N36:N36)</f>
        <v>2455000</v>
      </c>
    </row>
    <row r="38" spans="1:14" s="307" customFormat="1" ht="13.5" customHeight="1" thickTop="1" x14ac:dyDescent="0.2">
      <c r="A38" s="438" t="s">
        <v>417</v>
      </c>
      <c r="B38" s="432">
        <v>714</v>
      </c>
      <c r="C38" s="1573">
        <v>35517</v>
      </c>
      <c r="D38" s="1573">
        <v>8274</v>
      </c>
      <c r="E38" s="1573">
        <v>298511</v>
      </c>
      <c r="F38" s="1573">
        <v>510738</v>
      </c>
      <c r="G38" s="1573">
        <v>158150</v>
      </c>
      <c r="H38" s="1573">
        <v>0</v>
      </c>
      <c r="I38" s="1573">
        <v>498548</v>
      </c>
      <c r="J38" s="1574">
        <v>405298</v>
      </c>
      <c r="K38" s="1573">
        <v>1195973</v>
      </c>
      <c r="L38" s="1586"/>
      <c r="M38" s="1604"/>
      <c r="N38" s="1604"/>
    </row>
    <row r="39" spans="1:14" s="307" customFormat="1" ht="13.5" customHeight="1" x14ac:dyDescent="0.2">
      <c r="A39" s="438" t="s">
        <v>339</v>
      </c>
      <c r="B39" s="432">
        <v>730</v>
      </c>
      <c r="C39" s="1573">
        <v>1452769</v>
      </c>
      <c r="D39" s="1573">
        <v>281807</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4892342</v>
      </c>
      <c r="N40" s="1604"/>
    </row>
    <row r="41" spans="1:14" ht="13.5" customHeight="1" thickBot="1" x14ac:dyDescent="0.25">
      <c r="A41" s="1426" t="s">
        <v>650</v>
      </c>
      <c r="B41" s="1405"/>
      <c r="C41" s="1594">
        <f>(SUM(C34,C37,C38,C39))</f>
        <v>1488286</v>
      </c>
      <c r="D41" s="1594">
        <f t="shared" ref="D41:L41" si="2">SUM(D34,D37,D38:D39)</f>
        <v>290081</v>
      </c>
      <c r="E41" s="1594">
        <f t="shared" si="2"/>
        <v>298511</v>
      </c>
      <c r="F41" s="1594">
        <f t="shared" si="2"/>
        <v>510738</v>
      </c>
      <c r="G41" s="1594">
        <f t="shared" si="2"/>
        <v>158150</v>
      </c>
      <c r="H41" s="1594">
        <f t="shared" si="2"/>
        <v>0</v>
      </c>
      <c r="I41" s="1594">
        <f t="shared" si="2"/>
        <v>498548</v>
      </c>
      <c r="J41" s="1594">
        <f t="shared" si="2"/>
        <v>405298</v>
      </c>
      <c r="K41" s="1594">
        <f t="shared" si="2"/>
        <v>1195973</v>
      </c>
      <c r="L41" s="1594">
        <f t="shared" si="2"/>
        <v>34964</v>
      </c>
      <c r="M41" s="1594">
        <f>SUM(M40)</f>
        <v>4892342</v>
      </c>
      <c r="N41" s="1594">
        <f>SUM(N37)</f>
        <v>2455000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57" activePane="bottomLeft" state="frozen"/>
      <selection pane="bottomLeft" activeCell="A75" sqref="A7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896618</v>
      </c>
      <c r="D4" s="1606">
        <f>'Revenues 9-14'!D109</f>
        <v>229353</v>
      </c>
      <c r="E4" s="1606">
        <f>'Revenues 9-14'!E109</f>
        <v>149386</v>
      </c>
      <c r="F4" s="1606">
        <f>'Revenues 9-14'!F109</f>
        <v>39183</v>
      </c>
      <c r="G4" s="1606">
        <f>'Revenues 9-14'!G109</f>
        <v>66900</v>
      </c>
      <c r="H4" s="1606">
        <f>'Revenues 9-14'!H109</f>
        <v>0</v>
      </c>
      <c r="I4" s="1606">
        <f>'Revenues 9-14'!I109</f>
        <v>19038</v>
      </c>
      <c r="J4" s="1606">
        <f>'Revenues 9-14'!J109</f>
        <v>252823</v>
      </c>
      <c r="K4" s="1606">
        <f>'Revenues 9-14'!K109</f>
        <v>17570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1862736</v>
      </c>
      <c r="D6" s="1607">
        <f>'Revenues 9-14'!D170</f>
        <v>0</v>
      </c>
      <c r="E6" s="1607">
        <f>'Revenues 9-14'!E170</f>
        <v>0</v>
      </c>
      <c r="F6" s="1607">
        <f>'Revenues 9-14'!F170</f>
        <v>19451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343380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3102734</v>
      </c>
      <c r="D8" s="1594">
        <f t="shared" ref="D8:K8" si="0">SUM(D4:D7)</f>
        <v>229353</v>
      </c>
      <c r="E8" s="1594">
        <f t="shared" si="0"/>
        <v>149386</v>
      </c>
      <c r="F8" s="1594">
        <f t="shared" si="0"/>
        <v>58634</v>
      </c>
      <c r="G8" s="1594">
        <f t="shared" si="0"/>
        <v>66900</v>
      </c>
      <c r="H8" s="1594">
        <f t="shared" si="0"/>
        <v>0</v>
      </c>
      <c r="I8" s="1594">
        <f t="shared" si="0"/>
        <v>19038</v>
      </c>
      <c r="J8" s="1594">
        <f t="shared" si="0"/>
        <v>252823</v>
      </c>
      <c r="K8" s="1594">
        <f t="shared" si="0"/>
        <v>17570</v>
      </c>
      <c r="L8" s="325"/>
    </row>
    <row r="9" spans="1:13" ht="15.75" thickTop="1" x14ac:dyDescent="0.2">
      <c r="A9" s="449" t="s">
        <v>1634</v>
      </c>
      <c r="B9" s="450">
        <v>3998</v>
      </c>
      <c r="C9" s="1586">
        <v>1795431</v>
      </c>
      <c r="D9" s="1613"/>
      <c r="E9" s="1586"/>
      <c r="F9" s="1586"/>
      <c r="G9" s="1614"/>
      <c r="H9" s="1586"/>
      <c r="I9" s="1609" t="s">
        <v>1159</v>
      </c>
      <c r="J9" s="1583"/>
      <c r="K9" s="1586"/>
      <c r="L9" s="325"/>
    </row>
    <row r="10" spans="1:13" s="452" customFormat="1" ht="13.5" thickBot="1" x14ac:dyDescent="0.25">
      <c r="A10" s="1426" t="s">
        <v>1163</v>
      </c>
      <c r="B10" s="1407"/>
      <c r="C10" s="1594">
        <f>SUM(C8:C9)</f>
        <v>4898165</v>
      </c>
      <c r="D10" s="1594">
        <f t="shared" ref="D10:K10" si="1">SUM(D8:D9)</f>
        <v>229353</v>
      </c>
      <c r="E10" s="1594">
        <f t="shared" si="1"/>
        <v>149386</v>
      </c>
      <c r="F10" s="1594">
        <f t="shared" si="1"/>
        <v>58634</v>
      </c>
      <c r="G10" s="1594">
        <f t="shared" si="1"/>
        <v>66900</v>
      </c>
      <c r="H10" s="1594">
        <f t="shared" si="1"/>
        <v>0</v>
      </c>
      <c r="I10" s="1594">
        <f t="shared" si="1"/>
        <v>19038</v>
      </c>
      <c r="J10" s="1594">
        <f t="shared" si="1"/>
        <v>252823</v>
      </c>
      <c r="K10" s="1594">
        <f t="shared" si="1"/>
        <v>17570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2451957</v>
      </c>
      <c r="D12" s="1616" t="s">
        <v>1159</v>
      </c>
      <c r="E12" s="1575" t="s">
        <v>1159</v>
      </c>
      <c r="F12" s="1575" t="s">
        <v>1159</v>
      </c>
      <c r="G12" s="1606">
        <f>'Expenditures 15-22'!K229</f>
        <v>40899</v>
      </c>
      <c r="H12" s="1617"/>
      <c r="I12" s="1575" t="s">
        <v>1159</v>
      </c>
      <c r="J12" s="1575" t="s">
        <v>1159</v>
      </c>
      <c r="K12" s="1617" t="s">
        <v>1159</v>
      </c>
      <c r="L12" s="325"/>
    </row>
    <row r="13" spans="1:13" ht="15.75" customHeight="1" x14ac:dyDescent="0.2">
      <c r="A13" s="1314" t="s">
        <v>454</v>
      </c>
      <c r="B13" s="1316">
        <v>2000</v>
      </c>
      <c r="C13" s="1607">
        <f>'Expenditures 15-22'!K74</f>
        <v>557522</v>
      </c>
      <c r="D13" s="1607">
        <f>'Expenditures 15-22'!K129</f>
        <v>617297</v>
      </c>
      <c r="E13" s="1576" t="s">
        <v>1159</v>
      </c>
      <c r="F13" s="1607">
        <f>'Expenditures 15-22'!K184</f>
        <v>15263</v>
      </c>
      <c r="G13" s="1607">
        <f>'Expenditures 15-22'!K279</f>
        <v>55627</v>
      </c>
      <c r="H13" s="1607">
        <f>'Expenditures 15-22'!K303</f>
        <v>0</v>
      </c>
      <c r="I13" s="1575" t="s">
        <v>1159</v>
      </c>
      <c r="J13" s="1607">
        <f>'Expenditures 15-22'!K330</f>
        <v>304757</v>
      </c>
      <c r="K13" s="1618">
        <f>'Expenditures 15-22'!K352</f>
        <v>418128</v>
      </c>
      <c r="L13" s="325"/>
    </row>
    <row r="14" spans="1:13" ht="15.75" customHeight="1" x14ac:dyDescent="0.2">
      <c r="A14" s="1314" t="s">
        <v>446</v>
      </c>
      <c r="B14" s="1316">
        <v>3000</v>
      </c>
      <c r="C14" s="1607">
        <f>'Expenditures 15-22'!K75</f>
        <v>40503</v>
      </c>
      <c r="D14" s="1607">
        <f>'Expenditures 15-22'!K130</f>
        <v>0</v>
      </c>
      <c r="E14" s="1616" t="s">
        <v>1159</v>
      </c>
      <c r="F14" s="1607">
        <f>'Expenditures 15-22'!K185</f>
        <v>0</v>
      </c>
      <c r="G14" s="1607">
        <f>'Expenditures 15-22'!K280</f>
        <v>72</v>
      </c>
      <c r="H14" s="1612"/>
      <c r="I14" s="1575" t="s">
        <v>1159</v>
      </c>
      <c r="J14" s="1575" t="s">
        <v>1159</v>
      </c>
      <c r="K14" s="1612" t="s">
        <v>1159</v>
      </c>
      <c r="L14" s="325"/>
    </row>
    <row r="15" spans="1:13" ht="15.75" customHeight="1" x14ac:dyDescent="0.2">
      <c r="A15" s="1314" t="s">
        <v>107</v>
      </c>
      <c r="B15" s="1316">
        <v>4000</v>
      </c>
      <c r="C15" s="1607">
        <f>'Expenditures 15-22'!K102</f>
        <v>403103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1440258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3453085</v>
      </c>
      <c r="D17" s="1594">
        <f t="shared" si="2"/>
        <v>617297</v>
      </c>
      <c r="E17" s="1594">
        <f t="shared" si="2"/>
        <v>1440258</v>
      </c>
      <c r="F17" s="1594">
        <f t="shared" si="2"/>
        <v>15263</v>
      </c>
      <c r="G17" s="1594">
        <f t="shared" si="2"/>
        <v>96598</v>
      </c>
      <c r="H17" s="1594">
        <f t="shared" si="2"/>
        <v>0</v>
      </c>
      <c r="I17" s="1575"/>
      <c r="J17" s="1594">
        <f>SUM(J12:J16)</f>
        <v>304757</v>
      </c>
      <c r="K17" s="1594">
        <f>SUM(K12:K16)</f>
        <v>418128</v>
      </c>
      <c r="L17" s="325"/>
    </row>
    <row r="18" spans="1:12" ht="15" customHeight="1" thickTop="1" x14ac:dyDescent="0.2">
      <c r="A18" s="1430" t="s">
        <v>1635</v>
      </c>
      <c r="B18" s="1431">
        <v>4180</v>
      </c>
      <c r="C18" s="1606">
        <f t="shared" ref="C18:H18" si="3">C9</f>
        <v>1795431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5248516</v>
      </c>
      <c r="D19" s="1594">
        <f t="shared" si="4"/>
        <v>617297</v>
      </c>
      <c r="E19" s="1594">
        <f t="shared" si="4"/>
        <v>1440258</v>
      </c>
      <c r="F19" s="1594">
        <f t="shared" si="4"/>
        <v>15263</v>
      </c>
      <c r="G19" s="1594">
        <f t="shared" si="4"/>
        <v>96598</v>
      </c>
      <c r="H19" s="1594">
        <f t="shared" si="4"/>
        <v>0</v>
      </c>
      <c r="I19" s="1575"/>
      <c r="J19" s="1594">
        <f>SUM(J17:J18)</f>
        <v>304757</v>
      </c>
      <c r="K19" s="1594">
        <f>SUM(K17:K18)</f>
        <v>418128</v>
      </c>
      <c r="L19" s="325"/>
    </row>
    <row r="20" spans="1:12" ht="16.5" thickTop="1" thickBot="1" x14ac:dyDescent="0.25">
      <c r="A20" s="2232" t="s">
        <v>1636</v>
      </c>
      <c r="B20" s="2233"/>
      <c r="C20" s="1622">
        <f>C8-C17</f>
        <v>-350351</v>
      </c>
      <c r="D20" s="1622">
        <f t="shared" ref="D20:K20" si="5">D8-D17</f>
        <v>-387944</v>
      </c>
      <c r="E20" s="1622">
        <f t="shared" si="5"/>
        <v>-1290872</v>
      </c>
      <c r="F20" s="1622">
        <f t="shared" si="5"/>
        <v>43371</v>
      </c>
      <c r="G20" s="1622">
        <f t="shared" si="5"/>
        <v>-29698</v>
      </c>
      <c r="H20" s="1622">
        <f t="shared" si="5"/>
        <v>0</v>
      </c>
      <c r="I20" s="1622">
        <f t="shared" si="5"/>
        <v>19038</v>
      </c>
      <c r="J20" s="1622">
        <f t="shared" si="5"/>
        <v>-51934</v>
      </c>
      <c r="K20" s="1622">
        <f t="shared" si="5"/>
        <v>-400558</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v>1237600</v>
      </c>
      <c r="F33" s="1574"/>
      <c r="G33" s="1582"/>
      <c r="H33" s="1574"/>
      <c r="I33" s="1574"/>
      <c r="J33" s="1574"/>
      <c r="K33" s="1574">
        <v>1217400</v>
      </c>
      <c r="L33" s="453"/>
    </row>
    <row r="34" spans="1:12" s="433" customFormat="1" x14ac:dyDescent="0.2">
      <c r="A34" s="1260" t="s">
        <v>994</v>
      </c>
      <c r="B34" s="454">
        <v>7220</v>
      </c>
      <c r="C34" s="1574"/>
      <c r="D34" s="1574"/>
      <c r="E34" s="1574"/>
      <c r="F34" s="1574"/>
      <c r="G34" s="1582"/>
      <c r="H34" s="1583"/>
      <c r="I34" s="1583"/>
      <c r="J34" s="1583"/>
      <c r="K34" s="1583">
        <v>133971</v>
      </c>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v>3852</v>
      </c>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1237600</v>
      </c>
      <c r="F44" s="1624">
        <f t="shared" si="6"/>
        <v>3852</v>
      </c>
      <c r="G44" s="1624">
        <f t="shared" si="6"/>
        <v>0</v>
      </c>
      <c r="H44" s="1624">
        <f t="shared" si="6"/>
        <v>0</v>
      </c>
      <c r="I44" s="1624">
        <f t="shared" si="6"/>
        <v>0</v>
      </c>
      <c r="J44" s="1624">
        <f t="shared" si="6"/>
        <v>0</v>
      </c>
      <c r="K44" s="1624">
        <f t="shared" si="6"/>
        <v>1351371</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v>3852</v>
      </c>
      <c r="D75" s="1627"/>
      <c r="E75" s="1626"/>
      <c r="F75" s="1628"/>
      <c r="G75" s="1628"/>
      <c r="H75" s="1628"/>
      <c r="I75" s="1626"/>
      <c r="J75" s="1626"/>
      <c r="K75" s="1628">
        <v>79074</v>
      </c>
      <c r="L75" s="453"/>
    </row>
    <row r="76" spans="1:12" s="433" customFormat="1" ht="14.25" thickTop="1" thickBot="1" x14ac:dyDescent="0.25">
      <c r="A76" s="2222" t="s">
        <v>437</v>
      </c>
      <c r="B76" s="2223"/>
      <c r="C76" s="1624">
        <f t="shared" ref="C76:K76" si="7">SUM(C47:C75)</f>
        <v>3852</v>
      </c>
      <c r="D76" s="1624">
        <f t="shared" si="7"/>
        <v>0</v>
      </c>
      <c r="E76" s="1624">
        <f t="shared" si="7"/>
        <v>0</v>
      </c>
      <c r="F76" s="1624">
        <f t="shared" si="7"/>
        <v>0</v>
      </c>
      <c r="G76" s="1624">
        <f t="shared" si="7"/>
        <v>0</v>
      </c>
      <c r="H76" s="1624">
        <f t="shared" si="7"/>
        <v>0</v>
      </c>
      <c r="I76" s="1624">
        <f t="shared" si="7"/>
        <v>0</v>
      </c>
      <c r="J76" s="1624">
        <f t="shared" si="7"/>
        <v>0</v>
      </c>
      <c r="K76" s="1624">
        <f t="shared" si="7"/>
        <v>79074</v>
      </c>
      <c r="L76" s="453"/>
    </row>
    <row r="77" spans="1:12" ht="14.25" thickTop="1" thickBot="1" x14ac:dyDescent="0.25">
      <c r="A77" s="2224" t="s">
        <v>1167</v>
      </c>
      <c r="B77" s="2225"/>
      <c r="C77" s="1624">
        <f t="shared" ref="C77:K77" si="8">C44-C76</f>
        <v>-3852</v>
      </c>
      <c r="D77" s="1624">
        <f t="shared" si="8"/>
        <v>0</v>
      </c>
      <c r="E77" s="1624">
        <f t="shared" si="8"/>
        <v>1237600</v>
      </c>
      <c r="F77" s="1624">
        <f t="shared" si="8"/>
        <v>3852</v>
      </c>
      <c r="G77" s="1624">
        <f t="shared" si="8"/>
        <v>0</v>
      </c>
      <c r="H77" s="1624">
        <f t="shared" si="8"/>
        <v>0</v>
      </c>
      <c r="I77" s="1624">
        <f t="shared" si="8"/>
        <v>0</v>
      </c>
      <c r="J77" s="1624">
        <f t="shared" si="8"/>
        <v>0</v>
      </c>
      <c r="K77" s="1624">
        <f t="shared" si="8"/>
        <v>1272297</v>
      </c>
      <c r="L77" s="325"/>
    </row>
    <row r="78" spans="1:12" ht="21.75" customHeight="1" thickTop="1" thickBot="1" x14ac:dyDescent="0.25">
      <c r="A78" s="2228" t="s">
        <v>593</v>
      </c>
      <c r="B78" s="2229"/>
      <c r="C78" s="1629">
        <f t="shared" ref="C78:K78" si="9">C20+C77</f>
        <v>-354203</v>
      </c>
      <c r="D78" s="1629">
        <f t="shared" si="9"/>
        <v>-387944</v>
      </c>
      <c r="E78" s="1629">
        <f t="shared" si="9"/>
        <v>-53272</v>
      </c>
      <c r="F78" s="1629">
        <f t="shared" si="9"/>
        <v>47223</v>
      </c>
      <c r="G78" s="1629">
        <f t="shared" si="9"/>
        <v>-29698</v>
      </c>
      <c r="H78" s="1629">
        <f t="shared" si="9"/>
        <v>0</v>
      </c>
      <c r="I78" s="1629">
        <f t="shared" si="9"/>
        <v>19038</v>
      </c>
      <c r="J78" s="1629">
        <f t="shared" si="9"/>
        <v>-51934</v>
      </c>
      <c r="K78" s="1629">
        <f t="shared" si="9"/>
        <v>871739</v>
      </c>
      <c r="L78" s="457"/>
    </row>
    <row r="79" spans="1:12" ht="13.5" thickTop="1" x14ac:dyDescent="0.2">
      <c r="A79" s="1844" t="str">
        <f>"Fund Balances - July 1, "&amp;'AFR20'!E2-1</f>
        <v>Fund Balances - July 1, 2019</v>
      </c>
      <c r="B79" s="458"/>
      <c r="C79" s="1583">
        <v>1842489</v>
      </c>
      <c r="D79" s="1630">
        <v>678025</v>
      </c>
      <c r="E79" s="1630">
        <v>351783</v>
      </c>
      <c r="F79" s="1630">
        <v>463515</v>
      </c>
      <c r="G79" s="1630">
        <v>187848</v>
      </c>
      <c r="H79" s="1630">
        <v>0</v>
      </c>
      <c r="I79" s="1630">
        <v>479510</v>
      </c>
      <c r="J79" s="1630">
        <v>457232</v>
      </c>
      <c r="K79" s="1630">
        <v>324234</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1488286</v>
      </c>
      <c r="D81" s="1594">
        <f>SUM(D78:D80)</f>
        <v>290081</v>
      </c>
      <c r="E81" s="1594">
        <f t="shared" ref="E81:K81" si="10">SUM(E78:E80)</f>
        <v>298511</v>
      </c>
      <c r="F81" s="1594">
        <f t="shared" si="10"/>
        <v>510738</v>
      </c>
      <c r="G81" s="1594">
        <f t="shared" si="10"/>
        <v>158150</v>
      </c>
      <c r="H81" s="1594">
        <f t="shared" si="10"/>
        <v>0</v>
      </c>
      <c r="I81" s="1594">
        <f t="shared" si="10"/>
        <v>498548</v>
      </c>
      <c r="J81" s="1594">
        <f t="shared" si="10"/>
        <v>405298</v>
      </c>
      <c r="K81" s="1594">
        <f t="shared" si="10"/>
        <v>1195973</v>
      </c>
      <c r="L81" s="325"/>
    </row>
    <row r="82" spans="1:12" ht="0.75" customHeight="1" thickTop="1" thickBot="1" x14ac:dyDescent="0.25">
      <c r="A82" s="459" t="s">
        <v>340</v>
      </c>
      <c r="B82" s="460"/>
      <c r="C82" s="461">
        <f>(C81-C79)</f>
        <v>-354203</v>
      </c>
      <c r="D82" s="461">
        <f t="shared" ref="D82:K82" si="11">(D81-D79)</f>
        <v>-387944</v>
      </c>
      <c r="E82" s="461">
        <f t="shared" si="11"/>
        <v>-53272</v>
      </c>
      <c r="F82" s="461">
        <f t="shared" si="11"/>
        <v>47223</v>
      </c>
      <c r="G82" s="461">
        <f t="shared" si="11"/>
        <v>-29698</v>
      </c>
      <c r="H82" s="461">
        <f t="shared" si="11"/>
        <v>0</v>
      </c>
      <c r="I82" s="461">
        <f t="shared" si="11"/>
        <v>19038</v>
      </c>
      <c r="J82" s="461">
        <f t="shared" si="11"/>
        <v>-51934</v>
      </c>
      <c r="K82" s="461">
        <f t="shared" si="11"/>
        <v>871739</v>
      </c>
    </row>
    <row r="83" spans="1:12" ht="14.25" hidden="1" thickTop="1" thickBot="1" x14ac:dyDescent="0.25">
      <c r="A83" s="462" t="s">
        <v>341</v>
      </c>
      <c r="B83" s="428"/>
      <c r="C83" s="463">
        <f>C82/C81</f>
        <v>-0.23799390708506296</v>
      </c>
      <c r="D83" s="463">
        <f t="shared" ref="D83:K83" si="12">D82/D81</f>
        <v>-1.3373643913251816</v>
      </c>
      <c r="E83" s="463">
        <f t="shared" si="12"/>
        <v>-0.17845908525983967</v>
      </c>
      <c r="F83" s="463">
        <f t="shared" si="12"/>
        <v>9.2460322122105656E-2</v>
      </c>
      <c r="G83" s="463">
        <f t="shared" si="12"/>
        <v>-0.18778374960480557</v>
      </c>
      <c r="H83" s="463" t="e">
        <f t="shared" si="12"/>
        <v>#DIV/0!</v>
      </c>
      <c r="I83" s="463">
        <f t="shared" si="12"/>
        <v>3.818689474233173E-2</v>
      </c>
      <c r="J83" s="463">
        <f t="shared" si="12"/>
        <v>-0.12813781464502663</v>
      </c>
      <c r="K83" s="463">
        <f t="shared" si="12"/>
        <v>0.72889521753417508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xSplit="2" ySplit="2" topLeftCell="C75" activePane="bottomRight" state="frozen"/>
      <selection pane="topRight" activeCell="C1" sqref="C1"/>
      <selection pane="bottomLeft" activeCell="A3" sqref="A3"/>
      <selection pane="bottomRigh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562792</v>
      </c>
      <c r="D5" s="1586">
        <v>161482</v>
      </c>
      <c r="E5" s="1573">
        <v>145940</v>
      </c>
      <c r="F5" s="1631">
        <v>34604</v>
      </c>
      <c r="G5" s="1573">
        <f>65063-30710</f>
        <v>34353</v>
      </c>
      <c r="H5" s="1573"/>
      <c r="I5" s="1573">
        <v>14418</v>
      </c>
      <c r="J5" s="1574">
        <v>248597</v>
      </c>
      <c r="K5" s="1573">
        <v>14418</v>
      </c>
    </row>
    <row r="6" spans="1:12" ht="15" x14ac:dyDescent="0.2">
      <c r="A6" s="427" t="s">
        <v>1643</v>
      </c>
      <c r="B6" s="429">
        <v>1130</v>
      </c>
      <c r="C6" s="1573">
        <v>14418</v>
      </c>
      <c r="D6" s="1573">
        <v>11534</v>
      </c>
      <c r="E6" s="1580"/>
      <c r="F6" s="1580"/>
      <c r="G6" s="1575"/>
      <c r="H6" s="1575"/>
      <c r="I6" s="1575"/>
      <c r="J6" s="1575"/>
      <c r="K6" s="1575"/>
    </row>
    <row r="7" spans="1:12" x14ac:dyDescent="0.2">
      <c r="A7" s="427" t="s">
        <v>110</v>
      </c>
      <c r="B7" s="471">
        <v>1140</v>
      </c>
      <c r="C7" s="1573">
        <v>5768</v>
      </c>
      <c r="D7" s="1573"/>
      <c r="E7" s="1575"/>
      <c r="F7" s="1574"/>
      <c r="G7" s="1574"/>
      <c r="H7" s="1574"/>
      <c r="I7" s="1575"/>
      <c r="J7" s="1575"/>
      <c r="K7" s="1575"/>
    </row>
    <row r="8" spans="1:12" x14ac:dyDescent="0.2">
      <c r="A8" s="427" t="s">
        <v>410</v>
      </c>
      <c r="B8" s="429">
        <v>1150</v>
      </c>
      <c r="C8" s="1580"/>
      <c r="D8" s="1580"/>
      <c r="E8" s="1582"/>
      <c r="F8" s="1582"/>
      <c r="G8" s="1586">
        <v>30710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582978</v>
      </c>
      <c r="D12" s="1633">
        <f t="shared" si="0"/>
        <v>173016</v>
      </c>
      <c r="E12" s="1633">
        <f t="shared" si="0"/>
        <v>145940</v>
      </c>
      <c r="F12" s="1633">
        <f t="shared" si="0"/>
        <v>34604</v>
      </c>
      <c r="G12" s="1633">
        <f t="shared" si="0"/>
        <v>65063</v>
      </c>
      <c r="H12" s="1633">
        <f t="shared" si="0"/>
        <v>0</v>
      </c>
      <c r="I12" s="1633">
        <f t="shared" si="0"/>
        <v>14418</v>
      </c>
      <c r="J12" s="1633">
        <f t="shared" si="0"/>
        <v>248597</v>
      </c>
      <c r="K12" s="1594">
        <f t="shared" si="0"/>
        <v>14418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56741</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56741</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36420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36420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15995</v>
      </c>
      <c r="D65" s="1573">
        <v>4135</v>
      </c>
      <c r="E65" s="1573">
        <v>3446</v>
      </c>
      <c r="F65" s="1574">
        <v>4579</v>
      </c>
      <c r="G65" s="1573">
        <v>1837</v>
      </c>
      <c r="H65" s="1573"/>
      <c r="I65" s="1573">
        <v>4620</v>
      </c>
      <c r="J65" s="1574">
        <v>4226</v>
      </c>
      <c r="K65" s="1573">
        <v>3152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15995</v>
      </c>
      <c r="D67" s="1594">
        <f t="shared" ref="D67:K67" si="2">SUM(D65:D66)</f>
        <v>4135</v>
      </c>
      <c r="E67" s="1594">
        <f t="shared" si="2"/>
        <v>3446</v>
      </c>
      <c r="F67" s="1594">
        <f t="shared" si="2"/>
        <v>4579</v>
      </c>
      <c r="G67" s="1594">
        <f t="shared" si="2"/>
        <v>1837</v>
      </c>
      <c r="H67" s="1594">
        <f t="shared" si="2"/>
        <v>0</v>
      </c>
      <c r="I67" s="1594">
        <f t="shared" si="2"/>
        <v>4620</v>
      </c>
      <c r="J67" s="1594">
        <f t="shared" si="2"/>
        <v>4226</v>
      </c>
      <c r="K67" s="1594">
        <f t="shared" si="2"/>
        <v>3152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19536</v>
      </c>
      <c r="D69" s="1575"/>
      <c r="E69" s="1575"/>
      <c r="F69" s="1575"/>
      <c r="G69" s="1575"/>
      <c r="H69" s="1575"/>
      <c r="I69" s="1575"/>
      <c r="J69" s="1575"/>
      <c r="K69" s="1575"/>
    </row>
    <row r="70" spans="1:11" ht="12.75" customHeight="1" x14ac:dyDescent="0.2">
      <c r="A70" s="427" t="s">
        <v>990</v>
      </c>
      <c r="B70" s="429">
        <v>1612</v>
      </c>
      <c r="C70" s="1632">
        <v>1358</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20894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8078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8078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12995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12995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131926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30591</v>
      </c>
      <c r="D107" s="1573">
        <v>52202</v>
      </c>
      <c r="E107" s="1573"/>
      <c r="F107" s="1573"/>
      <c r="G107" s="1573"/>
      <c r="H107" s="1573"/>
      <c r="I107" s="1573"/>
      <c r="J107" s="1574"/>
      <c r="K107" s="1573"/>
    </row>
    <row r="108" spans="1:12" ht="12.75" customHeight="1" thickBot="1" x14ac:dyDescent="0.25">
      <c r="A108" s="1406" t="s">
        <v>484</v>
      </c>
      <c r="B108" s="1408"/>
      <c r="C108" s="1633">
        <f>SUM(C95:C107)</f>
        <v>162517</v>
      </c>
      <c r="D108" s="1633">
        <f t="shared" ref="D108:K108" si="3">SUM(D95:D107)</f>
        <v>52202</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896618</v>
      </c>
      <c r="D109" s="1641">
        <f t="shared" si="4"/>
        <v>229353</v>
      </c>
      <c r="E109" s="1641">
        <f t="shared" si="4"/>
        <v>149386</v>
      </c>
      <c r="F109" s="1641">
        <f t="shared" si="4"/>
        <v>39183</v>
      </c>
      <c r="G109" s="1641">
        <f t="shared" si="4"/>
        <v>66900</v>
      </c>
      <c r="H109" s="1641">
        <f t="shared" si="4"/>
        <v>0</v>
      </c>
      <c r="I109" s="1641">
        <f t="shared" si="4"/>
        <v>19038</v>
      </c>
      <c r="J109" s="1641">
        <f t="shared" si="4"/>
        <v>252823</v>
      </c>
      <c r="K109" s="1629">
        <f t="shared" si="4"/>
        <v>17570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1647327</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1647327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99201</v>
      </c>
      <c r="D128" s="1640"/>
      <c r="E128" s="1575"/>
      <c r="F128" s="1573"/>
      <c r="G128" s="1575"/>
      <c r="H128" s="1575"/>
      <c r="I128" s="1575"/>
      <c r="J128" s="1575"/>
      <c r="K128" s="1575"/>
    </row>
    <row r="129" spans="1:11" ht="12.75" customHeight="1" x14ac:dyDescent="0.2">
      <c r="A129" s="427" t="s">
        <v>1430</v>
      </c>
      <c r="B129" s="478">
        <v>3130</v>
      </c>
      <c r="C129" s="1573">
        <v>5538</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104739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10385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20</v>
      </c>
      <c r="G152" s="1574"/>
      <c r="H152" s="1575"/>
      <c r="I152" s="1575"/>
      <c r="J152" s="1575"/>
      <c r="K152" s="1575"/>
    </row>
    <row r="153" spans="1:11" ht="12.75" customHeight="1" x14ac:dyDescent="0.2">
      <c r="A153" s="427" t="s">
        <v>1048</v>
      </c>
      <c r="B153" s="478">
        <v>3510</v>
      </c>
      <c r="C153" s="1632"/>
      <c r="D153" s="1573"/>
      <c r="E153" s="1640"/>
      <c r="F153" s="1573">
        <v>19431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19451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98785</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1500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215409</v>
      </c>
      <c r="D169" s="1658">
        <f t="shared" si="6"/>
        <v>0</v>
      </c>
      <c r="E169" s="1658">
        <f t="shared" si="6"/>
        <v>0</v>
      </c>
      <c r="F169" s="1658">
        <f t="shared" si="6"/>
        <v>19451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1862736</v>
      </c>
      <c r="D170" s="1641">
        <f t="shared" si="7"/>
        <v>0</v>
      </c>
      <c r="E170" s="1641">
        <f t="shared" si="7"/>
        <v>0</v>
      </c>
      <c r="F170" s="1641">
        <f t="shared" si="7"/>
        <v>19451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66950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19321</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86271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143470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143470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4498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4498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78916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78916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v>17295</v>
      </c>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12930</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343380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343380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3102734</v>
      </c>
      <c r="D268" s="1641">
        <f t="shared" si="12"/>
        <v>229353</v>
      </c>
      <c r="E268" s="1641">
        <f t="shared" si="12"/>
        <v>149386</v>
      </c>
      <c r="F268" s="1641">
        <f t="shared" si="12"/>
        <v>58634</v>
      </c>
      <c r="G268" s="1641">
        <f t="shared" si="12"/>
        <v>66900</v>
      </c>
      <c r="H268" s="1641">
        <f t="shared" si="12"/>
        <v>0</v>
      </c>
      <c r="I268" s="1641">
        <f t="shared" si="12"/>
        <v>19038</v>
      </c>
      <c r="J268" s="1641">
        <f t="shared" si="12"/>
        <v>252823</v>
      </c>
      <c r="K268" s="1629">
        <f t="shared" si="12"/>
        <v>17570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0" zoomScaleNormal="80" workbookViewId="0">
      <pane ySplit="2" topLeftCell="A333" activePane="bottomLeft" state="frozen"/>
      <selection pane="bottomLeft" activeCell="H171" sqref="H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1518533</v>
      </c>
      <c r="D5" s="1573">
        <v>344837</v>
      </c>
      <c r="E5" s="1573">
        <v>19525</v>
      </c>
      <c r="F5" s="1573">
        <v>118153</v>
      </c>
      <c r="G5" s="1573"/>
      <c r="H5" s="1573"/>
      <c r="I5" s="1574"/>
      <c r="J5" s="1574"/>
      <c r="K5" s="1672">
        <f>SUM(C5:J5)</f>
        <v>2001048</v>
      </c>
      <c r="L5" s="1573">
        <v>2027765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5998</v>
      </c>
      <c r="D7" s="1574"/>
      <c r="E7" s="1574"/>
      <c r="F7" s="1574"/>
      <c r="G7" s="1574"/>
      <c r="H7" s="1574"/>
      <c r="I7" s="1574"/>
      <c r="J7" s="1574"/>
      <c r="K7" s="1672">
        <f t="shared" ref="K7:K32" si="0">SUM(C7:J7)</f>
        <v>5998</v>
      </c>
      <c r="L7" s="1573">
        <v>5000</v>
      </c>
    </row>
    <row r="8" spans="1:14" x14ac:dyDescent="0.2">
      <c r="A8" s="1274" t="s">
        <v>163</v>
      </c>
      <c r="B8" s="503">
        <v>1200</v>
      </c>
      <c r="C8" s="1573">
        <v>89342</v>
      </c>
      <c r="D8" s="1573">
        <v>16209</v>
      </c>
      <c r="E8" s="1573">
        <v>10406</v>
      </c>
      <c r="F8" s="1573">
        <v>418</v>
      </c>
      <c r="G8" s="1573"/>
      <c r="H8" s="1573"/>
      <c r="I8" s="1574"/>
      <c r="J8" s="1574"/>
      <c r="K8" s="1672">
        <f t="shared" si="0"/>
        <v>116375</v>
      </c>
      <c r="L8" s="1573">
        <v>258796</v>
      </c>
    </row>
    <row r="9" spans="1:14" x14ac:dyDescent="0.2">
      <c r="A9" s="1274" t="s">
        <v>716</v>
      </c>
      <c r="B9" s="503" t="s">
        <v>962</v>
      </c>
      <c r="C9" s="1574">
        <v>63241</v>
      </c>
      <c r="D9" s="1574">
        <v>12828</v>
      </c>
      <c r="E9" s="1574"/>
      <c r="F9" s="1574">
        <v>13850</v>
      </c>
      <c r="G9" s="1574"/>
      <c r="H9" s="1574"/>
      <c r="I9" s="1574"/>
      <c r="J9" s="1574"/>
      <c r="K9" s="1672">
        <f t="shared" si="0"/>
        <v>89919</v>
      </c>
      <c r="L9" s="1573">
        <v>88143</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168668</v>
      </c>
      <c r="D14" s="1573">
        <v>17372</v>
      </c>
      <c r="E14" s="1573">
        <v>39571</v>
      </c>
      <c r="F14" s="1573">
        <v>11973</v>
      </c>
      <c r="G14" s="1573">
        <v>645</v>
      </c>
      <c r="H14" s="1573">
        <v>388</v>
      </c>
      <c r="I14" s="1574"/>
      <c r="J14" s="1574"/>
      <c r="K14" s="1672">
        <f t="shared" si="0"/>
        <v>238617</v>
      </c>
      <c r="L14" s="1573">
        <v>353838</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1845782</v>
      </c>
      <c r="D33" s="1674">
        <f t="shared" ref="D33:L33" si="1">SUM(D5:D32)</f>
        <v>391246</v>
      </c>
      <c r="E33" s="1674">
        <f t="shared" si="1"/>
        <v>69502</v>
      </c>
      <c r="F33" s="1674">
        <f t="shared" si="1"/>
        <v>144394</v>
      </c>
      <c r="G33" s="1674">
        <f t="shared" si="1"/>
        <v>645</v>
      </c>
      <c r="H33" s="1674">
        <f t="shared" si="1"/>
        <v>388</v>
      </c>
      <c r="I33" s="1674">
        <f t="shared" si="1"/>
        <v>0</v>
      </c>
      <c r="J33" s="1674">
        <f t="shared" si="1"/>
        <v>0</v>
      </c>
      <c r="K33" s="1674">
        <f t="shared" si="1"/>
        <v>2451957</v>
      </c>
      <c r="L33" s="1674">
        <f t="shared" si="1"/>
        <v>2733542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29324</v>
      </c>
      <c r="D36" s="1586">
        <v>5663</v>
      </c>
      <c r="E36" s="1586">
        <v>15373</v>
      </c>
      <c r="F36" s="1586">
        <v>3425</v>
      </c>
      <c r="G36" s="1586"/>
      <c r="H36" s="1586"/>
      <c r="I36" s="1574"/>
      <c r="J36" s="1574"/>
      <c r="K36" s="1672">
        <f t="shared" ref="K36:K41" si="2">SUM(C36:J36)</f>
        <v>53785</v>
      </c>
      <c r="L36" s="1573">
        <v>127114</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29324</v>
      </c>
      <c r="D42" s="1674">
        <f t="shared" ref="D42:L42" si="3">SUM(D36:D41)</f>
        <v>5663</v>
      </c>
      <c r="E42" s="1674">
        <f t="shared" si="3"/>
        <v>15373</v>
      </c>
      <c r="F42" s="1674">
        <f t="shared" si="3"/>
        <v>3425</v>
      </c>
      <c r="G42" s="1674">
        <f t="shared" si="3"/>
        <v>0</v>
      </c>
      <c r="H42" s="1674">
        <f t="shared" si="3"/>
        <v>0</v>
      </c>
      <c r="I42" s="1674">
        <f t="shared" si="3"/>
        <v>0</v>
      </c>
      <c r="J42" s="1674">
        <f t="shared" si="3"/>
        <v>0</v>
      </c>
      <c r="K42" s="1674">
        <f t="shared" si="3"/>
        <v>53785</v>
      </c>
      <c r="L42" s="1674">
        <f t="shared" si="3"/>
        <v>127114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v>13422</v>
      </c>
      <c r="G45" s="1573"/>
      <c r="H45" s="1573"/>
      <c r="I45" s="1574"/>
      <c r="J45" s="1574"/>
      <c r="K45" s="1678">
        <f>SUM(C45:J45)</f>
        <v>13422</v>
      </c>
      <c r="L45" s="1573">
        <v>21463</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13422</v>
      </c>
      <c r="G47" s="1674">
        <f t="shared" si="4"/>
        <v>0</v>
      </c>
      <c r="H47" s="1674">
        <f t="shared" si="4"/>
        <v>0</v>
      </c>
      <c r="I47" s="1674">
        <f t="shared" si="4"/>
        <v>0</v>
      </c>
      <c r="J47" s="1674">
        <f t="shared" si="4"/>
        <v>0</v>
      </c>
      <c r="K47" s="1674">
        <f t="shared" si="4"/>
        <v>13422</v>
      </c>
      <c r="L47" s="1674">
        <f>SUM(L44:L46)</f>
        <v>21463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1200</v>
      </c>
      <c r="D49" s="1586"/>
      <c r="E49" s="1586">
        <f>4745+2558</f>
        <v>7303</v>
      </c>
      <c r="F49" s="1586">
        <v>1241</v>
      </c>
      <c r="G49" s="1586"/>
      <c r="H49" s="1586">
        <v>15832</v>
      </c>
      <c r="I49" s="1574"/>
      <c r="J49" s="1574"/>
      <c r="K49" s="1678">
        <f>SUM(C49:J49)</f>
        <v>25576</v>
      </c>
      <c r="L49" s="1586">
        <v>17500</v>
      </c>
    </row>
    <row r="50" spans="1:14" x14ac:dyDescent="0.2">
      <c r="A50" s="1274" t="s">
        <v>813</v>
      </c>
      <c r="B50" s="503">
        <v>2320</v>
      </c>
      <c r="C50" s="1573">
        <f>113405-C49</f>
        <v>112205</v>
      </c>
      <c r="D50" s="1573">
        <v>13856</v>
      </c>
      <c r="E50" s="1573">
        <f>23683-E49</f>
        <v>16380</v>
      </c>
      <c r="F50" s="1573">
        <f>1810-F49</f>
        <v>569</v>
      </c>
      <c r="G50" s="1573"/>
      <c r="H50" s="1573">
        <v>562</v>
      </c>
      <c r="I50" s="1574"/>
      <c r="J50" s="1574"/>
      <c r="K50" s="1678">
        <f>SUM(C50:J50)</f>
        <v>143572</v>
      </c>
      <c r="L50" s="1573">
        <f>214850-L49</f>
        <v>197350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113405</v>
      </c>
      <c r="D53" s="1674">
        <f t="shared" ref="D53:L53" si="5">SUM(D49:D52)</f>
        <v>13856</v>
      </c>
      <c r="E53" s="1674">
        <f t="shared" si="5"/>
        <v>23683</v>
      </c>
      <c r="F53" s="1674">
        <f t="shared" si="5"/>
        <v>1810</v>
      </c>
      <c r="G53" s="1674">
        <f t="shared" si="5"/>
        <v>0</v>
      </c>
      <c r="H53" s="1674">
        <f t="shared" si="5"/>
        <v>16394</v>
      </c>
      <c r="I53" s="1674">
        <f t="shared" si="5"/>
        <v>0</v>
      </c>
      <c r="J53" s="1674">
        <f t="shared" si="5"/>
        <v>0</v>
      </c>
      <c r="K53" s="1674">
        <f t="shared" si="5"/>
        <v>169148</v>
      </c>
      <c r="L53" s="1674">
        <f t="shared" si="5"/>
        <v>214850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123736</v>
      </c>
      <c r="D55" s="1586">
        <v>28170</v>
      </c>
      <c r="E55" s="1586">
        <v>941</v>
      </c>
      <c r="F55" s="1586"/>
      <c r="G55" s="1586"/>
      <c r="H55" s="1586"/>
      <c r="I55" s="1574"/>
      <c r="J55" s="1574"/>
      <c r="K55" s="1678">
        <f>SUM(C55:J55)</f>
        <v>152847</v>
      </c>
      <c r="L55" s="1586">
        <v>151030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123736</v>
      </c>
      <c r="D57" s="1679">
        <f t="shared" ref="D57:K57" si="6">SUM(D55:D56)</f>
        <v>28170</v>
      </c>
      <c r="E57" s="1679">
        <f t="shared" si="6"/>
        <v>941</v>
      </c>
      <c r="F57" s="1679">
        <f t="shared" si="6"/>
        <v>0</v>
      </c>
      <c r="G57" s="1679">
        <f t="shared" si="6"/>
        <v>0</v>
      </c>
      <c r="H57" s="1679">
        <f t="shared" si="6"/>
        <v>0</v>
      </c>
      <c r="I57" s="1679">
        <f t="shared" si="6"/>
        <v>0</v>
      </c>
      <c r="J57" s="1679">
        <f t="shared" si="6"/>
        <v>0</v>
      </c>
      <c r="K57" s="1679">
        <f t="shared" si="6"/>
        <v>152847</v>
      </c>
      <c r="L57" s="1674">
        <f>SUM(L55:L56)</f>
        <v>151030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18606</v>
      </c>
      <c r="D60" s="1573">
        <v>2706</v>
      </c>
      <c r="E60" s="1573">
        <v>6402</v>
      </c>
      <c r="F60" s="1573">
        <v>1137</v>
      </c>
      <c r="G60" s="1573"/>
      <c r="H60" s="1573"/>
      <c r="I60" s="1574"/>
      <c r="J60" s="1574"/>
      <c r="K60" s="1678">
        <f t="shared" si="7"/>
        <v>28851</v>
      </c>
      <c r="L60" s="1573"/>
      <c r="M60" s="501"/>
      <c r="N60" s="501"/>
    </row>
    <row r="61" spans="1:14" s="321" customFormat="1" x14ac:dyDescent="0.2">
      <c r="A61" s="1274" t="s">
        <v>195</v>
      </c>
      <c r="B61" s="503">
        <v>2540</v>
      </c>
      <c r="C61" s="1573">
        <f>60+5155</f>
        <v>5215</v>
      </c>
      <c r="D61" s="1573">
        <v>985</v>
      </c>
      <c r="E61" s="1573">
        <f>599+18619+200</f>
        <v>19418</v>
      </c>
      <c r="F61" s="1573"/>
      <c r="G61" s="1573"/>
      <c r="H61" s="1573"/>
      <c r="I61" s="1574"/>
      <c r="J61" s="1574"/>
      <c r="K61" s="1678">
        <f t="shared" si="7"/>
        <v>25618</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35258</v>
      </c>
      <c r="D63" s="1573"/>
      <c r="E63" s="1573">
        <v>67091</v>
      </c>
      <c r="F63" s="1573">
        <f>12639-1137</f>
        <v>11502</v>
      </c>
      <c r="G63" s="1573"/>
      <c r="H63" s="1573"/>
      <c r="I63" s="1574"/>
      <c r="J63" s="1574"/>
      <c r="K63" s="1678">
        <f t="shared" si="7"/>
        <v>113851</v>
      </c>
      <c r="L63" s="1573">
        <v>197554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59079</v>
      </c>
      <c r="D65" s="1674">
        <f t="shared" ref="D65:L65" si="8">SUM(D59:D64)</f>
        <v>3691</v>
      </c>
      <c r="E65" s="1674">
        <f t="shared" si="8"/>
        <v>92911</v>
      </c>
      <c r="F65" s="1674">
        <f t="shared" si="8"/>
        <v>12639</v>
      </c>
      <c r="G65" s="1674">
        <f t="shared" si="8"/>
        <v>0</v>
      </c>
      <c r="H65" s="1674">
        <f t="shared" si="8"/>
        <v>0</v>
      </c>
      <c r="I65" s="1674">
        <f t="shared" si="8"/>
        <v>0</v>
      </c>
      <c r="J65" s="1674">
        <f t="shared" si="8"/>
        <v>0</v>
      </c>
      <c r="K65" s="1674">
        <f t="shared" si="8"/>
        <v>168320</v>
      </c>
      <c r="L65" s="1674">
        <f t="shared" si="8"/>
        <v>197554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325544</v>
      </c>
      <c r="D74" s="1681">
        <f t="shared" ref="D74:K74" si="10">SUM(D42,D47,D53,D57,D65,D72,D73)</f>
        <v>51380</v>
      </c>
      <c r="E74" s="1681">
        <f t="shared" si="10"/>
        <v>132908</v>
      </c>
      <c r="F74" s="1681">
        <f t="shared" si="10"/>
        <v>31296</v>
      </c>
      <c r="G74" s="1681">
        <f t="shared" si="10"/>
        <v>0</v>
      </c>
      <c r="H74" s="1681">
        <f t="shared" si="10"/>
        <v>16394</v>
      </c>
      <c r="I74" s="1681">
        <f t="shared" si="10"/>
        <v>0</v>
      </c>
      <c r="J74" s="1681">
        <f t="shared" si="10"/>
        <v>0</v>
      </c>
      <c r="K74" s="1681">
        <f t="shared" si="10"/>
        <v>557522</v>
      </c>
      <c r="L74" s="1681">
        <f>SUM(L42,L47,L53,L57,L65,L72,L73)</f>
        <v>712011</v>
      </c>
    </row>
    <row r="75" spans="1:14" s="254" customFormat="1" ht="15.75" customHeight="1" thickTop="1" thickBot="1" x14ac:dyDescent="0.25">
      <c r="A75" s="1348" t="s">
        <v>47</v>
      </c>
      <c r="B75" s="1349" t="s">
        <v>571</v>
      </c>
      <c r="C75" s="1649">
        <f>286+6198+8+1448+1450+7172+841</f>
        <v>17403</v>
      </c>
      <c r="D75" s="1649">
        <f>1023</f>
        <v>1023</v>
      </c>
      <c r="E75" s="1649">
        <f>2610+5903+818+656+456+1231+12</f>
        <v>11686</v>
      </c>
      <c r="F75" s="1649">
        <f>819+9572</f>
        <v>10391</v>
      </c>
      <c r="G75" s="1649"/>
      <c r="H75" s="1649"/>
      <c r="I75" s="1627"/>
      <c r="J75" s="1627"/>
      <c r="K75" s="1674">
        <f>SUM(C75:J75)</f>
        <v>40503</v>
      </c>
      <c r="L75" s="1651">
        <v>114006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354262</v>
      </c>
      <c r="I85" s="1582"/>
      <c r="J85" s="1582"/>
      <c r="K85" s="1681">
        <f>H85</f>
        <v>354262</v>
      </c>
      <c r="L85" s="1626">
        <v>360000</v>
      </c>
    </row>
    <row r="86" spans="1:12" ht="12.75" customHeight="1" thickTop="1" thickBot="1" x14ac:dyDescent="0.25">
      <c r="A86" s="1282" t="s">
        <v>694</v>
      </c>
      <c r="B86" s="518">
        <v>4220</v>
      </c>
      <c r="C86" s="1673"/>
      <c r="D86" s="1673"/>
      <c r="E86" s="1684"/>
      <c r="F86" s="1673"/>
      <c r="G86" s="1673"/>
      <c r="H86" s="1574">
        <v>48841</v>
      </c>
      <c r="I86" s="1582"/>
      <c r="J86" s="1582"/>
      <c r="K86" s="1681">
        <f t="shared" ref="K86:K98" si="12">H86</f>
        <v>48841</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403103</v>
      </c>
      <c r="I92" s="1582"/>
      <c r="J92" s="1582"/>
      <c r="K92" s="1681">
        <f t="shared" si="12"/>
        <v>403103</v>
      </c>
      <c r="L92" s="1674">
        <f>SUM(L85:L91)</f>
        <v>360000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403103</v>
      </c>
      <c r="I102" s="1582"/>
      <c r="J102" s="1582"/>
      <c r="K102" s="1681">
        <f>SUM(K84,K92,K100,K101)</f>
        <v>403103</v>
      </c>
      <c r="L102" s="1681">
        <f>SUM(L84,L92,L100,L101)</f>
        <v>360000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2188729</v>
      </c>
      <c r="D114" s="1674">
        <f t="shared" ref="D114:K114" si="13">SUM(D33,D74,D75,D102,D112,D113)</f>
        <v>443649</v>
      </c>
      <c r="E114" s="1674">
        <f t="shared" si="13"/>
        <v>214096</v>
      </c>
      <c r="F114" s="1674">
        <f t="shared" si="13"/>
        <v>186081</v>
      </c>
      <c r="G114" s="1674">
        <f t="shared" si="13"/>
        <v>645</v>
      </c>
      <c r="H114" s="1674">
        <f>SUM(H33,H74,H75,H102,H112,H113)</f>
        <v>419885</v>
      </c>
      <c r="I114" s="1674">
        <f t="shared" si="13"/>
        <v>0</v>
      </c>
      <c r="J114" s="1674">
        <f t="shared" si="13"/>
        <v>0</v>
      </c>
      <c r="K114" s="1674">
        <f t="shared" si="13"/>
        <v>3453085</v>
      </c>
      <c r="L114" s="1674">
        <f>SUM(L33,L74,L75,L102,L112,L113)</f>
        <v>3919559</v>
      </c>
    </row>
    <row r="115" spans="1:14" ht="13.5" thickTop="1" x14ac:dyDescent="0.2">
      <c r="A115" s="2287" t="s">
        <v>989</v>
      </c>
      <c r="B115" s="2288"/>
      <c r="C115" s="1675"/>
      <c r="D115" s="1675"/>
      <c r="E115" s="1675"/>
      <c r="F115" s="1675"/>
      <c r="G115" s="1675"/>
      <c r="H115" s="1675"/>
      <c r="I115" s="1675"/>
      <c r="J115" s="1675"/>
      <c r="K115" s="1689">
        <f>'Revenues 9-14'!C268-'Expenditures 15-22'!K114</f>
        <v>-350351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106251</v>
      </c>
      <c r="D124" s="1573">
        <v>23123</v>
      </c>
      <c r="E124" s="1573">
        <v>105975</v>
      </c>
      <c r="F124" s="1573">
        <v>98131</v>
      </c>
      <c r="G124" s="1573">
        <v>283817</v>
      </c>
      <c r="H124" s="1573"/>
      <c r="I124" s="1574"/>
      <c r="J124" s="1574"/>
      <c r="K124" s="1674">
        <f>SUM(C124:J124)</f>
        <v>617297</v>
      </c>
      <c r="L124" s="1573">
        <v>952900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106251</v>
      </c>
      <c r="D127" s="1674">
        <f t="shared" ref="D127:L127" si="14">SUM(D122:D126)</f>
        <v>23123</v>
      </c>
      <c r="E127" s="1674">
        <f t="shared" si="14"/>
        <v>105975</v>
      </c>
      <c r="F127" s="1674">
        <f t="shared" si="14"/>
        <v>98131</v>
      </c>
      <c r="G127" s="1674">
        <f t="shared" si="14"/>
        <v>283817</v>
      </c>
      <c r="H127" s="1674">
        <f t="shared" si="14"/>
        <v>0</v>
      </c>
      <c r="I127" s="1674">
        <f t="shared" si="14"/>
        <v>0</v>
      </c>
      <c r="J127" s="1674">
        <f t="shared" si="14"/>
        <v>0</v>
      </c>
      <c r="K127" s="1674">
        <f t="shared" si="14"/>
        <v>617297</v>
      </c>
      <c r="L127" s="1674">
        <f t="shared" si="14"/>
        <v>952900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106251</v>
      </c>
      <c r="D129" s="1681">
        <f t="shared" ref="D129:L129" si="15">SUM(D120,D127,D128)</f>
        <v>23123</v>
      </c>
      <c r="E129" s="1681">
        <f t="shared" si="15"/>
        <v>105975</v>
      </c>
      <c r="F129" s="1681">
        <f t="shared" si="15"/>
        <v>98131</v>
      </c>
      <c r="G129" s="1681">
        <f t="shared" si="15"/>
        <v>283817</v>
      </c>
      <c r="H129" s="1681">
        <f t="shared" si="15"/>
        <v>0</v>
      </c>
      <c r="I129" s="1681">
        <f t="shared" si="15"/>
        <v>0</v>
      </c>
      <c r="J129" s="1681">
        <f t="shared" si="15"/>
        <v>0</v>
      </c>
      <c r="K129" s="1681">
        <f t="shared" si="15"/>
        <v>617297</v>
      </c>
      <c r="L129" s="1681">
        <f t="shared" si="15"/>
        <v>952900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106251</v>
      </c>
      <c r="D151" s="1674">
        <f t="shared" ref="D151:K151" si="16">SUM(D129,D130,D139,D149,D150)</f>
        <v>23123</v>
      </c>
      <c r="E151" s="1674">
        <f t="shared" si="16"/>
        <v>105975</v>
      </c>
      <c r="F151" s="1674">
        <f t="shared" si="16"/>
        <v>98131</v>
      </c>
      <c r="G151" s="1674">
        <f t="shared" si="16"/>
        <v>283817</v>
      </c>
      <c r="H151" s="1674">
        <f t="shared" si="16"/>
        <v>0</v>
      </c>
      <c r="I151" s="1674">
        <f t="shared" si="16"/>
        <v>0</v>
      </c>
      <c r="J151" s="1674">
        <f t="shared" si="16"/>
        <v>0</v>
      </c>
      <c r="K151" s="1674">
        <f t="shared" si="16"/>
        <v>617297</v>
      </c>
      <c r="L151" s="1674">
        <f>SUM(L129,L130,L139,L149,L150)</f>
        <v>952900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-387944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42357</v>
      </c>
      <c r="I169" s="1673"/>
      <c r="J169" s="1673"/>
      <c r="K169" s="1672">
        <f>SUM(C169:H169)</f>
        <v>42357</v>
      </c>
      <c r="L169" s="1695">
        <v>45000</v>
      </c>
    </row>
    <row r="170" spans="1:14" ht="33.75" customHeight="1" x14ac:dyDescent="0.2">
      <c r="A170" s="543" t="s">
        <v>1651</v>
      </c>
      <c r="B170" s="545" t="s">
        <v>31</v>
      </c>
      <c r="C170" s="1673"/>
      <c r="D170" s="1673"/>
      <c r="E170" s="1673"/>
      <c r="F170" s="1673"/>
      <c r="G170" s="1673"/>
      <c r="H170" s="1646">
        <v>1395000</v>
      </c>
      <c r="I170" s="1673"/>
      <c r="J170" s="1673"/>
      <c r="K170" s="1672">
        <f>SUM(C170:J170)</f>
        <v>1395000</v>
      </c>
      <c r="L170" s="1646">
        <v>154571</v>
      </c>
    </row>
    <row r="171" spans="1:14" ht="15.75" customHeight="1" x14ac:dyDescent="0.2">
      <c r="A171" s="507" t="s">
        <v>761</v>
      </c>
      <c r="B171" s="546" t="s">
        <v>84</v>
      </c>
      <c r="C171" s="1673"/>
      <c r="D171" s="1673"/>
      <c r="E171" s="1573"/>
      <c r="F171" s="1673"/>
      <c r="G171" s="1673"/>
      <c r="H171" s="1646">
        <v>2901</v>
      </c>
      <c r="I171" s="1582"/>
      <c r="J171" s="1673"/>
      <c r="K171" s="1672">
        <f>SUM(C171:J171)</f>
        <v>2901</v>
      </c>
      <c r="L171" s="1646"/>
    </row>
    <row r="172" spans="1:14" ht="12.75" customHeight="1" thickBot="1" x14ac:dyDescent="0.25">
      <c r="A172" s="1380" t="s">
        <v>633</v>
      </c>
      <c r="B172" s="1381" t="s">
        <v>489</v>
      </c>
      <c r="C172" s="1673"/>
      <c r="D172" s="1673"/>
      <c r="E172" s="1681">
        <f>SUM(E168,E169,E170,E171)</f>
        <v>0</v>
      </c>
      <c r="F172" s="1673"/>
      <c r="G172" s="1673"/>
      <c r="H172" s="1681">
        <f>SUM(H168,H169,H170,H171)</f>
        <v>1440258</v>
      </c>
      <c r="I172" s="1684"/>
      <c r="J172" s="1673"/>
      <c r="K172" s="1681">
        <f>SUM(K168,K169,K170,K171)</f>
        <v>1440258</v>
      </c>
      <c r="L172" s="1681">
        <f>SUM(L168,L169,L170,L171)</f>
        <v>199571</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1440258</v>
      </c>
      <c r="I174" s="1684"/>
      <c r="J174" s="1673"/>
      <c r="K174" s="1681">
        <f>SUM(K160,K172,K173)</f>
        <v>1440258</v>
      </c>
      <c r="L174" s="1681">
        <f>SUM(L160,L172,L173)</f>
        <v>199571</v>
      </c>
    </row>
    <row r="175" spans="1:14" ht="13.5" thickTop="1" x14ac:dyDescent="0.2">
      <c r="A175" s="2287" t="s">
        <v>989</v>
      </c>
      <c r="B175" s="2288"/>
      <c r="C175" s="1673"/>
      <c r="D175" s="1673"/>
      <c r="E175" s="1673"/>
      <c r="F175" s="1673"/>
      <c r="G175" s="1673"/>
      <c r="H175" s="1675"/>
      <c r="I175" s="1673"/>
      <c r="J175" s="1673"/>
      <c r="K175" s="1689">
        <f>'Revenues 9-14'!E268-'Expenditures 15-22'!K174</f>
        <v>-1290872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15263</v>
      </c>
      <c r="F182" s="1573"/>
      <c r="G182" s="1573"/>
      <c r="H182" s="1573"/>
      <c r="I182" s="1574"/>
      <c r="J182" s="1574"/>
      <c r="K182" s="1672">
        <f>SUM(C182:J182)</f>
        <v>15263</v>
      </c>
      <c r="L182" s="1573">
        <v>58500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15263</v>
      </c>
      <c r="F184" s="1681">
        <f t="shared" si="17"/>
        <v>0</v>
      </c>
      <c r="G184" s="1681">
        <f t="shared" si="17"/>
        <v>0</v>
      </c>
      <c r="H184" s="1681">
        <f t="shared" si="17"/>
        <v>0</v>
      </c>
      <c r="I184" s="1681">
        <f t="shared" si="17"/>
        <v>0</v>
      </c>
      <c r="J184" s="1681">
        <f t="shared" si="17"/>
        <v>0</v>
      </c>
      <c r="K184" s="1681">
        <f>SUM(K180,K182,K183)</f>
        <v>15263</v>
      </c>
      <c r="L184" s="1681">
        <f>SUM(L180, L182:L183)</f>
        <v>58500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15263</v>
      </c>
      <c r="F210" s="1674">
        <f>SUM(F184,F185)</f>
        <v>0</v>
      </c>
      <c r="G210" s="1674">
        <f>SUM(G184,G185)</f>
        <v>0</v>
      </c>
      <c r="H210" s="1674">
        <f>SUM(H184,H185,H196,H208,H209)</f>
        <v>0</v>
      </c>
      <c r="I210" s="1674">
        <f>SUM(I184,I185)</f>
        <v>0</v>
      </c>
      <c r="J210" s="1674">
        <f>SUM(J184,J185)</f>
        <v>0</v>
      </c>
      <c r="K210" s="1672">
        <f>SUM(K184,K185,K196,K208,K209)</f>
        <v>15263</v>
      </c>
      <c r="L210" s="1674">
        <f>SUM(L184,L185,L196,L208,L209)</f>
        <v>58500</v>
      </c>
    </row>
    <row r="211" spans="1:14" ht="13.5" thickTop="1" x14ac:dyDescent="0.2">
      <c r="A211" s="2287" t="s">
        <v>989</v>
      </c>
      <c r="B211" s="2288"/>
      <c r="C211" s="1675"/>
      <c r="D211" s="1675"/>
      <c r="E211" s="1675"/>
      <c r="F211" s="1675"/>
      <c r="G211" s="1675"/>
      <c r="H211" s="1675"/>
      <c r="I211" s="1673"/>
      <c r="J211" s="1673"/>
      <c r="K211" s="1689">
        <f>'Revenues 9-14'!F268-'Expenditures 15-22'!K210</f>
        <v>43371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23244</v>
      </c>
      <c r="E215" s="1673"/>
      <c r="F215" s="1673"/>
      <c r="G215" s="1673"/>
      <c r="H215" s="1673"/>
      <c r="I215" s="1673"/>
      <c r="J215" s="1673"/>
      <c r="K215" s="1672">
        <f>D215</f>
        <v>23244</v>
      </c>
      <c r="L215" s="1573">
        <v>16620</v>
      </c>
    </row>
    <row r="216" spans="1:14" x14ac:dyDescent="0.2">
      <c r="A216" s="1274" t="s">
        <v>162</v>
      </c>
      <c r="B216" s="503" t="s">
        <v>961</v>
      </c>
      <c r="C216" s="1673"/>
      <c r="D216" s="1574">
        <v>517</v>
      </c>
      <c r="E216" s="1673"/>
      <c r="F216" s="1673"/>
      <c r="G216" s="1673"/>
      <c r="H216" s="1673"/>
      <c r="I216" s="1673"/>
      <c r="J216" s="1673"/>
      <c r="K216" s="1672">
        <f t="shared" ref="K216:K228" si="19">D216</f>
        <v>517</v>
      </c>
      <c r="L216" s="1573">
        <v>980</v>
      </c>
    </row>
    <row r="217" spans="1:14" x14ac:dyDescent="0.2">
      <c r="A217" s="1274" t="s">
        <v>163</v>
      </c>
      <c r="B217" s="503">
        <v>1200</v>
      </c>
      <c r="C217" s="1673"/>
      <c r="D217" s="1573">
        <v>4313</v>
      </c>
      <c r="E217" s="1673"/>
      <c r="F217" s="1673"/>
      <c r="G217" s="1673"/>
      <c r="H217" s="1673"/>
      <c r="I217" s="1673"/>
      <c r="J217" s="1673"/>
      <c r="K217" s="1672">
        <f t="shared" si="19"/>
        <v>4313</v>
      </c>
      <c r="L217" s="1573">
        <v>13340</v>
      </c>
    </row>
    <row r="218" spans="1:14" x14ac:dyDescent="0.2">
      <c r="A218" s="1274" t="s">
        <v>276</v>
      </c>
      <c r="B218" s="503" t="s">
        <v>962</v>
      </c>
      <c r="C218" s="1673"/>
      <c r="D218" s="1574">
        <v>3607</v>
      </c>
      <c r="E218" s="1673"/>
      <c r="F218" s="1673"/>
      <c r="G218" s="1673"/>
      <c r="H218" s="1673"/>
      <c r="I218" s="1673"/>
      <c r="J218" s="1673"/>
      <c r="K218" s="1672">
        <f t="shared" si="19"/>
        <v>3607</v>
      </c>
      <c r="L218" s="1573"/>
    </row>
    <row r="219" spans="1:14" x14ac:dyDescent="0.2">
      <c r="A219" s="1274" t="s">
        <v>277</v>
      </c>
      <c r="B219" s="503">
        <v>1250</v>
      </c>
      <c r="C219" s="1673"/>
      <c r="D219" s="1573">
        <v>9218</v>
      </c>
      <c r="E219" s="1673"/>
      <c r="F219" s="1673"/>
      <c r="G219" s="1673"/>
      <c r="H219" s="1673"/>
      <c r="I219" s="1673"/>
      <c r="J219" s="1673"/>
      <c r="K219" s="1672">
        <f t="shared" si="19"/>
        <v>9218</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40899</v>
      </c>
      <c r="E229" s="1673"/>
      <c r="F229" s="1673"/>
      <c r="G229" s="1673"/>
      <c r="H229" s="1673"/>
      <c r="I229" s="1673"/>
      <c r="J229" s="1673"/>
      <c r="K229" s="1674">
        <f>SUM(K215:K228)</f>
        <v>40899</v>
      </c>
      <c r="L229" s="1674">
        <f>SUM(L215:L228)</f>
        <v>30940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514</v>
      </c>
      <c r="E232" s="1673"/>
      <c r="F232" s="1673"/>
      <c r="G232" s="1673"/>
      <c r="H232" s="1673"/>
      <c r="I232" s="1673"/>
      <c r="J232" s="1673"/>
      <c r="K232" s="1672">
        <f t="shared" ref="K232:K237" si="20">D232</f>
        <v>514</v>
      </c>
      <c r="L232" s="1573">
        <v>1000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514</v>
      </c>
      <c r="E238" s="1673"/>
      <c r="F238" s="1673"/>
      <c r="G238" s="1673"/>
      <c r="H238" s="1673"/>
      <c r="I238" s="1673"/>
      <c r="J238" s="1673"/>
      <c r="K238" s="1674">
        <f>SUM(K232:K237)</f>
        <v>514</v>
      </c>
      <c r="L238" s="1674">
        <f>SUM(L232:L237)</f>
        <v>1000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f>1026+659+1110+131</f>
        <v>2926</v>
      </c>
      <c r="E246" s="1673"/>
      <c r="F246" s="1673"/>
      <c r="G246" s="1673"/>
      <c r="H246" s="1673"/>
      <c r="I246" s="1673"/>
      <c r="J246" s="1673"/>
      <c r="K246" s="1678">
        <f t="shared" ref="K246:K256" si="21">D246</f>
        <v>2926</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f>7072+5370+1584+384</f>
        <v>14410</v>
      </c>
      <c r="E254" s="1673"/>
      <c r="F254" s="1673"/>
      <c r="G254" s="1673"/>
      <c r="H254" s="1673"/>
      <c r="I254" s="1673"/>
      <c r="J254" s="1673"/>
      <c r="K254" s="1678">
        <f t="shared" si="21"/>
        <v>14410</v>
      </c>
      <c r="L254" s="1573">
        <v>15190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17336</v>
      </c>
      <c r="E257" s="1673"/>
      <c r="F257" s="1673"/>
      <c r="G257" s="1673"/>
      <c r="H257" s="1673"/>
      <c r="I257" s="1673"/>
      <c r="J257" s="1673"/>
      <c r="K257" s="1674">
        <f>SUM(K245:K256)</f>
        <v>17336</v>
      </c>
      <c r="L257" s="1674">
        <f>SUM(L245:L256)</f>
        <v>15190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8912</v>
      </c>
      <c r="E259" s="1673"/>
      <c r="F259" s="1673"/>
      <c r="G259" s="1673"/>
      <c r="H259" s="1673"/>
      <c r="I259" s="1673"/>
      <c r="J259" s="1673"/>
      <c r="K259" s="1678">
        <f>D259</f>
        <v>8912</v>
      </c>
      <c r="L259" s="1586">
        <v>10400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8912</v>
      </c>
      <c r="E261" s="1673"/>
      <c r="F261" s="1673"/>
      <c r="G261" s="1673"/>
      <c r="H261" s="1673"/>
      <c r="I261" s="1673"/>
      <c r="J261" s="1673"/>
      <c r="K261" s="1674">
        <f>SUM(K259:K260)</f>
        <v>8912</v>
      </c>
      <c r="L261" s="1674">
        <f>SUM(L259:L260)</f>
        <v>10400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2343+1517+80</f>
        <v>3940</v>
      </c>
      <c r="E264" s="1673"/>
      <c r="F264" s="1673"/>
      <c r="G264" s="1673"/>
      <c r="H264" s="1673"/>
      <c r="I264" s="1673"/>
      <c r="J264" s="1673"/>
      <c r="K264" s="1678">
        <f t="shared" ref="K264:K269" si="22">D264</f>
        <v>3940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133+9017+635+7605+385+477</f>
        <v>18252</v>
      </c>
      <c r="E266" s="1673"/>
      <c r="F266" s="1673"/>
      <c r="G266" s="1673"/>
      <c r="H266" s="1673"/>
      <c r="I266" s="1673"/>
      <c r="J266" s="1673"/>
      <c r="K266" s="1678">
        <f t="shared" si="22"/>
        <v>18252</v>
      </c>
      <c r="L266" s="1573">
        <v>21530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f>3975+2576+122</f>
        <v>6673</v>
      </c>
      <c r="E268" s="1673"/>
      <c r="F268" s="1673"/>
      <c r="G268" s="1673"/>
      <c r="H268" s="1673"/>
      <c r="I268" s="1673"/>
      <c r="J268" s="1673"/>
      <c r="K268" s="1678">
        <f t="shared" si="22"/>
        <v>6673</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28865</v>
      </c>
      <c r="E270" s="1673"/>
      <c r="F270" s="1673"/>
      <c r="G270" s="1673"/>
      <c r="H270" s="1673"/>
      <c r="I270" s="1673"/>
      <c r="J270" s="1673"/>
      <c r="K270" s="1674">
        <f>SUM(K263:K269)</f>
        <v>28865</v>
      </c>
      <c r="L270" s="1674">
        <f>SUM(L263:L269)</f>
        <v>21530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55627</v>
      </c>
      <c r="E279" s="1673"/>
      <c r="F279" s="1673"/>
      <c r="G279" s="1673"/>
      <c r="H279" s="1673"/>
      <c r="I279" s="1673"/>
      <c r="J279" s="1673"/>
      <c r="K279" s="1681">
        <f>SUM(K238,K243,K257,K261,K270,K277,K278)</f>
        <v>55627</v>
      </c>
      <c r="L279" s="1681">
        <f>SUM(L238,L243,L257,L261,L270,L277,L278)</f>
        <v>48120</v>
      </c>
    </row>
    <row r="280" spans="1:12" ht="15.75" customHeight="1" thickTop="1" thickBot="1" x14ac:dyDescent="0.25">
      <c r="A280" s="1362" t="s">
        <v>870</v>
      </c>
      <c r="B280" s="1351">
        <v>3000</v>
      </c>
      <c r="C280" s="1673"/>
      <c r="D280" s="1651">
        <f>60+12</f>
        <v>72</v>
      </c>
      <c r="E280" s="1673"/>
      <c r="F280" s="1673"/>
      <c r="G280" s="1673"/>
      <c r="H280" s="1673"/>
      <c r="I280" s="1673"/>
      <c r="J280" s="1673"/>
      <c r="K280" s="1687">
        <f>D280</f>
        <v>72</v>
      </c>
      <c r="L280" s="1651">
        <v>220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96598</v>
      </c>
      <c r="E295" s="1673"/>
      <c r="F295" s="1673"/>
      <c r="G295" s="1673"/>
      <c r="H295" s="1674">
        <f>H293</f>
        <v>0</v>
      </c>
      <c r="I295" s="1673"/>
      <c r="J295" s="1673"/>
      <c r="K295" s="1674">
        <f>SUM(K229,K279,K280,K285,K293,K294)</f>
        <v>96598</v>
      </c>
      <c r="L295" s="1674">
        <f>SUM(L229,L279,L280,L285,L293,L294)</f>
        <v>79280</v>
      </c>
    </row>
    <row r="296" spans="1:14" ht="13.5" thickTop="1" x14ac:dyDescent="0.2">
      <c r="A296" s="2287" t="s">
        <v>989</v>
      </c>
      <c r="B296" s="2288"/>
      <c r="C296" s="1673"/>
      <c r="D296" s="1675"/>
      <c r="E296" s="1673"/>
      <c r="F296" s="1673"/>
      <c r="G296" s="1673"/>
      <c r="H296" s="1707"/>
      <c r="I296" s="1673"/>
      <c r="J296" s="1673"/>
      <c r="K296" s="1689">
        <f>'Revenues 9-14'!G268-'Expenditures 15-22'!K295</f>
        <v>-29698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v>239771</v>
      </c>
      <c r="E325" s="1574">
        <f>64986-E327</f>
        <v>33441</v>
      </c>
      <c r="F325" s="1574"/>
      <c r="G325" s="1574"/>
      <c r="H325" s="1574"/>
      <c r="I325" s="1574"/>
      <c r="J325" s="1574"/>
      <c r="K325" s="1672">
        <f t="shared" si="24"/>
        <v>273212</v>
      </c>
      <c r="L325" s="1574">
        <f>214000+15000</f>
        <v>229000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31545</v>
      </c>
      <c r="F327" s="1574"/>
      <c r="G327" s="1574"/>
      <c r="H327" s="1574"/>
      <c r="I327" s="1574"/>
      <c r="J327" s="1574"/>
      <c r="K327" s="1672">
        <f t="shared" si="24"/>
        <v>31545</v>
      </c>
      <c r="L327" s="1574">
        <v>73500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239771</v>
      </c>
      <c r="E330" s="1674">
        <f t="shared" si="25"/>
        <v>64986</v>
      </c>
      <c r="F330" s="1674">
        <f t="shared" si="25"/>
        <v>0</v>
      </c>
      <c r="G330" s="1674">
        <f t="shared" si="25"/>
        <v>0</v>
      </c>
      <c r="H330" s="1674">
        <f t="shared" si="25"/>
        <v>0</v>
      </c>
      <c r="I330" s="1674">
        <f t="shared" si="25"/>
        <v>0</v>
      </c>
      <c r="J330" s="1674">
        <f t="shared" si="25"/>
        <v>0</v>
      </c>
      <c r="K330" s="1674">
        <f>SUM(K319:K329)</f>
        <v>304757</v>
      </c>
      <c r="L330" s="1674">
        <f>SUM(L319:L329)</f>
        <v>302500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239771</v>
      </c>
      <c r="E342" s="1674">
        <f>SUM(E330)</f>
        <v>64986</v>
      </c>
      <c r="F342" s="1674">
        <f>SUM(F330)</f>
        <v>0</v>
      </c>
      <c r="G342" s="1674">
        <f>SUM(G330)</f>
        <v>0</v>
      </c>
      <c r="H342" s="1674">
        <f>SUM(H330,H334,H340)</f>
        <v>0</v>
      </c>
      <c r="I342" s="1674">
        <f>SUM(I330)</f>
        <v>0</v>
      </c>
      <c r="J342" s="1674">
        <f>SUM(J330)</f>
        <v>0</v>
      </c>
      <c r="K342" s="1674">
        <f>SUM(K330,K334,K340)</f>
        <v>304757</v>
      </c>
      <c r="L342" s="1681">
        <f>SUM(L330,L334,L340,L341)</f>
        <v>302500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-51934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v>418128</v>
      </c>
      <c r="I349" s="1574"/>
      <c r="J349" s="1574"/>
      <c r="K349" s="1672">
        <f>SUM(C349:J349)</f>
        <v>418128</v>
      </c>
      <c r="L349" s="1573">
        <v>35000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418128</v>
      </c>
      <c r="I350" s="1674">
        <f t="shared" si="26"/>
        <v>0</v>
      </c>
      <c r="J350" s="1674">
        <f t="shared" si="26"/>
        <v>0</v>
      </c>
      <c r="K350" s="1674">
        <f t="shared" si="26"/>
        <v>418128</v>
      </c>
      <c r="L350" s="1674">
        <f t="shared" si="26"/>
        <v>35000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418128</v>
      </c>
      <c r="I352" s="1674">
        <f t="shared" si="27"/>
        <v>0</v>
      </c>
      <c r="J352" s="1674">
        <f t="shared" si="27"/>
        <v>0</v>
      </c>
      <c r="K352" s="1674">
        <f t="shared" si="27"/>
        <v>418128</v>
      </c>
      <c r="L352" s="1674">
        <f t="shared" si="27"/>
        <v>35000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418128</v>
      </c>
      <c r="I367" s="1674">
        <f t="shared" si="28"/>
        <v>0</v>
      </c>
      <c r="J367" s="1674">
        <f t="shared" si="28"/>
        <v>0</v>
      </c>
      <c r="K367" s="1674">
        <f t="shared" si="28"/>
        <v>418128</v>
      </c>
      <c r="L367" s="1674">
        <f t="shared" si="28"/>
        <v>35000</v>
      </c>
    </row>
    <row r="368" spans="1:14" ht="13.5" thickTop="1" x14ac:dyDescent="0.2">
      <c r="A368" s="2287" t="s">
        <v>989</v>
      </c>
      <c r="B368" s="2288"/>
      <c r="C368" s="1694"/>
      <c r="D368" s="1694"/>
      <c r="E368" s="1677"/>
      <c r="F368" s="1677"/>
      <c r="G368" s="1677"/>
      <c r="H368" s="1677"/>
      <c r="I368" s="1677"/>
      <c r="J368" s="1676"/>
      <c r="K368" s="1672">
        <f>'Revenues 9-14'!K268-'Expenditures 15-22'!K367</f>
        <v>-400558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purl.org/dc/dcmitype/"/>
    <ds:schemaRef ds:uri="http://schemas.openxmlformats.org/package/2006/metadata/core-properties"/>
    <ds:schemaRef ds:uri="4d435f69-8686-490b-bd6d-b153bf22ab50"/>
    <ds:schemaRef ds:uri="http://schemas.microsoft.com/office/2006/metadata/properties"/>
    <ds:schemaRef ds:uri="d21dc803-237d-4c68-8692-8d731fd29118"/>
    <ds:schemaRef ds:uri="http://schemas.microsoft.com/office/2006/documentManagement/types"/>
    <ds:schemaRef ds:uri="http://purl.org/dc/terms/"/>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2020-10-15T19:59:19Z</cp:lastPrinted>
  <dcterms:created xsi:type="dcterms:W3CDTF">2003-10-29T19:06:34Z</dcterms:created>
  <dcterms:modified xsi:type="dcterms:W3CDTF">2020-10-26T14:40:03Z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