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B396AA5-FBA8-4008-9AA3-8CD41EB3B44C}"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8" i="183" l="1"/>
  <c r="F27" i="183"/>
  <c r="F26" i="183"/>
  <c r="F25" i="183"/>
  <c r="F24" i="183"/>
  <c r="F23" i="183"/>
  <c r="F22" i="183"/>
  <c r="F21" i="183"/>
  <c r="F20" i="183"/>
  <c r="F19" i="183"/>
  <c r="F18" i="183"/>
  <c r="E28" i="183"/>
  <c r="E27" i="183"/>
  <c r="E26" i="183"/>
  <c r="E25" i="183"/>
  <c r="E24" i="183"/>
  <c r="E23" i="183"/>
  <c r="E22" i="183"/>
  <c r="E21" i="183"/>
  <c r="E20" i="183"/>
  <c r="E19" i="183"/>
  <c r="E18" i="183"/>
  <c r="M19" i="3" l="1"/>
  <c r="M17" i="3"/>
  <c r="I13" i="11"/>
  <c r="E13" i="11"/>
  <c r="D13" i="11"/>
  <c r="C8" i="11"/>
  <c r="D268" i="29" l="1"/>
  <c r="D267" i="29"/>
  <c r="D266" i="29"/>
  <c r="D264" i="29"/>
  <c r="D247" i="29"/>
  <c r="D246" i="29"/>
  <c r="D234" i="29"/>
  <c r="D223" i="29"/>
  <c r="D219" i="29"/>
  <c r="D217" i="29"/>
  <c r="D218" i="29"/>
  <c r="D216" i="29"/>
  <c r="H171" i="29"/>
  <c r="F63" i="29"/>
  <c r="E63" i="29"/>
  <c r="E61" i="29"/>
  <c r="E50" i="29"/>
  <c r="E49" i="29"/>
  <c r="D50" i="29"/>
  <c r="F45" i="29"/>
  <c r="E44" i="29"/>
  <c r="D36" i="29"/>
  <c r="E10" i="29"/>
  <c r="D10" i="29"/>
  <c r="D14" i="29"/>
  <c r="C10" i="29"/>
  <c r="D8" i="29"/>
  <c r="F8" i="29"/>
  <c r="C8" i="29"/>
  <c r="D9" i="29"/>
  <c r="C9" i="29"/>
  <c r="F7" i="29"/>
  <c r="D7" i="29"/>
  <c r="C7" i="29"/>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F50" i="34" l="1"/>
  <c r="H365" i="29"/>
  <c r="B7242" i="106" s="1"/>
  <c r="D7242" i="106" s="1"/>
  <c r="B1274" i="106"/>
  <c r="D1274" i="106" s="1"/>
  <c r="F37" i="34"/>
  <c r="B7829" i="106" s="1"/>
  <c r="D7829" i="106" s="1"/>
  <c r="I129" i="29"/>
  <c r="B7037" i="106" s="1"/>
  <c r="D7037" i="106" s="1"/>
  <c r="B1130" i="106"/>
  <c r="D1130" i="106" s="1"/>
  <c r="E10" i="108"/>
  <c r="F70" i="34"/>
  <c r="D69" i="36"/>
  <c r="H342" i="29"/>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H15" i="184"/>
  <c r="B7189" i="106"/>
  <c r="D7189" i="106" s="1"/>
  <c r="E64" i="184"/>
  <c r="N64" i="184" s="1"/>
  <c r="B7153" i="106"/>
  <c r="D7153" i="106" s="1"/>
  <c r="E60" i="184"/>
  <c r="N60" i="184" s="1"/>
  <c r="C352" i="29"/>
  <c r="H76" i="4"/>
  <c r="B3298" i="106" s="1"/>
  <c r="D3298" i="106" s="1"/>
  <c r="D31" i="108"/>
  <c r="E16" i="184"/>
  <c r="H16" i="184" s="1"/>
  <c r="H12" i="184"/>
  <c r="B7705" i="106"/>
  <c r="D7705" i="106" s="1"/>
  <c r="E67" i="184"/>
  <c r="N67" i="184" s="1"/>
  <c r="B7180" i="106"/>
  <c r="D7180" i="106" s="1"/>
  <c r="E63" i="184"/>
  <c r="N63"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3730" i="106" l="1"/>
  <c r="D3730" i="106" s="1"/>
  <c r="G30" i="108"/>
  <c r="B1328" i="106"/>
  <c r="D1328" i="106" s="1"/>
  <c r="B7235" i="106"/>
  <c r="D7235" i="106" s="1"/>
  <c r="H151" i="29"/>
  <c r="B1273" i="106" s="1"/>
  <c r="D1273" i="106" s="1"/>
  <c r="K342" i="29"/>
  <c r="F13" i="34" s="1"/>
  <c r="F41" i="108"/>
  <c r="G43" i="108" s="1"/>
  <c r="B5527" i="106"/>
  <c r="D5527" i="106" s="1"/>
  <c r="B6216" i="106"/>
  <c r="D6216" i="106" s="1"/>
  <c r="D44" i="36"/>
  <c r="B7220" i="106"/>
  <c r="D7220" i="106" s="1"/>
  <c r="F75" i="34"/>
  <c r="B7886" i="106" s="1"/>
  <c r="D7886" i="106" s="1"/>
  <c r="L16" i="11"/>
  <c r="B2061" i="106" s="1"/>
  <c r="D2061" i="106" s="1"/>
  <c r="L114" i="29"/>
  <c r="N57" i="184"/>
  <c r="N68" i="184" s="1"/>
  <c r="E68" i="184"/>
  <c r="E367" i="29"/>
  <c r="B3636" i="106" s="1"/>
  <c r="D3636" i="106" s="1"/>
  <c r="B3635" i="106"/>
  <c r="E19" i="184"/>
  <c r="B7222" i="106"/>
  <c r="D7222" i="106" s="1"/>
  <c r="F76" i="34"/>
  <c r="B7887" i="106" s="1"/>
  <c r="D7887" i="106" s="1"/>
  <c r="F66" i="3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F8" i="4" l="1"/>
  <c r="F10" i="4" s="1"/>
  <c r="B4125" i="106" s="1"/>
  <c r="D4125" i="106" s="1"/>
  <c r="F77" i="34"/>
  <c r="J20" i="4"/>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C11" i="14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c r="B1644" i="106" l="1"/>
  <c r="D1644" i="106" s="1"/>
  <c r="D82" i="4"/>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<sst xmlns="http://schemas.openxmlformats.org/spreadsheetml/2006/main" count="5140" uniqueCount="2081">
  <si>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</si>
  <si>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</si>
  <si>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</si>
  <si>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</si>
  <si>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</si>
  <si>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</si>
  <si>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</si>
  <si>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</si>
  <si>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</si>
  <si>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</si>
  <si>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</si>
  <si>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</si>
  <si>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</si>
  <si>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</si>
  <si>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</si>
  <si>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</si>
  <si>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</si>
  <si>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</si>
  <si>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</si>
  <si>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</si>
  <si>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</si>
  <si>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</si>
  <si>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</si>
  <si>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</si>
  <si>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</si>
  <si>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</si>
  <si>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</si>
  <si>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</si>
  <si>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</si>
  <si>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</si>
  <si>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</si>
  <si>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</si>
  <si>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</si>
  <si>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</si>
  <si>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</si>
  <si>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</si>
  <si>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</si>
  <si>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</si>
  <si>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</si>
  <si>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</si>
  <si>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</si>
  <si>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</si>
  <si>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</si>
  <si>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</si>
  <si>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</si>
  <si>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</si>
  <si>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</si>
  <si>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</si>
  <si>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</si>
  <si>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</si>
  <si>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</si>
  <si>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</si>
  <si>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</si>
  <si>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</si>
  <si>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</si>
  <si>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</si>
  <si>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</si>
  <si>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</si>
  <si>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</si>
  <si>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</si>
  <si>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</si>
  <si>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</si>
  <si>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</si>
  <si>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</si>
  <si>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</si>
  <si>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</si>
  <si>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</si>
  <si>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</si>
  <si>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</si>
  <si>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</si>
  <si>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</si>
  <si>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</si>
  <si>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</si>
  <si>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</si>
  <si>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</si>
  <si>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</si>
  <si>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</si>
  <si>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</si>
  <si>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</si>
  <si>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</si>
  <si>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</si>
  <si>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</si>
  <si>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</si>
  <si>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</si>
  <si>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</si>
  <si>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</si>
  <si>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</si>
  <si>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</si>
  <si>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</si>
  <si>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</si>
  <si>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</si>
  <si>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</si>
  <si>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</si>
  <si>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</si>
  <si>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</si>
  <si>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</si>
  <si>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</si>
  <si>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</si>
  <si>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</si>
  <si>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</si>
  <si>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</si>
  <si>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</si>
  <si>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</si>
  <si>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</si>
  <si>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</si>
  <si>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</si>
  <si>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</si>
  <si>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</si>
  <si>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</si>
  <si>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</si>
  <si>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</si>
  <si>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</si>
  <si>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</si>
  <si>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</si>
  <si>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</si>
  <si>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</si>
  <si>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</si>
  <si>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</si>
  <si>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</si>
  <si>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</si>
  <si>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</si>
  <si>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</si>
  <si>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</si>
  <si>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</si>
  <si>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</si>
  <si>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</si>
  <si>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</si>
  <si>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</si>
  <si>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</si>
  <si>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</si>
  <si>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</si>
  <si>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</si>
  <si>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</si>
  <si>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</si>
  <si>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</si>
  <si>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</si>
  <si>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</si>
  <si>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</si>
  <si>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</si>
  <si>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</si>
  <si>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</si>
  <si>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</si>
  <si>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</si>
  <si>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</si>
  <si>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</si>
  <si>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</si>
  <si>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</si>
  <si>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</si>
  <si>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</si>
  <si>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</si>
  <si>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</si>
  <si>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</si>
  <si>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</si>
  <si>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</si>
  <si>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</si>
  <si>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</si>
  <si>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</si>
  <si>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</si>
  <si>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</si>
  <si>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</si>
  <si>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</si>
  <si>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</si>
  <si>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</si>
  <si>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</si>
  <si>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</si>
  <si>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</si>
  <si>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</si>
  <si>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</si>
  <si>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</si>
  <si>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</si>
  <si>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</si>
  <si>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</si>
  <si>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</si>
  <si>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</si>
  <si>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</si>
  <si>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</si>
  <si>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</si>
  <si>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</si>
  <si>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</si>
  <si>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</si>
  <si>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</si>
  <si>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</si>
  <si>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</si>
  <si>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</si>
  <si>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</si>
  <si>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</si>
  <si>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</si>
  <si>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</si>
  <si>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</si>
  <si>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</si>
  <si>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</si>
  <si>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</si>
  <si>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</si>
  <si>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</si>
  <si>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</si>
  <si>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</si>
  <si>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</si>
  <si>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</si>
  <si>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</si>
  <si>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</si>
  <si>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</si>
  <si>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</si>
  <si>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</si>
  <si>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</si>
  <si>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</si>
  <si>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</si>
  <si>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</si>
  <si>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</si>
  <si>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</si>
  <si>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</si>
  <si>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</si>
  <si>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</si>
  <si>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</si>
  <si>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</si>
  <si>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</si>
  <si>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</si>
  <si>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</si>
  <si>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</si>
  <si>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</si>
  <si>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</si>
  <si>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</si>
  <si>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</si>
  <si>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</si>
  <si>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</si>
  <si>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</si>
  <si>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</si>
  <si>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</si>
  <si>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</si>
  <si>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</si>
  <si>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</si>
  <si>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</si>
  <si>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</si>
  <si>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</si>
  <si>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</si>
  <si>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</si>
  <si>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</si>
  <si>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</si>
  <si>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</si>
  <si>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</si>
  <si>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</si>
  <si>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</si>
  <si>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</si>
  <si>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</si>
  <si>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</si>
  <si>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</si>
  <si>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</si>
  <si>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</si>
  <si>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</si>
  <si>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</si>
  <si>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</si>
  <si>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</si>
  <si>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</si>
  <si>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</si>
  <si>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</si>
  <si>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</si>
  <si>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</si>
  <si>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</si>
  <si>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</si>
  <si>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</si>
  <si>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</si>
  <si>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</si>
  <si>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</si>
  <si>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</si>
  <si>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</si>
  <si>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</si>
  <si>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</si>
  <si>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</si>
  <si>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</si>
  <si>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</si>
  <si>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</si>
  <si>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</si>
  <si>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</si>
  <si>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</si>
  <si>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</si>
  <si>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</si>
  <si>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</si>
  <si>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</si>
  <si>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</si>
  <si>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</si>
  <si>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</si>
  <si>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</si>
  <si>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</si>
  <si>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</si>
  <si>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</si>
  <si>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</si>
  <si>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</si>
  <si>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</si>
  <si>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</si>
  <si>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</si>
  <si>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</si>
  <si>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</si>
  <si>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</si>
  <si>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</si>
  <si>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</si>
  <si>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</si>
  <si>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</si>
  <si>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</si>
  <si>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</si>
  <si>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</si>
  <si>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</si>
  <si>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</si>
  <si>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</si>
  <si>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</si>
  <si>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</si>
  <si>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</si>
  <si>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</si>
  <si>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</si>
  <si>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</si>
  <si>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</si>
  <si>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</si>
  <si>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</si>
  <si>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</si>
  <si>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</si>
  <si>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</si>
  <si>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</si>
  <si>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</si>
  <si>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</si>
  <si>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</si>
  <si>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</si>
  <si>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</si>
  <si>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</si>
  <si>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</si>
  <si>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</si>
  <si>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</si>
  <si>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</si>
  <si>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</si>
  <si>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</si>
  <si>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</si>
  <si>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</si>
  <si>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</si>
  <si>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</si>
  <si>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</si>
  <si>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</si>
  <si>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</si>
  <si>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</si>
  <si>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</si>
  <si>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</si>
  <si>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</si>
  <si>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</si>
  <si>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</si>
  <si>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</si>
  <si>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</si>
  <si>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</si>
  <si>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</si>
  <si>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</si>
  <si>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</si>
  <si>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</si>
  <si>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</si>
  <si>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</si>
  <si>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</si>
  <si>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</si>
  <si>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</si>
  <si>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</si>
  <si>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</si>
  <si>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</si>
  <si>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</si>
  <si>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</si>
  <si>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</si>
  <si>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</si>
  <si>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</si>
  <si>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</si>
  <si>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</si>
  <si>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</si>
  <si>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</si>
  <si>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</si>
  <si>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</si>
  <si>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</si>
  <si>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</si>
  <si>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</si>
  <si>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</si>
  <si>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</si>
  <si>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</si>
  <si>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</si>
  <si>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</si>
  <si>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</si>
  <si>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</si>
  <si>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</si>
  <si>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</si>
  <si>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</si>
  <si>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</si>
  <si>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</si>
  <si>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</si>
  <si>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</si>
  <si>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</si>
  <si>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</si>
  <si>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</si>
  <si>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</si>
  <si>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</si>
  <si>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</si>
  <si>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</si>
  <si>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</si>
  <si>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</si>
  <si>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</si>
  <si>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</si>
  <si>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</si>
  <si>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</si>
  <si>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</si>
  <si>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</si>
  <si>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</si>
  <si>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</si>
  <si>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</si>
  <si>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</si>
  <si>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</si>
  <si>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</si>
  <si>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</si>
  <si>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</si>
  <si>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</si>
  <si>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</si>
  <si>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</si>
  <si>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</si>
  <si>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</si>
  <si>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</si>
  <si>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</si>
  <si>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</si>
  <si>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</si>
  <si>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</si>
  <si>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</si>
  <si>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</si>
  <si>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</si>
  <si>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</si>
  <si>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</si>
  <si>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</si>
  <si>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</si>
  <si>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</si>
  <si>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</si>
  <si>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</si>
  <si>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</si>
  <si>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</si>
  <si>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</si>
  <si>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</si>
  <si>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</si>
  <si>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</si>
  <si>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</si>
  <si>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</si>
  <si>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</si>
  <si>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</si>
  <si>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</si>
  <si>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</si>
  <si>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</si>
  <si>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</si>
  <si>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</si>
  <si>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</si>
  <si>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</si>
  <si>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</si>
  <si>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</si>
  <si>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</si>
  <si>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</si>
  <si>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</si>
  <si>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</si>
  <si>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</si>
  <si>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</si>
  <si>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</si>
  <si>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</si>
  <si>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</si>
  <si>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</si>
  <si>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</si>
  <si>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</si>
  <si>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</si>
  <si>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</si>
  <si>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</si>
  <si>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</si>
  <si>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</si>
  <si>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</si>
  <si>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</si>
  <si>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</si>
  <si>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</si>
  <si>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</si>
  <si>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</si>
  <si>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</si>
  <si>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</si>
  <si>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</si>
  <si>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</si>
  <si>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</si>
  <si>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</si>
  <si>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</si>
  <si>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</si>
  <si>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</si>
  <si>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</si>
  <si>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</si>
  <si>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</si>
  <si>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</si>
  <si>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</si>
  <si>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</si>
  <si>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</si>
  <si>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</si>
  <si>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</si>
  <si>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</si>
  <si>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</si>
  <si>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</si>
  <si>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</si>
  <si>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</si>
  <si>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</si>
  <si>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</si>
  <si>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</si>
  <si>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</si>
  <si>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</si>
  <si>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</si>
  <si>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</si>
  <si>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</si>
  <si>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</si>
  <si>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</si>
  <si>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</si>
  <si>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</si>
  <si>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</si>
  <si>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</si>
  <si>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</si>
  <si>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</si>
  <si>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</si>
  <si>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</si>
  <si>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</si>
  <si>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</si>
  <si>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</si>
  <si>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</si>
  <si>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</si>
  <si>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</si>
  <si>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</si>
  <si>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</si>
  <si>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</si>
  <si>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</si>
  <si>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</si>
  <si>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</si>
  <si>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</si>
  <si>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</si>
  <si>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</si>
  <si>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</si>
  <si>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</si>
  <si>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</si>
  <si>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</si>
  <si>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</si>
  <si>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</si>
  <si>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</si>
  <si>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</si>
  <si>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</si>
  <si>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</si>
  <si>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</si>
  <si>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</si>
  <si>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</si>
  <si>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</si>
  <si>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</si>
  <si>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</si>
  <si>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</si>
  <si>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</si>
  <si>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</si>
  <si>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</si>
  <si>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</si>
  <si>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</si>
  <si>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</si>
  <si>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</si>
  <si>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</si>
  <si>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</si>
  <si>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</si>
  <si>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</si>
  <si>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</si>
  <si>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</si>
  <si>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</si>
  <si>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</si>
  <si>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</si>
  <si>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</si>
  <si>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</si>
  <si>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</si>
  <si>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</si>
  <si>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</si>
  <si>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</si>
  <si>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</si>
  <si>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</si>
  <si>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</si>
  <si>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</si>
  <si>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</si>
  <si>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</si>
  <si>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</si>
  <si>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</si>
  <si>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</si>
  <si>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</si>
  <si>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</si>
  <si>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</si>
  <si>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</si>
  <si>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</si>
  <si>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</si>
  <si>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</si>
  <si>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</si>
  <si>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</si>
  <si>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</si>
  <si>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</si>
  <si>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</si>
  <si>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</si>
  <si>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</si>
  <si>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</si>
  <si>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</si>
  <si>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</si>
  <si>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</si>
  <si>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</si>
  <si>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</si>
  <si>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</si>
  <si>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</si>
  <si>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</si>
  <si>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</si>
  <si>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</si>
  <si>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</si>
  <si>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</si>
  <si>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</si>
  <si>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</si>
  <si>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</si>
  <si>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</si>
  <si>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</si>
  <si>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</si>
  <si>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</si>
  <si>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</si>
  <si>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</si>
  <si>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</si>
  <si>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</si>
  <si>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</si>
  <si>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</si>
  <si>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</si>
  <si>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</si>
  <si>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</si>
  <si>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</si>
  <si>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</si>
  <si>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</si>
  <si>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</si>
  <si>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</si>
  <si>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</si>
  <si>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</si>
  <si>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</si>
  <si>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</si>
  <si>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</si>
  <si>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</si>
  <si>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</si>
  <si>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</si>
  <si>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</si>
  <si>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</si>
  <si>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</si>
  <si>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</si>
  <si>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</si>
  <si>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</si>
  <si>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</si>
  <si>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</si>
  <si>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</si>
  <si>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</si>
  <si>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</si>
  <si>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</si>
  <si>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</si>
  <si>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</si>
  <si>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</si>
  <si>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</si>
  <si>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</si>
  <si>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</si>
  <si>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</si>
  <si>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</si>
  <si>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</si>
  <si>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</si>
  <si>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</si>
  <si>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</si>
  <si>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</si>
  <si>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</si>
  <si>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</si>
  <si>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</si>
  <si>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</si>
  <si>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</si>
  <si>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</si>
  <si>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</si>
  <si>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</si>
  <si>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</si>
  <si>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</si>
  <si>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</si>
  <si>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</si>
  <si>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</si>
  <si>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</si>
  <si>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</si>
  <si>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</si>
  <si>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</si>
  <si>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</si>
  <si>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</si>
  <si>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</si>
  <si>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</si>
  <si>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</si>
  <si>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</si>
  <si>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</si>
  <si>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</si>
  <si>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</si>
  <si>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</si>
  <si>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</si>
  <si>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</si>
  <si>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</si>
  <si>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</si>
  <si>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</si>
  <si>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</si>
  <si>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</si>
  <si>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</si>
  <si>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</si>
  <si>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</si>
  <si>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</si>
  <si>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</si>
  <si>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</si>
  <si>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</si>
  <si>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</si>
  <si>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</si>
  <si>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</si>
  <si>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</si>
  <si>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</si>
  <si>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</si>
  <si>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</si>
  <si>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</si>
  <si>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</si>
  <si>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</si>
  <si>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</si>
  <si>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</si>
  <si>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</si>
  <si>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</si>
  <si>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</si>
  <si>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</si>
  <si>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</si>
  <si>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</si>
  <si>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</si>
  <si>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</si>
  <si>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</si>
  <si>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</si>
  <si>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</si>
  <si>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</si>
  <si>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</si>
  <si>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</si>
  <si>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</si>
  <si>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</si>
  <si>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</si>
  <si>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</si>
  <si>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</si>
  <si>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</si>
  <si>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</si>
  <si>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</si>
  <si>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</si>
  <si>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</si>
  <si>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</si>
  <si>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</si>
  <si>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</si>
  <si>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</si>
  <si>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</si>
  <si>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</si>
  <si>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</si>
  <si>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</si>
  <si>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</si>
  <si>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</si>
  <si>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</si>
  <si>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</si>
  <si>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</si>
  <si>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</si>
  <si>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</si>
  <si>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</si>
  <si>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</si>
  <si>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</si>
  <si>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</si>
  <si>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</si>
  <si>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</si>
  <si>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</si>
  <si>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</si>
  <si>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</si>
  <si>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</si>
  <si>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</si>
  <si>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</si>
  <si>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</si>
  <si>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</si>
  <si>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</si>
  <si>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</si>
  <si>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</si>
  <si>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</si>
  <si>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</si>
  <si>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</si>
  <si>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</si>
  <si>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</si>
  <si>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</si>
  <si>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</si>
  <si>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</si>
  <si>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</si>
  <si>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</si>
  <si>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</si>
  <si>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</si>
  <si>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</si>
  <si>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</si>
  <si>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</si>
  <si>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</si>
  <si>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</si>
  <si>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</si>
  <si>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</si>
  <si>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</si>
  <si>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</si>
  <si>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</si>
  <si>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</si>
  <si>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</si>
  <si>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</si>
  <si>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</si>
  <si>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</si>
  <si>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</si>
  <si>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</si>
  <si>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</si>
  <si>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</si>
  <si>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</si>
  <si>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</si>
  <si>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</si>
  <si>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</si>
  <si>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</si>
  <si>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</si>
  <si>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</si>
  <si>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</si>
  <si>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</si>
  <si>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</si>
  <si>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</si>
  <si>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</si>
  <si>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</si>
  <si>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</si>
  <si>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</si>
  <si>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</si>
  <si>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</si>
  <si>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</si>
  <si>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</si>
  <si>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</si>
  <si>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</si>
  <si>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</si>
  <si>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</si>
  <si>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</si>
  <si>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</si>
  <si>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</si>
  <si>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</si>
  <si>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</si>
  <si>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</si>
  <si>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</si>
  <si>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</si>
  <si>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</si>
  <si>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</si>
  <si>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</si>
  <si>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</si>
  <si>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</si>
  <si>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</si>
  <si>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</si>
  <si>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</si>
  <si>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</si>
  <si>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</si>
  <si>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</si>
  <si>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</si>
  <si>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</si>
  <si>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</si>
  <si>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</si>
  <si>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</si>
  <si>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</si>
  <si>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</si>
  <si>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</si>
  <si>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</si>
  <si>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</si>
  <si>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</si>
  <si>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</si>
  <si>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</si>
  <si>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</si>
  <si>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</si>
  <si>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</si>
  <si>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</si>
  <si>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</si>
  <si>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</si>
  <si>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</si>
  <si>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</si>
  <si>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</si>
  <si>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</si>
  <si>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</si>
  <si>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</si>
  <si>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</si>
  <si>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</si>
  <si>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</si>
  <si>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</si>
  <si>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</si>
  <si>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</si>
  <si>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</si>
  <si>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</si>
  <si>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</si>
  <si>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</si>
  <si>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</si>
  <si>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</si>
  <si>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</si>
  <si>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</si>
  <si>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</si>
  <si>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</si>
  <si>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</si>
  <si>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</si>
  <si>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</si>
  <si>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</si>
  <si>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</si>
  <si>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</si>
  <si>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</si>
  <si>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</si>
  <si>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</si>
  <si>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</si>
  <si>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</si>
  <si>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</si>
  <si>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</si>
  <si>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</si>
  <si>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</si>
  <si>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</si>
  <si>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</si>
  <si>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</si>
  <si>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</si>
  <si>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</si>
  <si>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</si>
  <si>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</si>
  <si>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</si>
  <si>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</si>
  <si>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</si>
  <si>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</si>
  <si>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</si>
  <si>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</si>
  <si>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</si>
  <si>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</si>
  <si>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</si>
  <si>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</si>
  <si>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</si>
  <si>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</si>
  <si>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</si>
  <si>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</si>
  <si>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</si>
  <si>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</si>
  <si>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</si>
  <si>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</si>
  <si>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</si>
  <si>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</si>
  <si>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</si>
  <si>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</si>
  <si>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</si>
  <si>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</si>
  <si>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</si>
  <si>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</si>
  <si>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</si>
  <si>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</si>
  <si>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</si>
  <si>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</si>
  <si>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</si>
  <si>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</si>
  <si>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</si>
  <si>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</si>
  <si>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</si>
  <si>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</si>
  <si>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</si>
  <si>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</si>
  <si>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</si>
  <si>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</si>
  <si>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</si>
  <si>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</si>
  <si>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</si>
  <si>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</si>
  <si>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</si>
  <si>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</si>
  <si>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</si>
  <si>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</si>
  <si>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</si>
  <si>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</si>
  <si>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</si>
  <si>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</si>
  <si>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</si>
  <si>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</si>
  <si>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</si>
  <si>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</si>
  <si>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</si>
  <si>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</si>
  <si>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</si>
  <si>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</si>
  <si>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</si>
  <si>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</si>
  <si>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</si>
  <si>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</si>
  <si>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</si>
  <si>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</si>
  <si>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</si>
  <si>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</si>
  <si>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</si>
  <si>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</si>
  <si>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</si>
  <si>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</si>
  <si>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</si>
  <si>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</si>
  <si>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</si>
  <si>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</si>
  <si>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</si>
  <si>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</si>
  <si>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</si>
  <si>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</si>
  <si>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</si>
  <si>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</si>
  <si>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</si>
  <si>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</si>
  <si>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</si>
  <si>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</si>
  <si>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</si>
  <si>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</si>
  <si>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</si>
  <si>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</si>
  <si>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</si>
  <si>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</si>
  <si>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</si>
  <si>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</si>
  <si>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</si>
  <si>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</si>
  <si>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</si>
  <si>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</si>
  <si>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</si>
  <si>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</si>
  <si>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</si>
  <si>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</si>
  <si>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</si>
  <si>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</si>
  <si>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</si>
  <si>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</si>
  <si>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</si>
  <si>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</si>
  <si>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</si>
  <si>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</si>
  <si>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</si>
  <si>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</si>
  <si>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</si>
  <si>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</si>
  <si>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</si>
  <si>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</si>
  <si>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</si>
  <si>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</si>
  <si>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</si>
  <si>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</si>
  <si>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</si>
  <si>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</si>
  <si>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</si>
  <si>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</si>
  <si>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</si>
  <si>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</si>
  <si>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</si>
  <si>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</si>
  <si>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</si>
  <si>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</si>
  <si>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</si>
  <si>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</si>
  <si>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</si>
  <si>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</si>
  <si>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</si>
  <si>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</si>
  <si>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</si>
  <si>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</si>
  <si>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</si>
  <si>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</si>
  <si>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</si>
  <si>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</si>
  <si>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</si>
  <si>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</si>
  <si>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</si>
  <si>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</si>
  <si>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</si>
  <si>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</si>
  <si>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</si>
  <si>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</si>
  <si>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</si>
  <si>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</si>
  <si>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</si>
  <si>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</si>
  <si>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</si>
  <si>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</si>
  <si>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</si>
  <si>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</si>
  <si>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</si>
  <si>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</si>
  <si>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</si>
  <si>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</si>
  <si>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</si>
  <si>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</si>
  <si>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</si>
  <si>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</si>
  <si>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</si>
  <si>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</si>
  <si>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</si>
  <si>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</si>
  <si>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</si>
  <si>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</si>
  <si>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</si>
  <si>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</si>
  <si>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</si>
  <si>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</si>
  <si>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</si>
  <si>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</si>
  <si>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</si>
  <si>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</si>
  <si>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</si>
  <si>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</si>
  <si>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</si>
  <si>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</si>
  <si>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</si>
  <si>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</si>
  <si>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</si>
  <si>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</si>
  <si>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</si>
  <si>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</si>
  <si>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</si>
  <si>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</si>
  <si>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</si>
  <si>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</si>
  <si>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</si>
  <si>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</si>
  <si>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</si>
  <si>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</si>
  <si>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</si>
  <si>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</si>
  <si>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</si>
  <si>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</si>
  <si>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</si>
  <si>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</si>
  <si>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</si>
  <si>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</si>
  <si>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</si>
  <si>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</si>
  <si>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</si>
  <si>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</si>
  <si>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</si>
  <si>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</si>
  <si>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</si>
  <si>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</si>
  <si>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</si>
  <si>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</si>
  <si>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</si>
  <si>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</si>
  <si>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</si>
  <si>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</si>
  <si>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</si>
  <si>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</si>
  <si>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</si>
  <si>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</si>
  <si>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</si>
  <si>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</si>
  <si>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</si>
  <si>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</si>
  <si>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</si>
  <si>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</si>
  <si>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</si>
  <si>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</si>
  <si>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</si>
  <si>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</si>
  <si>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</si>
  <si>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</si>
  <si>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</si>
  <si>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</si>
  <si>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</si>
  <si>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</si>
  <si>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</si>
  <si>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</si>
  <si>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</si>
  <si>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</si>
  <si>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</si>
  <si>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</si>
  <si>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</si>
  <si>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</si>
  <si>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</si>
  <si>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</si>
  <si>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</si>
  <si>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</si>
  <si>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</si>
  <si>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</si>
  <si>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</si>
  <si>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</si>
  <si>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</si>
  <si>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</si>
  <si>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</si>
  <si>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</si>
  <si>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</si>
  <si>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</si>
  <si>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</si>
  <si>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</si>
  <si>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</si>
  <si>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</si>
  <si>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</si>
  <si>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</si>
  <si>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</si>
  <si>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</si>
  <si>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</si>
  <si>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</si>
  <si>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</si>
  <si>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</si>
  <si>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</si>
  <si>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</si>
  <si>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</si>
  <si>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</si>
  <si>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</si>
  <si>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</si>
  <si>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</si>
  <si>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</si>
  <si>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</si>
  <si>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</si>
  <si>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</si>
  <si>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</si>
  <si>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</si>
  <si>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</si>
  <si>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</si>
  <si>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</si>
  <si>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</si>
  <si>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</si>
  <si>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</si>
  <si>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</si>
  <si>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</si>
  <si>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</si>
  <si>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</si>
  <si>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</si>
  <si>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</si>
  <si>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</si>
  <si>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</si>
  <si>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</si>
  <si>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</si>
  <si>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</si>
  <si>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</si>
  <si>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</si>
  <si>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</si>
  <si>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</si>
  <si>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</si>
  <si>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</si>
  <si>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</si>
  <si>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</si>
  <si>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</si>
  <si>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</si>
  <si>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</si>
  <si>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</si>
  <si>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</si>
  <si>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</si>
  <si>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</si>
  <si>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</si>
  <si>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</si>
  <si>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</si>
  <si>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</si>
  <si>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</si>
  <si>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</si>
  <si>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</si>
  <si>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</si>
  <si>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</si>
  <si>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</si>
  <si>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</si>
  <si>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</si>
  <si>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</si>
  <si>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</si>
  <si>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</si>
  <si>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</si>
  <si>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</si>
  <si>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</si>
  <si>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</si>
  <si>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</si>
  <si>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</si>
  <si>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</si>
  <si>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</si>
  <si>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</si>
  <si>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</si>
  <si>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</si>
  <si>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</si>
  <si>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</si>
  <si>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</si>
  <si>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</si>
  <si>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</si>
  <si>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</si>
  <si>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</si>
  <si>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</si>
  <si>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</si>
  <si>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</si>
  <si>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</si>
  <si>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</si>
  <si>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</si>
  <si>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</si>
  <si>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</si>
  <si>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</si>
  <si>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</si>
  <si>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</si>
  <si>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</si>
  <si>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</si>
  <si>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</si>
  <si>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</si>
  <si>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</si>
  <si>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</si>
  <si>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</si>
  <si>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</si>
  <si>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</si>
  <si>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</si>
  <si>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</si>
  <si>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</si>
  <si>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</si>
  <si>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</si>
  <si>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</si>
  <si>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</si>
  <si>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</si>
  <si>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</si>
  <si>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</si>
  <si>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</si>
  <si>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</si>
  <si>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</si>
  <si>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</si>
  <si>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</si>
  <si>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</si>
  <si>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</si>
  <si>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</si>
  <si>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</si>
  <si>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</si>
  <si>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</si>
  <si>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</si>
  <si>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</si>
  <si>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</si>
  <si>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</si>
  <si>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</si>
  <si>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</si>
  <si>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</si>
  <si>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</si>
  <si>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</si>
  <si>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</si>
  <si>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</si>
  <si>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</si>
  <si>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</si>
  <si>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</si>
  <si>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</si>
  <si>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</si>
  <si>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</si>
  <si>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</si>
  <si>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</si>
  <si>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</si>
  <si>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</si>
  <si>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</si>
  <si>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</si>
  <si>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</si>
  <si>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</si>
  <si>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</si>
  <si>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</si>
  <si>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</si>
  <si>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</si>
  <si>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</si>
  <si>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</si>
  <si>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</si>
  <si>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</si>
  <si>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</si>
  <si>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</si>
  <si>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</si>
  <si>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</si>
  <si>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</si>
  <si>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</si>
  <si>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</si>
  <si>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</si>
  <si>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</si>
  <si>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</si>
  <si>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</si>
  <si>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</si>
  <si>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</si>
  <si>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</si>
  <si>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</si>
  <si>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</si>
  <si>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</si>
  <si>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</si>
  <si>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</si>
  <si>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</si>
  <si>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</si>
  <si>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</si>
  <si>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</si>
  <si>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</si>
  <si>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</si>
  <si>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</si>
  <si>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</si>
  <si>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</si>
  <si>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</si>
  <si>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</si>
  <si>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</si>
  <si>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</si>
  <si>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</si>
  <si>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</si>
  <si>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</si>
  <si>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</si>
  <si>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</si>
  <si>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</si>
  <si>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</si>
  <si>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</si>
  <si>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</si>
  <si>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</si>
  <si>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</si>
  <si>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</si>
  <si>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</si>
  <si>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</si>
  <si>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</si>
  <si>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</si>
  <si>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</si>
  <si>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</si>
  <si>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</si>
  <si>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</si>
  <si>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</si>
  <si>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</si>
  <si>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</si>
  <si>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</si>
  <si>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</si>
  <si>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</si>
  <si>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</si>
  <si>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</si>
  <si>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</si>
  <si>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</si>
  <si>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</si>
  <si>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</si>
  <si>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</si>
  <si>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</si>
  <si>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</si>
  <si>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</si>
  <si>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</si>
  <si>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</si>
  <si>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</si>
  <si>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</si>
  <si>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</si>
  <si>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</si>
  <si>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</si>
  <si>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</si>
  <si>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</si>
  <si>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</si>
  <si>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</si>
  <si>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</si>
  <si>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</si>
  <si>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</si>
  <si>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</si>
  <si>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</si>
  <si>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</si>
  <si>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</si>
  <si>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</si>
  <si>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</si>
  <si>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</si>
  <si>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</si>
  <si>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</si>
  <si>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</si>
  <si>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</si>
  <si>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</si>
  <si>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</si>
  <si>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</si>
  <si>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</si>
  <si>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</si>
  <si>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</si>
  <si>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</si>
  <si>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</si>
  <si>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</si>
  <si>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</si>
  <si>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</si>
  <si>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</si>
  <si>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</si>
  <si>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</si>
  <si>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</si>
  <si>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</si>
  <si>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</si>
  <si>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</si>
  <si>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</si>
  <si>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</si>
  <si>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</si>
  <si>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</si>
  <si>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</si>
  <si>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</si>
  <si>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</si>
  <si>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</si>
  <si>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</si>
  <si>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</si>
  <si>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</si>
  <si>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</si>
  <si>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</si>
  <si>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</si>
  <si>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</si>
  <si>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</si>
  <si>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</si>
  <si>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</si>
  <si>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</si>
  <si>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</si>
  <si>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</si>
  <si>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</si>
  <si>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</si>
  <si>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</si>
  <si>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</si>
  <si>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</si>
  <si>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</si>
  <si>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</si>
  <si>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</si>
  <si>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</si>
  <si>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</si>
  <si>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</si>
  <si>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</si>
  <si>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</si>
  <si>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</si>
  <si>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</si>
  <si>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</si>
  <si>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</si>
  <si>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</si>
  <si>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</si>
  <si>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</si>
  <si>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</si>
  <si>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</si>
  <si>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</si>
  <si>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</si>
  <si>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</si>
  <si>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</si>
  <si>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</si>
  <si>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</si>
  <si>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</si>
  <si>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</si>
  <si>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</si>
  <si>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</si>
  <si>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</si>
  <si>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</si>
  <si>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</si>
  <si>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</si>
  <si>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</si>
  <si>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</si>
  <si>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</si>
  <si>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</si>
  <si>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</si>
  <si>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</si>
  <si>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</si>
  <si>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</si>
  <si>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</si>
  <si>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</si>
  <si>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</si>
  <si>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</si>
  <si>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</si>
  <si>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</si>
  <si>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</si>
  <si>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</si>
  <si>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</si>
  <si>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</si>
  <si>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</si>
  <si>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</si>
  <si>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</si>
  <si>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</si>
  <si>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</si>
  <si>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</si>
  <si>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</si>
  <si>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</si>
  <si>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</si>
  <si>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</si>
  <si>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</si>
  <si>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</si>
  <si>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</si>
  <si>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</si>
  <si>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</si>
  <si>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</si>
  <si>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</si>
  <si>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</si>
  <si>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</si>
  <si>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</si>
  <si>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</si>
  <si>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</si>
  <si>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</si>
  <si>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</si>
  <si>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</si>
  <si>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</si>
  <si>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</si>
  <si>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</si>
  <si>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</si>
  <si>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</si>
  <si>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</si>
  <si>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</si>
  <si>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</si>
  <si>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</si>
  <si>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</si>
  <si>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</si>
  <si>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</si>
  <si>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</si>
  <si>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</si>
  <si>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</si>
  <si>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</si>
  <si>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</si>
  <si>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</si>
  <si>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</si>
  <si>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</si>
  <si>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</si>
  <si>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</si>
  <si>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</si>
  <si>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</si>
  <si>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</si>
  <si>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</si>
  <si>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</si>
  <si>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</si>
  <si>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</si>
  <si>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</si>
  <si>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</si>
  <si>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</si>
  <si>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</si>
  <si>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</si>
  <si>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</si>
  <si>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</si>
  <si>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</si>
  <si>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</si>
  <si>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</si>
  <si>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</si>
  <si>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</si>
  <si>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</si>
  <si>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</si>
  <si>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</si>
  <si>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</si>
  <si>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</si>
  <si>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</si>
  <si>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</si>
  <si>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</si>
  <si>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</si>
  <si>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</si>
  <si>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</si>
  <si>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</si>
  <si>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</si>
  <si>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</si>
  <si>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</si>
  <si>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</si>
  <si>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</si>
  <si>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</si>
  <si>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</si>
  <si>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</si>
  <si>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</si>
  <si>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</si>
  <si>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</si>
  <si>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</si>
  <si>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</si>
  <si>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</si>
  <si>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</si>
  <si>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</si>
  <si>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</si>
  <si>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</si>
  <si>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</si>
  <si>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</si>
  <si>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</si>
  <si>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</si>
  <si>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</si>
  <si>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</si>
  <si>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</si>
  <si>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</si>
  <si>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</si>
  <si>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</si>
  <si>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</si>
  <si>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</si>
  <si>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</si>
  <si>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</si>
  <si>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</si>
  <si>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</si>
  <si>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</si>
  <si>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</si>
  <si>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</si>
  <si>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</si>
  <si>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</si>
  <si>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</si>
  <si>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</si>
  <si>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</si>
  <si>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</si>
  <si>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</si>
  <si>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</si>
  <si>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</si>
  <si>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</si>
  <si>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</si>
  <si>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</si>
  <si>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</si>
  <si>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</si>
  <si>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</si>
  <si>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</si>
  <si>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</si>
  <si>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</si>
  <si>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</si>
  <si>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</si>
  <si>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</si>
  <si>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</si>
  <si>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</si>
  <si>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</si>
  <si>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</si>
  <si>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</si>
  <si>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</si>
  <si>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</si>
  <si>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</si>
  <si>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</si>
  <si>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</si>
  <si>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</si>
  <si>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</si>
  <si>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</si>
  <si>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</si>
  <si>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</si>
  <si>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</si>
  <si>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</si>
  <si>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</si>
  <si>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</si>
  <si>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</si>
  <si>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</si>
  <si>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</si>
  <si>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</si>
  <si>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</si>
  <si>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</si>
  <si>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</si>
  <si>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</si>
  <si>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</si>
  <si>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</si>
  <si>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</si>
  <si>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</si>
  <si>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</si>
  <si>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</si>
  <si>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</si>
  <si>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</si>
  <si>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</si>
  <si>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</si>
  <si>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</si>
  <si>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</si>
  <si>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</si>
  <si>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</si>
  <si>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</si>
  <si>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</si>
  <si>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</si>
  <si>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</si>
  <si>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</si>
  <si>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</si>
  <si>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</si>
  <si>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</si>
  <si>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</si>
  <si>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</si>
  <si>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</si>
  <si>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</si>
  <si>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</si>
  <si>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</si>
  <si>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</si>
  <si>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</si>
  <si>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</si>
  <si>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</si>
  <si>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</si>
  <si>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</si>
  <si>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</si>
  <si>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</si>
  <si>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</si>
  <si>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</si>
  <si>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</si>
  <si>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</si>
  <si>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</si>
  <si>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</si>
  <si>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</si>
  <si>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</si>
  <si>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</si>
  <si>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</si>
  <si>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</si>
  <si>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</si>
  <si>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</si>
  <si>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</si>
  <si>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</si>
  <si>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</si>
  <si>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</si>
  <si>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</si>
  <si>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</si>
  <si>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</si>
  <si>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</si>
  <si>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</si>
  <si>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</si>
  <si>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</si>
  <si>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</si>
  <si>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</si>
  <si>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</si>
  <si>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</si>
  <si>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</si>
  <si>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</si>
  <si>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</si>
  <si>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</si>
  <si>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</si>
  <si>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</si>
  <si>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</si>
  <si>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</si>
  <si>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</si>
  <si>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</si>
  <si>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</si>
  <si>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</si>
  <si>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</si>
  <si>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</si>
  <si>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</si>
  <si>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</si>
  <si>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</si>
  <si>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</si>
  <si>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</si>
  <si>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</si>
  <si>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</si>
  <si>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</si>
  <si>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</si>
  <si>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</si>
  <si>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</si>
  <si>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</si>
  <si>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</si>
  <si>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</si>
  <si>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</si>
  <si>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</si>
  <si>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</si>
  <si>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</si>
  <si>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</si>
  <si>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</si>
  <si>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</si>
  <si>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</si>
  <si>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</si>
  <si>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</si>
  <si>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</si>
  <si>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</si>
  <si>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</si>
  <si>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</si>
  <si>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</si>
  <si>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</si>
  <si>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</si>
  <si>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</si>
  <si>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</si>
  <si>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</si>
  <si>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</si>
  <si>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</si>
  <si>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</si>
  <si>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</si>
  <si>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</si>
  <si>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</si>
  <si>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</si>
  <si>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</si>
  <si>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</si>
  <si>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</si>
  <si>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</si>
  <si>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</si>
  <si>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</si>
  <si>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</si>
  <si>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</si>
  <si>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</si>
  <si>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</si>
  <si>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</si>
  <si>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</si>
  <si>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</si>
  <si>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</si>
  <si>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</si>
  <si>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</si>
  <si>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</si>
  <si>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</si>
  <si>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</si>
  <si>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</si>
  <si>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</si>
  <si>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</si>
  <si>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</si>
  <si>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</si>
  <si>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</si>
  <si>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</si>
  <si>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</si>
  <si>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</si>
  <si>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</si>
  <si>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</si>
  <si>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</si>
  <si>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</si>
  <si>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</si>
  <si>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</si>
  <si>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</si>
  <si>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</si>
  <si>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</si>
  <si>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</si>
  <si>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</si>
  <si>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</si>
  <si>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</si>
  <si>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</si>
  <si>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</si>
  <si>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</si>
  <si>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</si>
  <si>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</si>
  <si>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</si>
  <si>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</si>
  <si>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</si>
  <si>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</si>
  <si>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</si>
  <si>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</si>
  <si>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</si>
  <si>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</si>
  <si>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</si>
  <si>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</si>
  <si>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</si>
  <si>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</si>
  <si>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</si>
  <si>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</si>
  <si>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</si>
  <si>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</si>
  <si>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</si>
  <si>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</si>
  <si>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</si>
  <si>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</si>
  <si>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</si>
  <si>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</si>
  <si>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</si>
  <si>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</si>
  <si>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</si>
  <si>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</si>
  <si>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</si>
  <si>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</si>
  <si>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</si>
  <si>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</si>
  <si>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</si>
  <si>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</si>
  <si>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</si>
  <si>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</si>
  <si>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</si>
  <si>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</si>
  <si>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</si>
  <si>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</si>
  <si>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</si>
  <si>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</si>
  <si>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</si>
  <si>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</si>
  <si>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</si>
  <si>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</si>
  <si>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</si>
  <si>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</si>
  <si>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</si>
  <si>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</si>
  <si>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</si>
  <si>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</si>
  <si>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</si>
  <si>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</si>
  <si>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</si>
  <si>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</si>
  <si>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</si>
  <si>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</si>
  <si>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</si>
  <si>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</si>
  <si>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</si>
  <si>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</si>
  <si>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</si>
  <si>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</si>
  <si>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</si>
  <si>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</si>
  <si>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</si>
  <si>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</si>
  <si>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</si>
  <si>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</si>
  <si>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</si>
  <si>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</si>
  <si>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</si>
  <si>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</si>
  <si>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</si>
  <si>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</si>
  <si>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</si>
  <si>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</si>
  <si>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</si>
  <si>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</si>
  <si>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</si>
  <si>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</si>
  <si>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</si>
  <si>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</si>
  <si>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</si>
  <si>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</si>
  <si>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</si>
  <si>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</si>
  <si>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</si>
  <si>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</si>
  <si>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</si>
  <si>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</si>
  <si>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</si>
  <si>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</si>
  <si>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</si>
  <si>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</si>
  <si>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</si>
  <si>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</si>
  <si>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</si>
  <si>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</si>
  <si>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</si>
  <si>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</si>
  <si>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</si>
  <si>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</si>
  <si>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</si>
  <si>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</si>
  <si>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</si>
  <si>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</si>
  <si>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</si>
  <si>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</si>
  <si>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</si>
  <si>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</si>
  <si>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</si>
  <si>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</si>
  <si>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</si>
  <si>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</si>
  <si>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</si>
  <si>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</si>
  <si>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</si>
  <si>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</si>
  <si>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</si>
  <si>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</si>
  <si>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</si>
  <si>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</si>
  <si>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</si>
  <si>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</si>
  <si>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</si>
  <si>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</si>
  <si>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</si>
  <si>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</si>
  <si>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</si>
  <si>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</si>
  <si>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</si>
  <si>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</si>
  <si>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</si>
  <si>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</si>
  <si>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</si>
  <si>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</si>
  <si>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</si>
  <si>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</si>
  <si>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</si>
  <si>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</si>
  <si>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</si>
  <si>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</si>
  <si>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</si>
  <si>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</si>
  <si>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</si>
  <si>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</si>
  <si>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</si>
  <si>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</si>
  <si>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</si>
  <si>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</si>
  <si>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</si>
  <si>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</si>
  <si>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</si>
  <si>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</si>
  <si>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</si>
  <si>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</si>
  <si>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</si>
  <si>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</si>
  <si>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</si>
  <si>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</si>
  <si>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</si>
  <si>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</si>
  <si>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</si>
  <si>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</si>
  <si>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</si>
  <si>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</si>
  <si>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</si>
  <si>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</si>
  <si>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</si>
  <si>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</si>
  <si>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</si>
  <si>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</si>
  <si>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</si>
  <si>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</si>
  <si>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</si>
  <si>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</si>
  <si>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</si>
  <si>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</si>
  <si>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</si>
  <si>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</si>
  <si>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</si>
  <si>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</si>
  <si>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</si>
  <si>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</si>
  <si>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</si>
  <si>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</si>
  <si>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</si>
  <si>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</si>
  <si>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</si>
  <si>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</si>
  <si>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</si>
  <si>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</si>
  <si>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</si>
  <si>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</si>
  <si>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</si>
  <si>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</si>
  <si>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</si>
  <si>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</si>
  <si>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</si>
  <si>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</si>
  <si>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</si>
  <si>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</si>
  <si>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</si>
  <si>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</si>
  <si>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</si>
  <si>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</si>
  <si>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</si>
  <si>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</si>
  <si>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</si>
  <si>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</si>
  <si>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</si>
  <si>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</si>
  <si>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</si>
  <si>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</si>
  <si>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St. Clair</t>
  </si>
  <si>
    <t>211 West Mill</t>
  </si>
  <si>
    <t>Millstadt</t>
  </si>
  <si>
    <t>blandgraf@stclair.k12.il.us</t>
  </si>
  <si>
    <t>Fcik, Eggemeyer &amp; Williamson</t>
  </si>
  <si>
    <t>Keith Slusser</t>
  </si>
  <si>
    <t>205 S. Main</t>
  </si>
  <si>
    <t>Columbia</t>
  </si>
  <si>
    <t>IL</t>
  </si>
  <si>
    <t>314-845-7999</t>
  </si>
  <si>
    <t>314-845-7770</t>
  </si>
  <si>
    <t>060-008105</t>
  </si>
  <si>
    <t>keith@afewcpas.com</t>
  </si>
  <si>
    <t>General Oglibagion Refunding School Bonds 2012</t>
  </si>
  <si>
    <t>General Oglibagion Refunding School Bonds 2016A</t>
  </si>
  <si>
    <t>Taxable General Obligation School Bonds 2017</t>
  </si>
  <si>
    <t>Taxable General Obligation School Bonds 2019</t>
  </si>
  <si>
    <t>Page 10 - Line 81 - Pupil activities, PE uniforms and athletic fees</t>
  </si>
  <si>
    <t>Page 11 - Line 107 = Rental income and other miscellaneous</t>
  </si>
  <si>
    <t>Page 13 - Line 197 - CARES Act food grant</t>
  </si>
  <si>
    <t xml:space="preserve">Page 17 - Line 136 - Operating lease payments </t>
  </si>
  <si>
    <t>Page 18 - Line 172 - Capital lease principal and interest and note payable interest and principal</t>
  </si>
  <si>
    <t>Johnson Contorl Fire</t>
  </si>
  <si>
    <t>OPPA! Food Management</t>
  </si>
  <si>
    <t>Frontier</t>
  </si>
  <si>
    <t>CTS</t>
  </si>
  <si>
    <t>Quality Network Solutions</t>
  </si>
  <si>
    <t>Specialized data Systems</t>
  </si>
  <si>
    <t xml:space="preserve"> Millstadt CCSD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</si>
</sst>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614795</xdr:colOff>
          <xdr:row>6</xdr:row>
          <xdr:rowOff>477982</xdr:rowOff>
        </xdr:from>
        <xdr:to>
          <xdr:col>5</xdr:col>
          <xdr:colOff>1529195</xdr:colOff>
          <xdr:row>9</xdr:row>
          <xdr:rowOff>74468</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3</xdr:row>
          <xdr:rowOff>7793</xdr:rowOff>
        </xdr:from>
        <xdr:to>
          <xdr:col>1</xdr:col>
          <xdr:colOff>949902</xdr:colOff>
          <xdr:row>8</xdr:row>
          <xdr:rowOff>20782</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view="pageBreakPreview" zoomScaleNormal="100" zoomScaleSheetLayoutView="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2051</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50082160004</v>
      </c>
      <c r="B13" s="2101"/>
      <c r="C13" s="2101"/>
      <c r="D13" s="2101"/>
      <c r="E13" s="2101"/>
      <c r="F13" s="2101"/>
      <c r="G13" s="2101"/>
      <c r="H13" s="2102"/>
      <c r="I13" s="31"/>
      <c r="J13" s="30"/>
      <c r="K13" s="28"/>
      <c r="L13" s="30"/>
      <c r="M13" s="30"/>
      <c r="N13" s="30"/>
      <c r="O13" s="30"/>
      <c r="P13" s="30"/>
      <c r="Q13" s="30"/>
      <c r="R13" s="30"/>
      <c r="S13" s="30"/>
      <c r="T13" s="2106" t="s">
        <v>2056</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2052</v>
      </c>
      <c r="B15" s="2104"/>
      <c r="C15" s="2104"/>
      <c r="D15" s="2104"/>
      <c r="E15" s="2104"/>
      <c r="F15" s="2104"/>
      <c r="G15" s="2104"/>
      <c r="H15" s="2105"/>
      <c r="T15" s="2110" t="s">
        <v>2057</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2080</v>
      </c>
      <c r="B17" s="2074"/>
      <c r="C17" s="2074"/>
      <c r="D17" s="2074"/>
      <c r="E17" s="2074"/>
      <c r="F17" s="2074"/>
      <c r="G17" s="2074"/>
      <c r="H17" s="2099"/>
      <c r="T17" s="2117" t="s">
        <v>2058</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2053</v>
      </c>
      <c r="B19" s="2059"/>
      <c r="C19" s="2059"/>
      <c r="D19" s="2059"/>
      <c r="E19" s="2059"/>
      <c r="F19" s="2059"/>
      <c r="G19" s="2059"/>
      <c r="H19" s="2039"/>
      <c r="I19" s="30"/>
      <c r="J19" s="96"/>
      <c r="K19" s="40"/>
      <c r="L19" s="38"/>
      <c r="M19" s="109" t="s">
        <v>312</v>
      </c>
      <c r="P19" s="27"/>
      <c r="Q19" s="27"/>
      <c r="R19" s="27"/>
      <c r="S19" s="31"/>
      <c r="T19" s="2103" t="s">
        <v>2059</v>
      </c>
      <c r="U19" s="2038"/>
      <c r="V19" s="2038"/>
      <c r="W19" s="2039"/>
      <c r="X19" s="2115" t="s">
        <v>2060</v>
      </c>
      <c r="Y19" s="2116"/>
      <c r="Z19" s="2113">
        <v>62236</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2054</v>
      </c>
      <c r="B21" s="2038"/>
      <c r="C21" s="2038"/>
      <c r="D21" s="2038"/>
      <c r="E21" s="2038"/>
      <c r="F21" s="2038"/>
      <c r="G21" s="2038"/>
      <c r="H21" s="2039"/>
      <c r="I21" s="2093" t="s">
        <v>673</v>
      </c>
      <c r="J21" s="2088"/>
      <c r="K21" s="2088"/>
      <c r="L21" s="2088"/>
      <c r="M21" s="2088"/>
      <c r="N21" s="2088"/>
      <c r="O21" s="2088"/>
      <c r="P21" s="2088"/>
      <c r="Q21" s="2088"/>
      <c r="R21" s="2088"/>
      <c r="S21" s="2094"/>
      <c r="T21" s="2128" t="s">
        <v>2061</v>
      </c>
      <c r="U21" s="2129"/>
      <c r="V21" s="2129"/>
      <c r="W21" s="2129"/>
      <c r="X21" s="2134" t="s">
        <v>2062</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t="s">
        <v>2055</v>
      </c>
      <c r="B23" s="2091"/>
      <c r="C23" s="2091"/>
      <c r="D23" s="2091"/>
      <c r="E23" s="2091"/>
      <c r="F23" s="2091"/>
      <c r="G23" s="2091"/>
      <c r="H23" s="2092"/>
      <c r="T23" s="2073" t="s">
        <v>2063</v>
      </c>
      <c r="U23" s="2127"/>
      <c r="V23" s="2127"/>
      <c r="W23" s="2127"/>
      <c r="X23" s="2131"/>
      <c r="Y23" s="2132"/>
      <c r="Z23" s="2132"/>
      <c r="AA23" s="2133"/>
    </row>
    <row r="24" spans="1:27" ht="14.1" customHeight="1" x14ac:dyDescent="0.2">
      <c r="A24" s="85" t="s">
        <v>672</v>
      </c>
      <c r="B24" s="46"/>
      <c r="C24" s="46"/>
      <c r="D24" s="46"/>
      <c r="E24" s="46"/>
      <c r="F24" s="46"/>
      <c r="G24" s="46"/>
      <c r="H24" s="58"/>
      <c r="J24" s="2060" t="str">
        <f>IF(B5="x",IF(AUDITCHECK!D29="AFR form Incomplete.","",IF(AUDITCHECK!D29="Deficit reduction plan is required.","School District must complete a deficit reduction plan in the 2020-2021 Budget",)),"")</f>
        <v>School District must complete a deficit reduction plan in the 2020-2021 Budget</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62260</v>
      </c>
      <c r="B25" s="2038"/>
      <c r="C25" s="2038"/>
      <c r="D25" s="2038"/>
      <c r="E25" s="2038"/>
      <c r="F25" s="2038"/>
      <c r="G25" s="2038"/>
      <c r="H25" s="2039"/>
      <c r="I25" s="110"/>
      <c r="J25" s="2062"/>
      <c r="K25" s="2062"/>
      <c r="L25" s="2062"/>
      <c r="M25" s="2062"/>
      <c r="N25" s="2062"/>
      <c r="O25" s="2062"/>
      <c r="P25" s="2062"/>
      <c r="Q25" s="2062"/>
      <c r="R25" s="2062"/>
      <c r="S25" s="2063"/>
      <c r="T25" s="2124" t="s">
        <v>2064</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c r="B42" s="2057"/>
      <c r="C42" s="2058"/>
      <c r="D42" s="2056"/>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A36" sqref="A36:F3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59" colorId="8" zoomScale="60" zoomScaleNormal="100" workbookViewId="0">
      <selection activeCell="A36" sqref="A36:F3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36" sqref="A36:F3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205036421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1.7527000000000001E-2</v>
      </c>
      <c r="E10" s="333" t="s">
        <v>998</v>
      </c>
      <c r="F10" s="332">
        <v>2.49E-3</v>
      </c>
      <c r="G10" s="333" t="s">
        <v>998</v>
      </c>
      <c r="H10" s="332">
        <v>1.1950000000000001E-3</v>
      </c>
      <c r="I10" s="333" t="s">
        <v>999</v>
      </c>
      <c r="J10" s="1424">
        <f>ROUND(D10+F10+H10,5)</f>
        <v>2.121E-2</v>
      </c>
      <c r="K10" s="217"/>
      <c r="L10" s="332">
        <v>4.9799999999999996E-4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5618339</v>
      </c>
      <c r="E16" s="1547"/>
      <c r="F16" s="1546">
        <f>SUM('Acct Summary 7-8'!C17,'Acct Summary 7-8'!D17,'Acct Summary 7-8'!F17)</f>
        <v>7036728</v>
      </c>
      <c r="G16" s="1547"/>
      <c r="H16" s="1546">
        <f>SUM(D16-F16)</f>
        <v>-1418389</v>
      </c>
      <c r="I16" s="1548"/>
      <c r="J16" s="1546">
        <f>SUM('Acct Summary 7-8'!C81,'Acct Summary 7-8'!D81,'Acct Summary 7-8'!F81,'Acct Summary 7-8'!I81)</f>
        <v>2759810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14147513.049000001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6672000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A36" sqref="A36:F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Millstadt CCSD #160</v>
      </c>
      <c r="E7" s="368"/>
      <c r="G7" s="247"/>
      <c r="H7" s="364"/>
      <c r="I7" s="364"/>
      <c r="J7" s="364"/>
      <c r="K7" s="364"/>
      <c r="L7" s="307"/>
      <c r="M7" s="307"/>
      <c r="N7" s="307"/>
      <c r="O7" s="307"/>
      <c r="P7" s="307"/>
    </row>
    <row r="8" spans="1:18" ht="12.75" x14ac:dyDescent="0.2">
      <c r="A8" s="307"/>
      <c r="B8" s="307"/>
      <c r="C8" s="366" t="s">
        <v>1115</v>
      </c>
      <c r="D8" s="369">
        <f>COVER!A13</f>
        <v>50082160004</v>
      </c>
      <c r="E8" s="370"/>
      <c r="G8" s="307"/>
      <c r="H8" s="307"/>
      <c r="I8" s="307"/>
      <c r="J8" s="307"/>
      <c r="K8" s="307"/>
      <c r="L8" s="307"/>
      <c r="M8" s="307"/>
      <c r="N8" s="307"/>
      <c r="O8" s="307"/>
      <c r="P8" s="307"/>
    </row>
    <row r="9" spans="1:18" ht="12.75" x14ac:dyDescent="0.2">
      <c r="A9" s="307"/>
      <c r="B9" s="307"/>
      <c r="C9" s="366" t="s">
        <v>708</v>
      </c>
      <c r="D9" s="371" t="str">
        <f>COVER!A15</f>
        <v>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2759810</v>
      </c>
      <c r="I12" s="380"/>
      <c r="J12" s="380"/>
      <c r="K12" s="1559">
        <f>TRUNC((H12/H13*100000),5)/100000</f>
        <v>0.49121457419999998</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5618339</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1</v>
      </c>
      <c r="P16" s="211"/>
      <c r="R16" s="361"/>
    </row>
    <row r="17" spans="1:18" s="382" customFormat="1" ht="11.25" x14ac:dyDescent="0.2">
      <c r="A17" s="213"/>
      <c r="B17" s="377"/>
      <c r="C17" s="213" t="s">
        <v>792</v>
      </c>
      <c r="D17" s="213"/>
      <c r="E17" s="213"/>
      <c r="F17" s="213" t="s">
        <v>441</v>
      </c>
      <c r="G17" s="378"/>
      <c r="H17" s="1551">
        <f>SUM('Acct Summary 7-8'!C17+'Acct Summary 7-8'!D17+'Acct Summary 7-8'!F17)</f>
        <v>7036728</v>
      </c>
      <c r="I17" s="380"/>
      <c r="J17" s="389"/>
      <c r="K17" s="1559">
        <f>TRUNC((H17/H18*100000),5)/100000</f>
        <v>1.2524569984</v>
      </c>
      <c r="L17" s="381"/>
      <c r="M17" s="390" t="s">
        <v>1161</v>
      </c>
      <c r="O17" s="1565" t="str">
        <f>IF(AND(O16="2", J20 &gt; 2),"1",IF(AND(O16 = "1", J20 &gt; 2),"2",IF(AND(O16="1", J20 &gt;1),"1","0")))</f>
        <v>1</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5618339</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1.5496285000000001</v>
      </c>
      <c r="K20" s="1559">
        <f>IF(K17&lt;=1,"0",IF(AND(O16="2", J20 &gt; 2),TRUNC(((K12-0.1)/(K17-1)*100),5)/100,IF(AND(O16 = "1", J20 &gt; 2),TRUNC(((K12-0.1)/(K17-1)*100),5)/100,IF(AND(O16="1", J20 &gt;1),TRUNC(((K12-0.1)/(K17-1)*100),5)/100,""))))</f>
        <v>1.5496285000000001</v>
      </c>
      <c r="L20" s="213"/>
      <c r="M20" s="337" t="s">
        <v>1135</v>
      </c>
      <c r="N20" s="337"/>
      <c r="O20" s="1563">
        <f>(O16+O17)*O18</f>
        <v>0.7</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2759810</v>
      </c>
      <c r="I24" s="394"/>
      <c r="J24" s="394"/>
      <c r="K24" s="1555">
        <f>TRUNC(((H24/H25*100000)/100000),2)</f>
        <v>141.19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19546.466670000002</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3696499.1159999999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6672000</v>
      </c>
      <c r="I32" s="392"/>
      <c r="J32" s="392"/>
      <c r="K32" s="1555">
        <f>TRUNC(100-((((H32/H33*100))*100)/100),2)</f>
        <v>52.83</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14147513.049000001</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3.0999999999999996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topLeftCell="B1" colorId="8" zoomScale="60" zoomScaleNormal="110" workbookViewId="0">
      <pane ySplit="2" topLeftCell="A18" activePane="bottomLeft" state="frozen"/>
      <selection activeCell="A36" sqref="A36:F36"/>
      <selection pane="bottomLeft" activeCell="A36" sqref="A36:F3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526675</v>
      </c>
      <c r="D4" s="1573">
        <v>322928</v>
      </c>
      <c r="E4" s="1573">
        <v>463378</v>
      </c>
      <c r="F4" s="1573">
        <v>1029598</v>
      </c>
      <c r="G4" s="1573">
        <v>238264</v>
      </c>
      <c r="H4" s="1573">
        <v>0</v>
      </c>
      <c r="I4" s="1573">
        <v>880609</v>
      </c>
      <c r="J4" s="1574">
        <v>293945</v>
      </c>
      <c r="K4" s="1573">
        <v>64045</v>
      </c>
      <c r="L4" s="1573">
        <v>82390</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526675</v>
      </c>
      <c r="D13" s="1587">
        <f t="shared" ref="D13:L13" si="0">SUM(D4:D12)</f>
        <v>322928</v>
      </c>
      <c r="E13" s="1587">
        <f t="shared" si="0"/>
        <v>463378</v>
      </c>
      <c r="F13" s="1587">
        <f t="shared" si="0"/>
        <v>1029598</v>
      </c>
      <c r="G13" s="1587">
        <f t="shared" si="0"/>
        <v>238264</v>
      </c>
      <c r="H13" s="1587">
        <f t="shared" si="0"/>
        <v>0</v>
      </c>
      <c r="I13" s="1587">
        <f t="shared" si="0"/>
        <v>880609</v>
      </c>
      <c r="J13" s="1587">
        <f t="shared" si="0"/>
        <v>293945</v>
      </c>
      <c r="K13" s="1587">
        <f t="shared" si="0"/>
        <v>64045</v>
      </c>
      <c r="L13" s="1587">
        <f t="shared" si="0"/>
        <v>82390</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474102</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f>17330794-6802428</f>
        <v>10528366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f>346195+871522-308284-682274</f>
        <v>227159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463378</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6208622</v>
      </c>
    </row>
    <row r="23" spans="1:14" ht="13.5" customHeight="1" thickBot="1" x14ac:dyDescent="0.25">
      <c r="A23" s="1426" t="s">
        <v>638</v>
      </c>
      <c r="B23" s="1429"/>
      <c r="C23" s="1575"/>
      <c r="D23" s="1575"/>
      <c r="E23" s="1575"/>
      <c r="F23" s="1575"/>
      <c r="G23" s="1575"/>
      <c r="H23" s="1575"/>
      <c r="I23" s="1575"/>
      <c r="J23" s="1575"/>
      <c r="K23" s="1575"/>
      <c r="L23" s="1575"/>
      <c r="M23" s="1594">
        <f>SUM(M15:M22)</f>
        <v>11229627</v>
      </c>
      <c r="N23" s="1594">
        <f>SUM(N21:N22)</f>
        <v>6672000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82390</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82390</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6672000</v>
      </c>
    </row>
    <row r="37" spans="1:14" ht="13.5" thickBot="1" x14ac:dyDescent="0.25">
      <c r="A37" s="1426" t="s">
        <v>648</v>
      </c>
      <c r="B37" s="1429"/>
      <c r="C37" s="1582"/>
      <c r="D37" s="1582"/>
      <c r="E37" s="1582"/>
      <c r="F37" s="1582"/>
      <c r="G37" s="1582"/>
      <c r="H37" s="1582"/>
      <c r="I37" s="1582"/>
      <c r="J37" s="1582"/>
      <c r="K37" s="1582"/>
      <c r="L37" s="1585"/>
      <c r="M37" s="1575"/>
      <c r="N37" s="1594">
        <f>SUM(N36:N36)</f>
        <v>6672000</v>
      </c>
    </row>
    <row r="38" spans="1:14" s="307" customFormat="1" ht="13.5" customHeight="1" thickTop="1" x14ac:dyDescent="0.2">
      <c r="A38" s="438" t="s">
        <v>417</v>
      </c>
      <c r="B38" s="432">
        <v>714</v>
      </c>
      <c r="C38" s="1573"/>
      <c r="D38" s="1573"/>
      <c r="E38" s="1573">
        <v>463378</v>
      </c>
      <c r="F38" s="1573">
        <v>1029598</v>
      </c>
      <c r="G38" s="1573">
        <v>238264</v>
      </c>
      <c r="H38" s="1573">
        <v>0</v>
      </c>
      <c r="I38" s="1573">
        <v>880609</v>
      </c>
      <c r="J38" s="1574">
        <v>293945</v>
      </c>
      <c r="K38" s="1573">
        <v>64045</v>
      </c>
      <c r="L38" s="1586"/>
      <c r="M38" s="1604"/>
      <c r="N38" s="1604"/>
    </row>
    <row r="39" spans="1:14" s="307" customFormat="1" ht="13.5" customHeight="1" x14ac:dyDescent="0.2">
      <c r="A39" s="438" t="s">
        <v>339</v>
      </c>
      <c r="B39" s="432">
        <v>730</v>
      </c>
      <c r="C39" s="1573">
        <v>526675</v>
      </c>
      <c r="D39" s="1573">
        <v>322928</v>
      </c>
      <c r="E39" s="1573"/>
      <c r="F39" s="1573"/>
      <c r="G39" s="1573"/>
      <c r="H39" s="1573"/>
      <c r="I39" s="1573"/>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11229627</v>
      </c>
      <c r="N40" s="1604"/>
    </row>
    <row r="41" spans="1:14" ht="13.5" customHeight="1" thickBot="1" x14ac:dyDescent="0.25">
      <c r="A41" s="1426" t="s">
        <v>650</v>
      </c>
      <c r="B41" s="1405"/>
      <c r="C41" s="1594">
        <f>(SUM(C34,C37,C38,C39))</f>
        <v>526675</v>
      </c>
      <c r="D41" s="1594">
        <f t="shared" ref="D41:L41" si="2">SUM(D34,D37,D38:D39)</f>
        <v>322928</v>
      </c>
      <c r="E41" s="1594">
        <f t="shared" si="2"/>
        <v>463378</v>
      </c>
      <c r="F41" s="1594">
        <f t="shared" si="2"/>
        <v>1029598</v>
      </c>
      <c r="G41" s="1594">
        <f t="shared" si="2"/>
        <v>238264</v>
      </c>
      <c r="H41" s="1594">
        <f t="shared" si="2"/>
        <v>0</v>
      </c>
      <c r="I41" s="1594">
        <f t="shared" si="2"/>
        <v>880609</v>
      </c>
      <c r="J41" s="1594">
        <f t="shared" si="2"/>
        <v>293945</v>
      </c>
      <c r="K41" s="1594">
        <f t="shared" si="2"/>
        <v>64045</v>
      </c>
      <c r="L41" s="1594">
        <f t="shared" si="2"/>
        <v>82390</v>
      </c>
      <c r="M41" s="1594">
        <f>SUM(M40)</f>
        <v>11229627</v>
      </c>
      <c r="N41" s="1594">
        <f>SUM(N37)</f>
        <v>6672000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59" activePane="bottomLeft" state="frozen"/>
      <selection activeCell="A36" sqref="A36:F36"/>
      <selection pane="bottomLeft" activeCell="A36" sqref="A36:F3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3208230</v>
      </c>
      <c r="D4" s="1606">
        <f>'Revenues 9-14'!D109</f>
        <v>560729</v>
      </c>
      <c r="E4" s="1606">
        <f>'Revenues 9-14'!E109</f>
        <v>783130</v>
      </c>
      <c r="F4" s="1606">
        <f>'Revenues 9-14'!F109</f>
        <v>175896</v>
      </c>
      <c r="G4" s="1606">
        <f>'Revenues 9-14'!G109</f>
        <v>257708</v>
      </c>
      <c r="H4" s="1606">
        <f>'Revenues 9-14'!H109</f>
        <v>0</v>
      </c>
      <c r="I4" s="1606">
        <f>'Revenues 9-14'!I109</f>
        <v>72432</v>
      </c>
      <c r="J4" s="1606">
        <f>'Revenues 9-14'!J109</f>
        <v>442216</v>
      </c>
      <c r="K4" s="1606">
        <f>'Revenues 9-14'!K109</f>
        <v>72432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1064656</v>
      </c>
      <c r="D6" s="1607">
        <f>'Revenues 9-14'!D170</f>
        <v>50000</v>
      </c>
      <c r="E6" s="1607">
        <f>'Revenues 9-14'!E170</f>
        <v>0</v>
      </c>
      <c r="F6" s="1607">
        <f>'Revenues 9-14'!F170</f>
        <v>26288</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460108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4732994</v>
      </c>
      <c r="D8" s="1594">
        <f t="shared" ref="D8:K8" si="0">SUM(D4:D7)</f>
        <v>610729</v>
      </c>
      <c r="E8" s="1594">
        <f t="shared" si="0"/>
        <v>783130</v>
      </c>
      <c r="F8" s="1594">
        <f t="shared" si="0"/>
        <v>202184</v>
      </c>
      <c r="G8" s="1594">
        <f t="shared" si="0"/>
        <v>257708</v>
      </c>
      <c r="H8" s="1594">
        <f t="shared" si="0"/>
        <v>0</v>
      </c>
      <c r="I8" s="1594">
        <f t="shared" si="0"/>
        <v>72432</v>
      </c>
      <c r="J8" s="1594">
        <f t="shared" si="0"/>
        <v>442216</v>
      </c>
      <c r="K8" s="1594">
        <f t="shared" si="0"/>
        <v>72432</v>
      </c>
      <c r="L8" s="325"/>
    </row>
    <row r="9" spans="1:13" ht="15.75" thickTop="1" x14ac:dyDescent="0.2">
      <c r="A9" s="449" t="s">
        <v>1634</v>
      </c>
      <c r="B9" s="450">
        <v>3998</v>
      </c>
      <c r="C9" s="1586">
        <v>3318018</v>
      </c>
      <c r="D9" s="1613"/>
      <c r="E9" s="1586"/>
      <c r="F9" s="1586"/>
      <c r="G9" s="1614"/>
      <c r="H9" s="1586"/>
      <c r="I9" s="1609" t="s">
        <v>1159</v>
      </c>
      <c r="J9" s="1583"/>
      <c r="K9" s="1586"/>
      <c r="L9" s="325"/>
    </row>
    <row r="10" spans="1:13" s="452" customFormat="1" ht="13.5" thickBot="1" x14ac:dyDescent="0.25">
      <c r="A10" s="1426" t="s">
        <v>1163</v>
      </c>
      <c r="B10" s="1407"/>
      <c r="C10" s="1594">
        <f>SUM(C8:C9)</f>
        <v>8051012</v>
      </c>
      <c r="D10" s="1594">
        <f t="shared" ref="D10:K10" si="1">SUM(D8:D9)</f>
        <v>610729</v>
      </c>
      <c r="E10" s="1594">
        <f t="shared" si="1"/>
        <v>783130</v>
      </c>
      <c r="F10" s="1594">
        <f t="shared" si="1"/>
        <v>202184</v>
      </c>
      <c r="G10" s="1594">
        <f t="shared" si="1"/>
        <v>257708</v>
      </c>
      <c r="H10" s="1594">
        <f t="shared" si="1"/>
        <v>0</v>
      </c>
      <c r="I10" s="1594">
        <f t="shared" si="1"/>
        <v>72432</v>
      </c>
      <c r="J10" s="1594">
        <f t="shared" si="1"/>
        <v>442216</v>
      </c>
      <c r="K10" s="1594">
        <f t="shared" si="1"/>
        <v>72432</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4777696</v>
      </c>
      <c r="D12" s="1616" t="s">
        <v>1159</v>
      </c>
      <c r="E12" s="1575" t="s">
        <v>1159</v>
      </c>
      <c r="F12" s="1575" t="s">
        <v>1159</v>
      </c>
      <c r="G12" s="1606">
        <f>'Expenditures 15-22'!K229</f>
        <v>120583</v>
      </c>
      <c r="H12" s="1617"/>
      <c r="I12" s="1575" t="s">
        <v>1159</v>
      </c>
      <c r="J12" s="1575" t="s">
        <v>1159</v>
      </c>
      <c r="K12" s="1617" t="s">
        <v>1159</v>
      </c>
      <c r="L12" s="325"/>
    </row>
    <row r="13" spans="1:13" ht="15.75" customHeight="1" x14ac:dyDescent="0.2">
      <c r="A13" s="1314" t="s">
        <v>454</v>
      </c>
      <c r="B13" s="1316">
        <v>2000</v>
      </c>
      <c r="C13" s="1607">
        <f>'Expenditures 15-22'!K74</f>
        <v>927100</v>
      </c>
      <c r="D13" s="1607">
        <f>'Expenditures 15-22'!K129</f>
        <v>626670</v>
      </c>
      <c r="E13" s="1576" t="s">
        <v>1159</v>
      </c>
      <c r="F13" s="1607">
        <f>'Expenditures 15-22'!K184</f>
        <v>382212</v>
      </c>
      <c r="G13" s="1607">
        <f>'Expenditures 15-22'!K279</f>
        <v>127229</v>
      </c>
      <c r="H13" s="1607">
        <f>'Expenditures 15-22'!K303</f>
        <v>0</v>
      </c>
      <c r="I13" s="1575" t="s">
        <v>1159</v>
      </c>
      <c r="J13" s="1607">
        <f>'Expenditures 15-22'!K330</f>
        <v>503204</v>
      </c>
      <c r="K13" s="1618">
        <f>'Expenditures 15-22'!K352</f>
        <v>135649</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232796</v>
      </c>
      <c r="D15" s="1607">
        <f>'Expenditures 15-22'!K139</f>
        <v>68921</v>
      </c>
      <c r="E15" s="1607">
        <f>'Expenditures 15-22'!K160</f>
        <v>0</v>
      </c>
      <c r="F15" s="1607">
        <f>'Expenditures 15-22'!K196</f>
        <v>21333</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1088927</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5937592</v>
      </c>
      <c r="D17" s="1594">
        <f t="shared" si="2"/>
        <v>695591</v>
      </c>
      <c r="E17" s="1594">
        <f t="shared" si="2"/>
        <v>1088927</v>
      </c>
      <c r="F17" s="1594">
        <f t="shared" si="2"/>
        <v>403545</v>
      </c>
      <c r="G17" s="1594">
        <f t="shared" si="2"/>
        <v>247812</v>
      </c>
      <c r="H17" s="1594">
        <f t="shared" si="2"/>
        <v>0</v>
      </c>
      <c r="I17" s="1575"/>
      <c r="J17" s="1594">
        <f>SUM(J12:J16)</f>
        <v>503204</v>
      </c>
      <c r="K17" s="1594">
        <f>SUM(K12:K16)</f>
        <v>135649</v>
      </c>
      <c r="L17" s="325"/>
    </row>
    <row r="18" spans="1:12" ht="15" customHeight="1" thickTop="1" x14ac:dyDescent="0.2">
      <c r="A18" s="1430" t="s">
        <v>1635</v>
      </c>
      <c r="B18" s="1431">
        <v>4180</v>
      </c>
      <c r="C18" s="1606">
        <f t="shared" ref="C18:H18" si="3">C9</f>
        <v>3318018</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9255610</v>
      </c>
      <c r="D19" s="1594">
        <f t="shared" si="4"/>
        <v>695591</v>
      </c>
      <c r="E19" s="1594">
        <f t="shared" si="4"/>
        <v>1088927</v>
      </c>
      <c r="F19" s="1594">
        <f t="shared" si="4"/>
        <v>403545</v>
      </c>
      <c r="G19" s="1594">
        <f t="shared" si="4"/>
        <v>247812</v>
      </c>
      <c r="H19" s="1594">
        <f t="shared" si="4"/>
        <v>0</v>
      </c>
      <c r="I19" s="1575"/>
      <c r="J19" s="1594">
        <f>SUM(J17:J18)</f>
        <v>503204</v>
      </c>
      <c r="K19" s="1594">
        <f>SUM(K17:K18)</f>
        <v>135649</v>
      </c>
      <c r="L19" s="325"/>
    </row>
    <row r="20" spans="1:12" ht="16.5" thickTop="1" thickBot="1" x14ac:dyDescent="0.25">
      <c r="A20" s="2231" t="s">
        <v>1636</v>
      </c>
      <c r="B20" s="2232"/>
      <c r="C20" s="1622">
        <f>C8-C17</f>
        <v>-1204598</v>
      </c>
      <c r="D20" s="1622">
        <f t="shared" ref="D20:K20" si="5">D8-D17</f>
        <v>-84862</v>
      </c>
      <c r="E20" s="1622">
        <f t="shared" si="5"/>
        <v>-305797</v>
      </c>
      <c r="F20" s="1622">
        <f t="shared" si="5"/>
        <v>-201361</v>
      </c>
      <c r="G20" s="1622">
        <f t="shared" si="5"/>
        <v>9896</v>
      </c>
      <c r="H20" s="1622">
        <f t="shared" si="5"/>
        <v>0</v>
      </c>
      <c r="I20" s="1622">
        <f t="shared" si="5"/>
        <v>72432</v>
      </c>
      <c r="J20" s="1622">
        <f t="shared" si="5"/>
        <v>-60988</v>
      </c>
      <c r="K20" s="1622">
        <f t="shared" si="5"/>
        <v>-63217</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v>500000</v>
      </c>
      <c r="D25" s="1574">
        <v>200000</v>
      </c>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21252</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v>9745</v>
      </c>
      <c r="F43" s="1574"/>
      <c r="G43" s="1574"/>
      <c r="H43" s="1574"/>
      <c r="I43" s="1574"/>
      <c r="J43" s="1574"/>
      <c r="K43" s="1574"/>
      <c r="L43" s="453"/>
    </row>
    <row r="44" spans="1:12" s="433" customFormat="1" ht="13.5" customHeight="1" thickBot="1" x14ac:dyDescent="0.25">
      <c r="A44" s="2245" t="s">
        <v>371</v>
      </c>
      <c r="B44" s="2246"/>
      <c r="C44" s="1624">
        <f>SUM(C24:C43)</f>
        <v>500000</v>
      </c>
      <c r="D44" s="1624">
        <f t="shared" ref="D44:K44" si="6">SUM(D24:D43)</f>
        <v>200000</v>
      </c>
      <c r="E44" s="1624">
        <f t="shared" si="6"/>
        <v>30997</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700000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v>21252</v>
      </c>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v>9745</v>
      </c>
      <c r="K75" s="1628"/>
      <c r="L75" s="453"/>
    </row>
    <row r="76" spans="1:12" s="433" customFormat="1" ht="14.25" thickTop="1" thickBot="1" x14ac:dyDescent="0.25">
      <c r="A76" s="2221" t="s">
        <v>437</v>
      </c>
      <c r="B76" s="2222"/>
      <c r="C76" s="1624">
        <f t="shared" ref="C76:K76" si="7">SUM(C47:C75)</f>
        <v>0</v>
      </c>
      <c r="D76" s="1624">
        <f t="shared" si="7"/>
        <v>21252</v>
      </c>
      <c r="E76" s="1624">
        <f t="shared" si="7"/>
        <v>0</v>
      </c>
      <c r="F76" s="1624">
        <f t="shared" si="7"/>
        <v>0</v>
      </c>
      <c r="G76" s="1624">
        <f t="shared" si="7"/>
        <v>0</v>
      </c>
      <c r="H76" s="1624">
        <f t="shared" si="7"/>
        <v>0</v>
      </c>
      <c r="I76" s="1624">
        <f t="shared" si="7"/>
        <v>700000</v>
      </c>
      <c r="J76" s="1624">
        <f t="shared" si="7"/>
        <v>9745</v>
      </c>
      <c r="K76" s="1624">
        <f t="shared" si="7"/>
        <v>0</v>
      </c>
      <c r="L76" s="453"/>
    </row>
    <row r="77" spans="1:12" ht="14.25" thickTop="1" thickBot="1" x14ac:dyDescent="0.25">
      <c r="A77" s="2223" t="s">
        <v>1167</v>
      </c>
      <c r="B77" s="2224"/>
      <c r="C77" s="1624">
        <f t="shared" ref="C77:K77" si="8">C44-C76</f>
        <v>500000</v>
      </c>
      <c r="D77" s="1624">
        <f t="shared" si="8"/>
        <v>178748</v>
      </c>
      <c r="E77" s="1624">
        <f t="shared" si="8"/>
        <v>30997</v>
      </c>
      <c r="F77" s="1624">
        <f t="shared" si="8"/>
        <v>0</v>
      </c>
      <c r="G77" s="1624">
        <f t="shared" si="8"/>
        <v>0</v>
      </c>
      <c r="H77" s="1624">
        <f t="shared" si="8"/>
        <v>0</v>
      </c>
      <c r="I77" s="1624">
        <f t="shared" si="8"/>
        <v>-700000</v>
      </c>
      <c r="J77" s="1624">
        <f t="shared" si="8"/>
        <v>-9745</v>
      </c>
      <c r="K77" s="1624">
        <f t="shared" si="8"/>
        <v>0</v>
      </c>
      <c r="L77" s="325"/>
    </row>
    <row r="78" spans="1:12" ht="21.75" customHeight="1" thickTop="1" thickBot="1" x14ac:dyDescent="0.25">
      <c r="A78" s="2227" t="s">
        <v>593</v>
      </c>
      <c r="B78" s="2228"/>
      <c r="C78" s="1629">
        <f t="shared" ref="C78:K78" si="9">C20+C77</f>
        <v>-704598</v>
      </c>
      <c r="D78" s="1629">
        <f t="shared" si="9"/>
        <v>93886</v>
      </c>
      <c r="E78" s="1629">
        <f t="shared" si="9"/>
        <v>-274800</v>
      </c>
      <c r="F78" s="1629">
        <f t="shared" si="9"/>
        <v>-201361</v>
      </c>
      <c r="G78" s="1629">
        <f t="shared" si="9"/>
        <v>9896</v>
      </c>
      <c r="H78" s="1629">
        <f t="shared" si="9"/>
        <v>0</v>
      </c>
      <c r="I78" s="1629">
        <f t="shared" si="9"/>
        <v>-627568</v>
      </c>
      <c r="J78" s="1629">
        <f t="shared" si="9"/>
        <v>-70733</v>
      </c>
      <c r="K78" s="1629">
        <f t="shared" si="9"/>
        <v>-63217</v>
      </c>
      <c r="L78" s="457"/>
    </row>
    <row r="79" spans="1:12" ht="13.5" thickTop="1" x14ac:dyDescent="0.2">
      <c r="A79" s="1844" t="str">
        <f>"Fund Balances - July 1, "&amp;'AFR20'!E2-1</f>
        <v>Fund Balances - July 1, 2019</v>
      </c>
      <c r="B79" s="458"/>
      <c r="C79" s="1583">
        <v>1231273</v>
      </c>
      <c r="D79" s="1630">
        <v>229042</v>
      </c>
      <c r="E79" s="1630">
        <v>738178</v>
      </c>
      <c r="F79" s="1630">
        <v>1230959</v>
      </c>
      <c r="G79" s="1630">
        <v>228368</v>
      </c>
      <c r="H79" s="1630">
        <v>0</v>
      </c>
      <c r="I79" s="1630">
        <v>1508177</v>
      </c>
      <c r="J79" s="1630">
        <v>364678</v>
      </c>
      <c r="K79" s="1630">
        <v>127262</v>
      </c>
      <c r="L79" s="325"/>
    </row>
    <row r="80" spans="1:12" x14ac:dyDescent="0.2">
      <c r="A80" s="2233" t="s">
        <v>1772</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526675</v>
      </c>
      <c r="D81" s="1594">
        <f>SUM(D78:D80)</f>
        <v>322928</v>
      </c>
      <c r="E81" s="1594">
        <f t="shared" ref="E81:K81" si="10">SUM(E78:E80)</f>
        <v>463378</v>
      </c>
      <c r="F81" s="1594">
        <f t="shared" si="10"/>
        <v>1029598</v>
      </c>
      <c r="G81" s="1594">
        <f t="shared" si="10"/>
        <v>238264</v>
      </c>
      <c r="H81" s="1594">
        <f t="shared" si="10"/>
        <v>0</v>
      </c>
      <c r="I81" s="1594">
        <f t="shared" si="10"/>
        <v>880609</v>
      </c>
      <c r="J81" s="1594">
        <f t="shared" si="10"/>
        <v>293945</v>
      </c>
      <c r="K81" s="1594">
        <f t="shared" si="10"/>
        <v>64045</v>
      </c>
      <c r="L81" s="325"/>
    </row>
    <row r="82" spans="1:12" ht="0.75" customHeight="1" thickTop="1" thickBot="1" x14ac:dyDescent="0.25">
      <c r="A82" s="459" t="s">
        <v>340</v>
      </c>
      <c r="B82" s="460"/>
      <c r="C82" s="461">
        <f>(C81-C79)</f>
        <v>-704598</v>
      </c>
      <c r="D82" s="461">
        <f t="shared" ref="D82:K82" si="11">(D81-D79)</f>
        <v>93886</v>
      </c>
      <c r="E82" s="461">
        <f t="shared" si="11"/>
        <v>-274800</v>
      </c>
      <c r="F82" s="461">
        <f t="shared" si="11"/>
        <v>-201361</v>
      </c>
      <c r="G82" s="461">
        <f t="shared" si="11"/>
        <v>9896</v>
      </c>
      <c r="H82" s="461">
        <f t="shared" si="11"/>
        <v>0</v>
      </c>
      <c r="I82" s="461">
        <f t="shared" si="11"/>
        <v>-627568</v>
      </c>
      <c r="J82" s="461">
        <f t="shared" si="11"/>
        <v>-70733</v>
      </c>
      <c r="K82" s="461">
        <f t="shared" si="11"/>
        <v>-63217</v>
      </c>
    </row>
    <row r="83" spans="1:12" ht="14.25" hidden="1" thickTop="1" thickBot="1" x14ac:dyDescent="0.25">
      <c r="A83" s="462" t="s">
        <v>341</v>
      </c>
      <c r="B83" s="428"/>
      <c r="C83" s="463">
        <f>C82/C81</f>
        <v>-1.337823135709878</v>
      </c>
      <c r="D83" s="463">
        <f t="shared" ref="D83:K83" si="12">D82/D81</f>
        <v>0.29073353812614577</v>
      </c>
      <c r="E83" s="463">
        <f t="shared" si="12"/>
        <v>-0.593036354768677</v>
      </c>
      <c r="F83" s="463">
        <f t="shared" si="12"/>
        <v>-0.19557244672192448</v>
      </c>
      <c r="G83" s="463">
        <f t="shared" si="12"/>
        <v>4.1533760870295137E-2</v>
      </c>
      <c r="H83" s="463" t="e">
        <f t="shared" si="12"/>
        <v>#DIV/0!</v>
      </c>
      <c r="I83" s="463">
        <f t="shared" si="12"/>
        <v>-0.71265226678355542</v>
      </c>
      <c r="J83" s="463">
        <f t="shared" si="12"/>
        <v>-0.24063345183622786</v>
      </c>
      <c r="K83" s="463">
        <f t="shared" si="12"/>
        <v>-0.98707159028807867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4" activePane="bottomLeft" state="frozen"/>
      <selection activeCell="A36" sqref="A36:F36"/>
      <selection pane="bottomLeft" activeCell="C84" sqref="C8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2552425</v>
      </c>
      <c r="D5" s="1586">
        <v>362155</v>
      </c>
      <c r="E5" s="1573">
        <v>783130</v>
      </c>
      <c r="F5" s="1631">
        <v>173834</v>
      </c>
      <c r="G5" s="1573">
        <v>128491</v>
      </c>
      <c r="H5" s="1573"/>
      <c r="I5" s="1573">
        <v>72432</v>
      </c>
      <c r="J5" s="1574">
        <v>437194</v>
      </c>
      <c r="K5" s="1573">
        <v>72432</v>
      </c>
    </row>
    <row r="6" spans="1:12" ht="15" x14ac:dyDescent="0.2">
      <c r="A6" s="427" t="s">
        <v>1643</v>
      </c>
      <c r="B6" s="429">
        <v>1130</v>
      </c>
      <c r="C6" s="1573"/>
      <c r="D6" s="1573">
        <v>72432</v>
      </c>
      <c r="E6" s="1580"/>
      <c r="F6" s="1580"/>
      <c r="G6" s="1575"/>
      <c r="H6" s="1575"/>
      <c r="I6" s="1575"/>
      <c r="J6" s="1575"/>
      <c r="K6" s="1575"/>
    </row>
    <row r="7" spans="1:12" x14ac:dyDescent="0.2">
      <c r="A7" s="427" t="s">
        <v>110</v>
      </c>
      <c r="B7" s="471">
        <v>1140</v>
      </c>
      <c r="C7" s="1573">
        <v>28975</v>
      </c>
      <c r="D7" s="1573"/>
      <c r="E7" s="1575"/>
      <c r="F7" s="1574"/>
      <c r="G7" s="1574"/>
      <c r="H7" s="1574"/>
      <c r="I7" s="1575"/>
      <c r="J7" s="1575"/>
      <c r="K7" s="1575"/>
    </row>
    <row r="8" spans="1:12" x14ac:dyDescent="0.2">
      <c r="A8" s="427" t="s">
        <v>410</v>
      </c>
      <c r="B8" s="429">
        <v>1150</v>
      </c>
      <c r="C8" s="1580"/>
      <c r="D8" s="1580"/>
      <c r="E8" s="1582"/>
      <c r="F8" s="1582"/>
      <c r="G8" s="1586">
        <v>129217</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2581400</v>
      </c>
      <c r="D12" s="1633">
        <f t="shared" si="0"/>
        <v>434587</v>
      </c>
      <c r="E12" s="1633">
        <f t="shared" si="0"/>
        <v>783130</v>
      </c>
      <c r="F12" s="1633">
        <f t="shared" si="0"/>
        <v>173834</v>
      </c>
      <c r="G12" s="1633">
        <f t="shared" si="0"/>
        <v>257708</v>
      </c>
      <c r="H12" s="1633">
        <f t="shared" si="0"/>
        <v>0</v>
      </c>
      <c r="I12" s="1633">
        <f t="shared" si="0"/>
        <v>72432</v>
      </c>
      <c r="J12" s="1633">
        <f t="shared" si="0"/>
        <v>437194</v>
      </c>
      <c r="K12" s="1594">
        <f t="shared" si="0"/>
        <v>72432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71622</v>
      </c>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71622</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172099</v>
      </c>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v>125151</v>
      </c>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297250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v>2012</v>
      </c>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v>50</v>
      </c>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2062</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67816</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67816</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v>122772</v>
      </c>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122772</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12815</v>
      </c>
      <c r="D81" s="1573"/>
      <c r="E81" s="1575"/>
      <c r="F81" s="1575"/>
      <c r="G81" s="1575"/>
      <c r="H81" s="1575"/>
      <c r="I81" s="1575"/>
      <c r="J81" s="1575"/>
      <c r="K81" s="1575"/>
    </row>
    <row r="82" spans="1:11" ht="12.75" customHeight="1" thickBot="1" x14ac:dyDescent="0.25">
      <c r="A82" s="1406" t="s">
        <v>239</v>
      </c>
      <c r="B82" s="1407"/>
      <c r="C82" s="1633">
        <f>SUM(C77:C81)</f>
        <v>12815</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51650</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51650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2905</v>
      </c>
      <c r="D107" s="1573">
        <v>126142</v>
      </c>
      <c r="E107" s="1573"/>
      <c r="F107" s="1573"/>
      <c r="G107" s="1573"/>
      <c r="H107" s="1573"/>
      <c r="I107" s="1573"/>
      <c r="J107" s="1574">
        <v>5022</v>
      </c>
      <c r="K107" s="1573"/>
    </row>
    <row r="108" spans="1:12" ht="12.75" customHeight="1" thickBot="1" x14ac:dyDescent="0.25">
      <c r="A108" s="1406" t="s">
        <v>484</v>
      </c>
      <c r="B108" s="1408"/>
      <c r="C108" s="1633">
        <f>SUM(C95:C107)</f>
        <v>2905</v>
      </c>
      <c r="D108" s="1633">
        <f t="shared" ref="D108:K108" si="3">SUM(D95:D107)</f>
        <v>126142</v>
      </c>
      <c r="E108" s="1633">
        <f t="shared" si="3"/>
        <v>0</v>
      </c>
      <c r="F108" s="1633">
        <f t="shared" si="3"/>
        <v>0</v>
      </c>
      <c r="G108" s="1633">
        <f t="shared" si="3"/>
        <v>0</v>
      </c>
      <c r="H108" s="1633">
        <f t="shared" si="3"/>
        <v>0</v>
      </c>
      <c r="I108" s="1633">
        <f t="shared" si="3"/>
        <v>0</v>
      </c>
      <c r="J108" s="1633">
        <f t="shared" si="3"/>
        <v>5022</v>
      </c>
      <c r="K108" s="1594">
        <f t="shared" si="3"/>
        <v>0</v>
      </c>
    </row>
    <row r="109" spans="1:12" ht="14.25" thickTop="1" thickBot="1" x14ac:dyDescent="0.25">
      <c r="A109" s="1409" t="s">
        <v>246</v>
      </c>
      <c r="B109" s="1410" t="s">
        <v>566</v>
      </c>
      <c r="C109" s="1641">
        <f t="shared" ref="C109:K109" si="4">SUM(C12,C18,C40,C63,C67,C75,C82,C93,C108,)</f>
        <v>3208230</v>
      </c>
      <c r="D109" s="1641">
        <f t="shared" si="4"/>
        <v>560729</v>
      </c>
      <c r="E109" s="1641">
        <f t="shared" si="4"/>
        <v>783130</v>
      </c>
      <c r="F109" s="1641">
        <f t="shared" si="4"/>
        <v>175896</v>
      </c>
      <c r="G109" s="1641">
        <f t="shared" si="4"/>
        <v>257708</v>
      </c>
      <c r="H109" s="1641">
        <f t="shared" si="4"/>
        <v>0</v>
      </c>
      <c r="I109" s="1641">
        <f t="shared" si="4"/>
        <v>72432</v>
      </c>
      <c r="J109" s="1641">
        <f t="shared" si="4"/>
        <v>442216</v>
      </c>
      <c r="K109" s="1629">
        <f t="shared" si="4"/>
        <v>72432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1062319</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1062319</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v>1477</v>
      </c>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1477</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860</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6790</v>
      </c>
      <c r="G152" s="1574"/>
      <c r="H152" s="1575"/>
      <c r="I152" s="1575"/>
      <c r="J152" s="1575"/>
      <c r="K152" s="1575"/>
    </row>
    <row r="153" spans="1:11" ht="12.75" customHeight="1" x14ac:dyDescent="0.2">
      <c r="A153" s="427" t="s">
        <v>1048</v>
      </c>
      <c r="B153" s="478">
        <v>3510</v>
      </c>
      <c r="C153" s="1632"/>
      <c r="D153" s="1573"/>
      <c r="E153" s="1640"/>
      <c r="F153" s="1573">
        <v>19498</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26288</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2337</v>
      </c>
      <c r="D169" s="1658">
        <f t="shared" si="6"/>
        <v>50000</v>
      </c>
      <c r="E169" s="1658">
        <f t="shared" si="6"/>
        <v>0</v>
      </c>
      <c r="F169" s="1658">
        <f t="shared" si="6"/>
        <v>26288</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1064656</v>
      </c>
      <c r="D170" s="1641">
        <f t="shared" si="7"/>
        <v>50000</v>
      </c>
      <c r="E170" s="1641">
        <f t="shared" si="7"/>
        <v>0</v>
      </c>
      <c r="F170" s="1641">
        <f t="shared" si="7"/>
        <v>26288</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50789</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14816</v>
      </c>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v>80352</v>
      </c>
      <c r="D197" s="1575"/>
      <c r="E197" s="1640"/>
      <c r="F197" s="1575"/>
      <c r="G197" s="1664"/>
      <c r="H197" s="1575"/>
      <c r="I197" s="1575"/>
      <c r="J197" s="1575"/>
      <c r="K197" s="1575"/>
    </row>
    <row r="198" spans="1:11" ht="12.75" customHeight="1" thickBot="1" x14ac:dyDescent="0.25">
      <c r="A198" s="1406" t="s">
        <v>544</v>
      </c>
      <c r="B198" s="1407"/>
      <c r="C198" s="1594">
        <f>SUM(C190:C197)</f>
        <v>145957</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87736</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87736</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8067</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8067</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183411</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183411</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4823</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30114</v>
      </c>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460108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460108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4732994</v>
      </c>
      <c r="D268" s="1641">
        <f t="shared" si="12"/>
        <v>610729</v>
      </c>
      <c r="E268" s="1641">
        <f t="shared" si="12"/>
        <v>783130</v>
      </c>
      <c r="F268" s="1641">
        <f t="shared" si="12"/>
        <v>202184</v>
      </c>
      <c r="G268" s="1641">
        <f t="shared" si="12"/>
        <v>257708</v>
      </c>
      <c r="H268" s="1641">
        <f t="shared" si="12"/>
        <v>0</v>
      </c>
      <c r="I268" s="1641">
        <f t="shared" si="12"/>
        <v>72432</v>
      </c>
      <c r="J268" s="1641">
        <f t="shared" si="12"/>
        <v>442216</v>
      </c>
      <c r="K268" s="1629">
        <f t="shared" si="12"/>
        <v>72432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colorId="8" zoomScale="60" zoomScaleNormal="110" workbookViewId="0">
      <pane ySplit="2" topLeftCell="A36" activePane="bottomLeft" state="frozen"/>
      <selection activeCell="A36" sqref="A36:F36"/>
      <selection pane="bottomLeft" activeCell="A36" sqref="A36:F3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2488586</v>
      </c>
      <c r="D5" s="1573">
        <v>556158</v>
      </c>
      <c r="E5" s="1573">
        <v>28191</v>
      </c>
      <c r="F5" s="1573">
        <v>75537</v>
      </c>
      <c r="G5" s="1573"/>
      <c r="H5" s="1573"/>
      <c r="I5" s="1574"/>
      <c r="J5" s="1574"/>
      <c r="K5" s="1672">
        <f>SUM(C5:J5)</f>
        <v>3148472</v>
      </c>
      <c r="L5" s="1573">
        <v>3179874</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f>32366+50057</f>
        <v>82423</v>
      </c>
      <c r="D7" s="1574">
        <f>7818+19556</f>
        <v>27374</v>
      </c>
      <c r="E7" s="1574"/>
      <c r="F7" s="1574">
        <f>383+1910</f>
        <v>2293</v>
      </c>
      <c r="G7" s="1574"/>
      <c r="H7" s="1574"/>
      <c r="I7" s="1574"/>
      <c r="J7" s="1574"/>
      <c r="K7" s="1672">
        <f t="shared" ref="K7:K32" si="0">SUM(C7:J7)</f>
        <v>112090</v>
      </c>
      <c r="L7" s="1573">
        <v>112211</v>
      </c>
    </row>
    <row r="8" spans="1:14" x14ac:dyDescent="0.2">
      <c r="A8" s="1274" t="s">
        <v>163</v>
      </c>
      <c r="B8" s="503">
        <v>1200</v>
      </c>
      <c r="C8" s="1573">
        <f>532318+195608+134891+1480</f>
        <v>864297</v>
      </c>
      <c r="D8" s="1573">
        <f>52581+19407+3389+1251+10282+3795+43261+7497-1</f>
        <v>141462</v>
      </c>
      <c r="E8" s="1573"/>
      <c r="F8" s="1573">
        <f>1577+453</f>
        <v>2030</v>
      </c>
      <c r="G8" s="1573"/>
      <c r="H8" s="1573"/>
      <c r="I8" s="1574"/>
      <c r="J8" s="1574"/>
      <c r="K8" s="1672">
        <f t="shared" si="0"/>
        <v>1007789</v>
      </c>
      <c r="L8" s="1573">
        <v>953167</v>
      </c>
    </row>
    <row r="9" spans="1:14" x14ac:dyDescent="0.2">
      <c r="A9" s="1274" t="s">
        <v>716</v>
      </c>
      <c r="B9" s="503" t="s">
        <v>962</v>
      </c>
      <c r="C9" s="1574">
        <f>68852+46343</f>
        <v>115195</v>
      </c>
      <c r="D9" s="1574">
        <f>6842+441+1338</f>
        <v>8621</v>
      </c>
      <c r="E9" s="1574">
        <v>11396</v>
      </c>
      <c r="F9" s="1574">
        <v>0</v>
      </c>
      <c r="G9" s="1574"/>
      <c r="H9" s="1574"/>
      <c r="I9" s="1574"/>
      <c r="J9" s="1574"/>
      <c r="K9" s="1672">
        <f t="shared" si="0"/>
        <v>135212</v>
      </c>
      <c r="L9" s="1573">
        <v>134389</v>
      </c>
    </row>
    <row r="10" spans="1:14" x14ac:dyDescent="0.2">
      <c r="A10" s="1274" t="s">
        <v>717</v>
      </c>
      <c r="B10" s="503">
        <v>1250</v>
      </c>
      <c r="C10" s="1573">
        <f>296323-37684</f>
        <v>258639</v>
      </c>
      <c r="D10" s="1573">
        <f>-4543+44314</f>
        <v>39771</v>
      </c>
      <c r="E10" s="1573">
        <f>-9636+23071</f>
        <v>13435</v>
      </c>
      <c r="F10" s="1573">
        <v>8275</v>
      </c>
      <c r="G10" s="1573"/>
      <c r="H10" s="1573"/>
      <c r="I10" s="1574"/>
      <c r="J10" s="1574"/>
      <c r="K10" s="1672">
        <f t="shared" si="0"/>
        <v>320120</v>
      </c>
      <c r="L10" s="1573">
        <v>379901</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37684</v>
      </c>
      <c r="D14" s="1573">
        <f>2226+143+435+1739</f>
        <v>4543</v>
      </c>
      <c r="E14" s="1573">
        <v>9636</v>
      </c>
      <c r="F14" s="1573">
        <v>2150</v>
      </c>
      <c r="G14" s="1573"/>
      <c r="H14" s="1573"/>
      <c r="I14" s="1574"/>
      <c r="J14" s="1574"/>
      <c r="K14" s="1672">
        <f t="shared" si="0"/>
        <v>54013</v>
      </c>
      <c r="L14" s="1573">
        <v>53800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3846824</v>
      </c>
      <c r="D33" s="1674">
        <f t="shared" ref="D33:L33" si="1">SUM(D5:D32)</f>
        <v>777929</v>
      </c>
      <c r="E33" s="1674">
        <f t="shared" si="1"/>
        <v>62658</v>
      </c>
      <c r="F33" s="1674">
        <f t="shared" si="1"/>
        <v>90285</v>
      </c>
      <c r="G33" s="1674">
        <f t="shared" si="1"/>
        <v>0</v>
      </c>
      <c r="H33" s="1674">
        <f t="shared" si="1"/>
        <v>0</v>
      </c>
      <c r="I33" s="1674">
        <f t="shared" si="1"/>
        <v>0</v>
      </c>
      <c r="J33" s="1674">
        <f t="shared" si="1"/>
        <v>0</v>
      </c>
      <c r="K33" s="1674">
        <f t="shared" si="1"/>
        <v>4777696</v>
      </c>
      <c r="L33" s="1674">
        <f t="shared" si="1"/>
        <v>4813342</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70332</v>
      </c>
      <c r="D36" s="1586">
        <f>16281-23</f>
        <v>16258</v>
      </c>
      <c r="E36" s="1586"/>
      <c r="F36" s="1586"/>
      <c r="G36" s="1586"/>
      <c r="H36" s="1586"/>
      <c r="I36" s="1574"/>
      <c r="J36" s="1574"/>
      <c r="K36" s="1672">
        <f t="shared" ref="K36:K41" si="2">SUM(C36:J36)</f>
        <v>86590</v>
      </c>
      <c r="L36" s="1573">
        <v>67625</v>
      </c>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v>-26316</v>
      </c>
      <c r="D38" s="1573">
        <v>23</v>
      </c>
      <c r="E38" s="1573">
        <v>977</v>
      </c>
      <c r="F38" s="1573">
        <v>774</v>
      </c>
      <c r="G38" s="1573"/>
      <c r="H38" s="1573"/>
      <c r="I38" s="1574"/>
      <c r="J38" s="1574"/>
      <c r="K38" s="1672">
        <f t="shared" si="2"/>
        <v>-24542</v>
      </c>
      <c r="L38" s="1573">
        <v>2200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44016</v>
      </c>
      <c r="D42" s="1674">
        <f t="shared" ref="D42:L42" si="3">SUM(D36:D41)</f>
        <v>16281</v>
      </c>
      <c r="E42" s="1674">
        <f t="shared" si="3"/>
        <v>977</v>
      </c>
      <c r="F42" s="1674">
        <f t="shared" si="3"/>
        <v>774</v>
      </c>
      <c r="G42" s="1674">
        <f t="shared" si="3"/>
        <v>0</v>
      </c>
      <c r="H42" s="1674">
        <f t="shared" si="3"/>
        <v>0</v>
      </c>
      <c r="I42" s="1674">
        <f t="shared" si="3"/>
        <v>0</v>
      </c>
      <c r="J42" s="1674">
        <f t="shared" si="3"/>
        <v>0</v>
      </c>
      <c r="K42" s="1674">
        <f t="shared" si="3"/>
        <v>62048</v>
      </c>
      <c r="L42" s="1674">
        <f t="shared" si="3"/>
        <v>69825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5716</v>
      </c>
      <c r="D44" s="1586">
        <v>3</v>
      </c>
      <c r="E44" s="1586">
        <f>10933-37</f>
        <v>10896</v>
      </c>
      <c r="F44" s="1586">
        <v>5469</v>
      </c>
      <c r="G44" s="1586"/>
      <c r="H44" s="1586"/>
      <c r="I44" s="1574"/>
      <c r="J44" s="1574"/>
      <c r="K44" s="1678">
        <f>SUM(C44:J44)</f>
        <v>22084</v>
      </c>
      <c r="L44" s="1586">
        <v>22216</v>
      </c>
    </row>
    <row r="45" spans="1:14" x14ac:dyDescent="0.2">
      <c r="A45" s="1274" t="s">
        <v>810</v>
      </c>
      <c r="B45" s="503">
        <v>2220</v>
      </c>
      <c r="C45" s="1573"/>
      <c r="D45" s="1573"/>
      <c r="E45" s="1573">
        <v>37</v>
      </c>
      <c r="F45" s="1573">
        <f>-6461+8332</f>
        <v>1871</v>
      </c>
      <c r="G45" s="1573"/>
      <c r="H45" s="1573"/>
      <c r="I45" s="1574"/>
      <c r="J45" s="1574"/>
      <c r="K45" s="1678">
        <f>SUM(C45:J45)</f>
        <v>1908</v>
      </c>
      <c r="L45" s="1573">
        <v>3000</v>
      </c>
    </row>
    <row r="46" spans="1:14" x14ac:dyDescent="0.2">
      <c r="A46" s="1274" t="s">
        <v>811</v>
      </c>
      <c r="B46" s="503">
        <v>2230</v>
      </c>
      <c r="C46" s="1573"/>
      <c r="D46" s="1573"/>
      <c r="E46" s="1573"/>
      <c r="F46" s="1573">
        <v>992</v>
      </c>
      <c r="G46" s="1573"/>
      <c r="H46" s="1573"/>
      <c r="I46" s="1574"/>
      <c r="J46" s="1574"/>
      <c r="K46" s="1678">
        <f>SUM(C46:J46)</f>
        <v>992</v>
      </c>
      <c r="L46" s="1573">
        <v>1000</v>
      </c>
    </row>
    <row r="47" spans="1:14" ht="12.75" customHeight="1" thickBot="1" x14ac:dyDescent="0.25">
      <c r="A47" s="1380" t="s">
        <v>557</v>
      </c>
      <c r="B47" s="1381" t="s">
        <v>32</v>
      </c>
      <c r="C47" s="1674">
        <f>SUM(C44:C46)</f>
        <v>5716</v>
      </c>
      <c r="D47" s="1674">
        <f t="shared" ref="D47:K47" si="4">SUM(D44:D46)</f>
        <v>3</v>
      </c>
      <c r="E47" s="1674">
        <f t="shared" si="4"/>
        <v>10933</v>
      </c>
      <c r="F47" s="1674">
        <f t="shared" si="4"/>
        <v>8332</v>
      </c>
      <c r="G47" s="1674">
        <f t="shared" si="4"/>
        <v>0</v>
      </c>
      <c r="H47" s="1674">
        <f t="shared" si="4"/>
        <v>0</v>
      </c>
      <c r="I47" s="1674">
        <f t="shared" si="4"/>
        <v>0</v>
      </c>
      <c r="J47" s="1674">
        <f t="shared" si="4"/>
        <v>0</v>
      </c>
      <c r="K47" s="1674">
        <f t="shared" si="4"/>
        <v>24984</v>
      </c>
      <c r="L47" s="1674">
        <f>SUM(L44:L46)</f>
        <v>26216</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v>136</v>
      </c>
      <c r="E49" s="1586">
        <f>6300+19926+5933+1490</f>
        <v>33649</v>
      </c>
      <c r="F49" s="1586">
        <v>2796</v>
      </c>
      <c r="G49" s="1586"/>
      <c r="H49" s="1586"/>
      <c r="I49" s="1574"/>
      <c r="J49" s="1574"/>
      <c r="K49" s="1678">
        <f>SUM(C49:J49)</f>
        <v>36581</v>
      </c>
      <c r="L49" s="1586">
        <v>36414</v>
      </c>
    </row>
    <row r="50" spans="1:14" x14ac:dyDescent="0.2">
      <c r="A50" s="1274" t="s">
        <v>813</v>
      </c>
      <c r="B50" s="503">
        <v>2320</v>
      </c>
      <c r="C50" s="1573">
        <v>120037</v>
      </c>
      <c r="D50" s="1573">
        <f>-136+30775</f>
        <v>30639</v>
      </c>
      <c r="E50" s="1573">
        <f>-33649+38852</f>
        <v>5203</v>
      </c>
      <c r="F50" s="1573">
        <v>771</v>
      </c>
      <c r="G50" s="1573"/>
      <c r="H50" s="1573"/>
      <c r="I50" s="1574"/>
      <c r="J50" s="1574"/>
      <c r="K50" s="1678">
        <f>SUM(C50:J50)</f>
        <v>156650</v>
      </c>
      <c r="L50" s="1573">
        <v>158150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120037</v>
      </c>
      <c r="D53" s="1674">
        <f t="shared" ref="D53:L53" si="5">SUM(D49:D52)</f>
        <v>30775</v>
      </c>
      <c r="E53" s="1674">
        <f t="shared" si="5"/>
        <v>38852</v>
      </c>
      <c r="F53" s="1674">
        <f t="shared" si="5"/>
        <v>3567</v>
      </c>
      <c r="G53" s="1674">
        <f t="shared" si="5"/>
        <v>0</v>
      </c>
      <c r="H53" s="1674">
        <f t="shared" si="5"/>
        <v>0</v>
      </c>
      <c r="I53" s="1674">
        <f t="shared" si="5"/>
        <v>0</v>
      </c>
      <c r="J53" s="1674">
        <f t="shared" si="5"/>
        <v>0</v>
      </c>
      <c r="K53" s="1674">
        <f t="shared" si="5"/>
        <v>193231</v>
      </c>
      <c r="L53" s="1674">
        <f t="shared" si="5"/>
        <v>194564</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192512</v>
      </c>
      <c r="D55" s="1586">
        <v>38729</v>
      </c>
      <c r="E55" s="1586">
        <v>5741</v>
      </c>
      <c r="F55" s="1586">
        <v>668</v>
      </c>
      <c r="G55" s="1586"/>
      <c r="H55" s="1586"/>
      <c r="I55" s="1574"/>
      <c r="J55" s="1574"/>
      <c r="K55" s="1678">
        <f>SUM(C55:J55)</f>
        <v>237650</v>
      </c>
      <c r="L55" s="1586">
        <v>238250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192512</v>
      </c>
      <c r="D57" s="1679">
        <f t="shared" ref="D57:K57" si="6">SUM(D55:D56)</f>
        <v>38729</v>
      </c>
      <c r="E57" s="1679">
        <f t="shared" si="6"/>
        <v>5741</v>
      </c>
      <c r="F57" s="1679">
        <f t="shared" si="6"/>
        <v>668</v>
      </c>
      <c r="G57" s="1679">
        <f t="shared" si="6"/>
        <v>0</v>
      </c>
      <c r="H57" s="1679">
        <f t="shared" si="6"/>
        <v>0</v>
      </c>
      <c r="I57" s="1679">
        <f t="shared" si="6"/>
        <v>0</v>
      </c>
      <c r="J57" s="1679">
        <f t="shared" si="6"/>
        <v>0</v>
      </c>
      <c r="K57" s="1679">
        <f t="shared" si="6"/>
        <v>237650</v>
      </c>
      <c r="L57" s="1674">
        <f>SUM(L55:L56)</f>
        <v>238250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41751</v>
      </c>
      <c r="D60" s="1573">
        <v>11275</v>
      </c>
      <c r="E60" s="1573">
        <v>19579</v>
      </c>
      <c r="F60" s="1573">
        <v>360</v>
      </c>
      <c r="G60" s="1573"/>
      <c r="H60" s="1573"/>
      <c r="I60" s="1574"/>
      <c r="J60" s="1574"/>
      <c r="K60" s="1678">
        <f t="shared" si="7"/>
        <v>72965</v>
      </c>
      <c r="L60" s="1573">
        <v>74000</v>
      </c>
      <c r="M60" s="501"/>
      <c r="N60" s="501"/>
    </row>
    <row r="61" spans="1:14" s="321" customFormat="1" x14ac:dyDescent="0.2">
      <c r="A61" s="1274" t="s">
        <v>195</v>
      </c>
      <c r="B61" s="503">
        <v>2540</v>
      </c>
      <c r="C61" s="1573">
        <v>101</v>
      </c>
      <c r="D61" s="1573"/>
      <c r="E61" s="1573">
        <f>40349+13904+2646+9600</f>
        <v>66499</v>
      </c>
      <c r="F61" s="1573">
        <v>16275</v>
      </c>
      <c r="G61" s="1573">
        <v>1790</v>
      </c>
      <c r="H61" s="1573"/>
      <c r="I61" s="1574"/>
      <c r="J61" s="1574"/>
      <c r="K61" s="1678">
        <f t="shared" si="7"/>
        <v>84665</v>
      </c>
      <c r="L61" s="1573">
        <v>80800</v>
      </c>
      <c r="M61" s="501"/>
      <c r="N61" s="501"/>
    </row>
    <row r="62" spans="1:14" s="321" customFormat="1" x14ac:dyDescent="0.2">
      <c r="A62" s="1274" t="s">
        <v>947</v>
      </c>
      <c r="B62" s="503">
        <v>2550</v>
      </c>
      <c r="C62" s="1573">
        <v>15</v>
      </c>
      <c r="D62" s="1573"/>
      <c r="E62" s="1573"/>
      <c r="F62" s="1573"/>
      <c r="G62" s="1573"/>
      <c r="H62" s="1573"/>
      <c r="I62" s="1574"/>
      <c r="J62" s="1574"/>
      <c r="K62" s="1678">
        <f t="shared" si="7"/>
        <v>15</v>
      </c>
      <c r="L62" s="1573"/>
      <c r="M62" s="501"/>
      <c r="N62" s="501"/>
    </row>
    <row r="63" spans="1:14" s="501" customFormat="1" x14ac:dyDescent="0.2">
      <c r="A63" s="1274" t="s">
        <v>100</v>
      </c>
      <c r="B63" s="503">
        <v>2560</v>
      </c>
      <c r="C63" s="1573">
        <v>42060</v>
      </c>
      <c r="D63" s="1573">
        <v>16</v>
      </c>
      <c r="E63" s="1573">
        <f>291811-86078</f>
        <v>205733</v>
      </c>
      <c r="F63" s="1573">
        <f>639+198+1</f>
        <v>838</v>
      </c>
      <c r="G63" s="1573">
        <v>2895</v>
      </c>
      <c r="H63" s="1573"/>
      <c r="I63" s="1574"/>
      <c r="J63" s="1574"/>
      <c r="K63" s="1678">
        <f t="shared" si="7"/>
        <v>251542</v>
      </c>
      <c r="L63" s="1573">
        <v>266000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83927</v>
      </c>
      <c r="D65" s="1674">
        <f t="shared" ref="D65:L65" si="8">SUM(D59:D64)</f>
        <v>11291</v>
      </c>
      <c r="E65" s="1674">
        <f t="shared" si="8"/>
        <v>291811</v>
      </c>
      <c r="F65" s="1674">
        <f t="shared" si="8"/>
        <v>17473</v>
      </c>
      <c r="G65" s="1674">
        <f t="shared" si="8"/>
        <v>4685</v>
      </c>
      <c r="H65" s="1674">
        <f t="shared" si="8"/>
        <v>0</v>
      </c>
      <c r="I65" s="1674">
        <f t="shared" si="8"/>
        <v>0</v>
      </c>
      <c r="J65" s="1674">
        <f t="shared" si="8"/>
        <v>0</v>
      </c>
      <c r="K65" s="1674">
        <f t="shared" si="8"/>
        <v>409187</v>
      </c>
      <c r="L65" s="1674">
        <f t="shared" si="8"/>
        <v>420800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446208</v>
      </c>
      <c r="D74" s="1681">
        <f t="shared" ref="D74:K74" si="10">SUM(D42,D47,D53,D57,D65,D72,D73)</f>
        <v>97079</v>
      </c>
      <c r="E74" s="1681">
        <f t="shared" si="10"/>
        <v>348314</v>
      </c>
      <c r="F74" s="1681">
        <f t="shared" si="10"/>
        <v>30814</v>
      </c>
      <c r="G74" s="1681">
        <f t="shared" si="10"/>
        <v>4685</v>
      </c>
      <c r="H74" s="1681">
        <f t="shared" si="10"/>
        <v>0</v>
      </c>
      <c r="I74" s="1681">
        <f t="shared" si="10"/>
        <v>0</v>
      </c>
      <c r="J74" s="1681">
        <f t="shared" si="10"/>
        <v>0</v>
      </c>
      <c r="K74" s="1681">
        <f t="shared" si="10"/>
        <v>927100</v>
      </c>
      <c r="L74" s="1681">
        <f>SUM(L42,L47,L53,L57,L65,L72,L73)</f>
        <v>949655</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232796</v>
      </c>
      <c r="F79" s="1673"/>
      <c r="G79" s="1673"/>
      <c r="H79" s="1573"/>
      <c r="I79" s="1582"/>
      <c r="J79" s="1582"/>
      <c r="K79" s="1672">
        <f t="shared" si="11"/>
        <v>232796</v>
      </c>
      <c r="L79" s="1573">
        <v>210000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232796</v>
      </c>
      <c r="F84" s="1673"/>
      <c r="G84" s="1673"/>
      <c r="H84" s="1674">
        <f>SUM(H78:H83)</f>
        <v>0</v>
      </c>
      <c r="I84" s="1582"/>
      <c r="J84" s="1582"/>
      <c r="K84" s="1674">
        <f>SUM(K78:K83)</f>
        <v>232796</v>
      </c>
      <c r="L84" s="1674">
        <f>SUM(L78:L83)</f>
        <v>210000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232796</v>
      </c>
      <c r="F102" s="1673"/>
      <c r="G102" s="1673"/>
      <c r="H102" s="1681">
        <f>SUM(H84,H92,H100,H101)</f>
        <v>0</v>
      </c>
      <c r="I102" s="1582"/>
      <c r="J102" s="1582"/>
      <c r="K102" s="1681">
        <f>SUM(K84,K92,K100,K101)</f>
        <v>232796</v>
      </c>
      <c r="L102" s="1681">
        <f>SUM(L84,L92,L100,L101)</f>
        <v>210000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4293032</v>
      </c>
      <c r="D114" s="1674">
        <f t="shared" ref="D114:K114" si="13">SUM(D33,D74,D75,D102,D112,D113)</f>
        <v>875008</v>
      </c>
      <c r="E114" s="1674">
        <f t="shared" si="13"/>
        <v>643768</v>
      </c>
      <c r="F114" s="1674">
        <f t="shared" si="13"/>
        <v>121099</v>
      </c>
      <c r="G114" s="1674">
        <f t="shared" si="13"/>
        <v>4685</v>
      </c>
      <c r="H114" s="1674">
        <f>SUM(H33,H74,H75,H102,H112,H113)</f>
        <v>0</v>
      </c>
      <c r="I114" s="1674">
        <f t="shared" si="13"/>
        <v>0</v>
      </c>
      <c r="J114" s="1674">
        <f t="shared" si="13"/>
        <v>0</v>
      </c>
      <c r="K114" s="1674">
        <f t="shared" si="13"/>
        <v>5937592</v>
      </c>
      <c r="L114" s="1674">
        <f>SUM(L33,L74,L75,L102,L112,L113)</f>
        <v>5972997</v>
      </c>
    </row>
    <row r="115" spans="1:14" ht="13.5" thickTop="1" x14ac:dyDescent="0.2">
      <c r="A115" s="2261" t="s">
        <v>989</v>
      </c>
      <c r="B115" s="2262"/>
      <c r="C115" s="1675"/>
      <c r="D115" s="1675"/>
      <c r="E115" s="1675"/>
      <c r="F115" s="1675"/>
      <c r="G115" s="1675"/>
      <c r="H115" s="1675"/>
      <c r="I115" s="1675"/>
      <c r="J115" s="1675"/>
      <c r="K115" s="1689">
        <f>'Revenues 9-14'!C268-'Expenditures 15-22'!K114</f>
        <v>-1204598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230636</v>
      </c>
      <c r="D124" s="1573">
        <v>42695</v>
      </c>
      <c r="E124" s="1573">
        <v>187643</v>
      </c>
      <c r="F124" s="1573">
        <v>160522</v>
      </c>
      <c r="G124" s="1573">
        <v>5174</v>
      </c>
      <c r="H124" s="1573"/>
      <c r="I124" s="1574"/>
      <c r="J124" s="1574"/>
      <c r="K124" s="1674">
        <f>SUM(C124:J124)</f>
        <v>626670</v>
      </c>
      <c r="L124" s="1573">
        <v>714000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230636</v>
      </c>
      <c r="D127" s="1674">
        <f t="shared" ref="D127:L127" si="14">SUM(D122:D126)</f>
        <v>42695</v>
      </c>
      <c r="E127" s="1674">
        <f t="shared" si="14"/>
        <v>187643</v>
      </c>
      <c r="F127" s="1674">
        <f t="shared" si="14"/>
        <v>160522</v>
      </c>
      <c r="G127" s="1674">
        <f t="shared" si="14"/>
        <v>5174</v>
      </c>
      <c r="H127" s="1674">
        <f t="shared" si="14"/>
        <v>0</v>
      </c>
      <c r="I127" s="1674">
        <f t="shared" si="14"/>
        <v>0</v>
      </c>
      <c r="J127" s="1674">
        <f t="shared" si="14"/>
        <v>0</v>
      </c>
      <c r="K127" s="1674">
        <f t="shared" si="14"/>
        <v>626670</v>
      </c>
      <c r="L127" s="1674">
        <f t="shared" si="14"/>
        <v>714000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230636</v>
      </c>
      <c r="D129" s="1681">
        <f t="shared" ref="D129:L129" si="15">SUM(D120,D127,D128)</f>
        <v>42695</v>
      </c>
      <c r="E129" s="1681">
        <f t="shared" si="15"/>
        <v>187643</v>
      </c>
      <c r="F129" s="1681">
        <f t="shared" si="15"/>
        <v>160522</v>
      </c>
      <c r="G129" s="1681">
        <f t="shared" si="15"/>
        <v>5174</v>
      </c>
      <c r="H129" s="1681">
        <f t="shared" si="15"/>
        <v>0</v>
      </c>
      <c r="I129" s="1681">
        <f t="shared" si="15"/>
        <v>0</v>
      </c>
      <c r="J129" s="1681">
        <f t="shared" si="15"/>
        <v>0</v>
      </c>
      <c r="K129" s="1681">
        <f t="shared" si="15"/>
        <v>626670</v>
      </c>
      <c r="L129" s="1681">
        <f t="shared" si="15"/>
        <v>714000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v>68921</v>
      </c>
      <c r="I136" s="1582"/>
      <c r="J136" s="1673"/>
      <c r="K136" s="1678">
        <f>SUM(E136,H136)</f>
        <v>68921</v>
      </c>
      <c r="L136" s="1573"/>
    </row>
    <row r="137" spans="1:14" ht="12.75" customHeight="1" thickBot="1" x14ac:dyDescent="0.25">
      <c r="A137" s="1380" t="s">
        <v>477</v>
      </c>
      <c r="B137" s="1385">
        <v>4100</v>
      </c>
      <c r="C137" s="1673"/>
      <c r="D137" s="1673"/>
      <c r="E137" s="1674">
        <f>SUM(E133:E136)</f>
        <v>0</v>
      </c>
      <c r="F137" s="1673"/>
      <c r="G137" s="1673"/>
      <c r="H137" s="1674">
        <f>SUM(H133:H136)</f>
        <v>68921</v>
      </c>
      <c r="I137" s="1582"/>
      <c r="J137" s="1673"/>
      <c r="K137" s="1674">
        <f>SUM(K133:K136)</f>
        <v>68921</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68921</v>
      </c>
      <c r="I139" s="1582"/>
      <c r="J139" s="1673"/>
      <c r="K139" s="1678">
        <f>SUM(K137,K138)</f>
        <v>68921</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58"/>
      <c r="C151" s="1674">
        <f>SUM(C129,C130,C139,C149,C150)</f>
        <v>230636</v>
      </c>
      <c r="D151" s="1674">
        <f t="shared" ref="D151:K151" si="16">SUM(D129,D130,D139,D149,D150)</f>
        <v>42695</v>
      </c>
      <c r="E151" s="1674">
        <f t="shared" si="16"/>
        <v>187643</v>
      </c>
      <c r="F151" s="1674">
        <f t="shared" si="16"/>
        <v>160522</v>
      </c>
      <c r="G151" s="1674">
        <f t="shared" si="16"/>
        <v>5174</v>
      </c>
      <c r="H151" s="1674">
        <f t="shared" si="16"/>
        <v>68921</v>
      </c>
      <c r="I151" s="1674">
        <f t="shared" si="16"/>
        <v>0</v>
      </c>
      <c r="J151" s="1674">
        <f t="shared" si="16"/>
        <v>0</v>
      </c>
      <c r="K151" s="1674">
        <f t="shared" si="16"/>
        <v>695591</v>
      </c>
      <c r="L151" s="1674">
        <f>SUM(L129,L130,L139,L149,L150)</f>
        <v>714000</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-84862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171347</v>
      </c>
      <c r="I169" s="1673"/>
      <c r="J169" s="1673"/>
      <c r="K169" s="1672">
        <f>SUM(C169:H169)</f>
        <v>171347</v>
      </c>
      <c r="L169" s="1695"/>
    </row>
    <row r="170" spans="1:14" ht="33.75" customHeight="1" x14ac:dyDescent="0.2">
      <c r="A170" s="543" t="s">
        <v>1651</v>
      </c>
      <c r="B170" s="545" t="s">
        <v>31</v>
      </c>
      <c r="C170" s="1673"/>
      <c r="D170" s="1673"/>
      <c r="E170" s="1673"/>
      <c r="F170" s="1673"/>
      <c r="G170" s="1673"/>
      <c r="H170" s="1646">
        <v>886000</v>
      </c>
      <c r="I170" s="1673"/>
      <c r="J170" s="1673"/>
      <c r="K170" s="1672">
        <f>SUM(C170:J170)</f>
        <v>886000</v>
      </c>
      <c r="L170" s="1646">
        <v>1057947</v>
      </c>
    </row>
    <row r="171" spans="1:14" ht="15.75" customHeight="1" x14ac:dyDescent="0.2">
      <c r="A171" s="507" t="s">
        <v>761</v>
      </c>
      <c r="B171" s="546" t="s">
        <v>84</v>
      </c>
      <c r="C171" s="1673"/>
      <c r="D171" s="1673"/>
      <c r="E171" s="1573"/>
      <c r="F171" s="1673"/>
      <c r="G171" s="1673"/>
      <c r="H171" s="1646">
        <f>583+8958+787+12793+8459</f>
        <v>31580</v>
      </c>
      <c r="I171" s="1582"/>
      <c r="J171" s="1673"/>
      <c r="K171" s="1672">
        <f>SUM(C171:J171)</f>
        <v>31580</v>
      </c>
      <c r="L171" s="1646"/>
    </row>
    <row r="172" spans="1:14" ht="12.75" customHeight="1" thickBot="1" x14ac:dyDescent="0.25">
      <c r="A172" s="1380" t="s">
        <v>633</v>
      </c>
      <c r="B172" s="1381" t="s">
        <v>489</v>
      </c>
      <c r="C172" s="1673"/>
      <c r="D172" s="1673"/>
      <c r="E172" s="1681">
        <f>SUM(E168,E169,E170,E171)</f>
        <v>0</v>
      </c>
      <c r="F172" s="1673"/>
      <c r="G172" s="1673"/>
      <c r="H172" s="1681">
        <f>SUM(H168,H169,H170,H171)</f>
        <v>1088927</v>
      </c>
      <c r="I172" s="1684"/>
      <c r="J172" s="1673"/>
      <c r="K172" s="1681">
        <f>SUM(K168,K169,K170,K171)</f>
        <v>1088927</v>
      </c>
      <c r="L172" s="1681">
        <f>SUM(L168,L169,L170,L171)</f>
        <v>1057947</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1088927</v>
      </c>
      <c r="I174" s="1684"/>
      <c r="J174" s="1673"/>
      <c r="K174" s="1681">
        <f>SUM(K160,K172,K173)</f>
        <v>1088927</v>
      </c>
      <c r="L174" s="1681">
        <f>SUM(L160,L172,L173)</f>
        <v>1057947</v>
      </c>
    </row>
    <row r="175" spans="1:14" ht="13.5" thickTop="1" x14ac:dyDescent="0.2">
      <c r="A175" s="2261" t="s">
        <v>989</v>
      </c>
      <c r="B175" s="2262"/>
      <c r="C175" s="1673"/>
      <c r="D175" s="1673"/>
      <c r="E175" s="1673"/>
      <c r="F175" s="1673"/>
      <c r="G175" s="1673"/>
      <c r="H175" s="1675"/>
      <c r="I175" s="1673"/>
      <c r="J175" s="1673"/>
      <c r="K175" s="1689">
        <f>'Revenues 9-14'!E268-'Expenditures 15-22'!K174</f>
        <v>-305797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141860</v>
      </c>
      <c r="D182" s="1573">
        <v>14578</v>
      </c>
      <c r="E182" s="1573">
        <v>24171</v>
      </c>
      <c r="F182" s="1573">
        <v>43438</v>
      </c>
      <c r="G182" s="1573">
        <v>158165</v>
      </c>
      <c r="H182" s="1573"/>
      <c r="I182" s="1574"/>
      <c r="J182" s="1574"/>
      <c r="K182" s="1672">
        <f>SUM(C182:J182)</f>
        <v>382212</v>
      </c>
      <c r="L182" s="1573">
        <v>390450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141860</v>
      </c>
      <c r="D184" s="1681">
        <f t="shared" ref="D184:J184" si="17">SUM(D180,D182,D183)</f>
        <v>14578</v>
      </c>
      <c r="E184" s="1681">
        <f t="shared" si="17"/>
        <v>24171</v>
      </c>
      <c r="F184" s="1681">
        <f t="shared" si="17"/>
        <v>43438</v>
      </c>
      <c r="G184" s="1681">
        <f t="shared" si="17"/>
        <v>158165</v>
      </c>
      <c r="H184" s="1681">
        <f t="shared" si="17"/>
        <v>0</v>
      </c>
      <c r="I184" s="1681">
        <f t="shared" si="17"/>
        <v>0</v>
      </c>
      <c r="J184" s="1681">
        <f t="shared" si="17"/>
        <v>0</v>
      </c>
      <c r="K184" s="1681">
        <f>SUM(K180,K182,K183)</f>
        <v>382212</v>
      </c>
      <c r="L184" s="1681">
        <f>SUM(L180, L182:L183)</f>
        <v>390450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v>21333</v>
      </c>
      <c r="I193" s="1582"/>
      <c r="J193" s="1673"/>
      <c r="K193" s="1672">
        <f t="shared" si="18"/>
        <v>21333</v>
      </c>
      <c r="L193" s="1573">
        <v>23000</v>
      </c>
    </row>
    <row r="194" spans="1:14" ht="12.75" customHeight="1" thickBot="1" x14ac:dyDescent="0.25">
      <c r="A194" s="1380" t="s">
        <v>1130</v>
      </c>
      <c r="B194" s="1381" t="s">
        <v>555</v>
      </c>
      <c r="C194" s="1673"/>
      <c r="D194" s="1673"/>
      <c r="E194" s="1674">
        <f>SUM(E188:E193)</f>
        <v>0</v>
      </c>
      <c r="F194" s="1673"/>
      <c r="G194" s="1673"/>
      <c r="H194" s="1674">
        <f>SUM(H188:H193)</f>
        <v>21333</v>
      </c>
      <c r="I194" s="1582"/>
      <c r="J194" s="1673"/>
      <c r="K194" s="1674">
        <f>SUM(K188:K193)</f>
        <v>21333</v>
      </c>
      <c r="L194" s="1674">
        <f>SUM(L188:L193)</f>
        <v>23000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21333</v>
      </c>
      <c r="I196" s="1582"/>
      <c r="J196" s="1673"/>
      <c r="K196" s="1681">
        <f>SUM(K194,K195)</f>
        <v>21333</v>
      </c>
      <c r="L196" s="1681">
        <f>SUM(L194,L195)</f>
        <v>23000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141860</v>
      </c>
      <c r="D210" s="1674">
        <f>SUM(D184,D185)</f>
        <v>14578</v>
      </c>
      <c r="E210" s="1674">
        <f>SUM(E184,E185,E196)</f>
        <v>24171</v>
      </c>
      <c r="F210" s="1674">
        <f>SUM(F184,F185)</f>
        <v>43438</v>
      </c>
      <c r="G210" s="1674">
        <f>SUM(G184,G185)</f>
        <v>158165</v>
      </c>
      <c r="H210" s="1674">
        <f>SUM(H184,H185,H196,H208,H209)</f>
        <v>21333</v>
      </c>
      <c r="I210" s="1674">
        <f>SUM(I184,I185)</f>
        <v>0</v>
      </c>
      <c r="J210" s="1674">
        <f>SUM(J184,J185)</f>
        <v>0</v>
      </c>
      <c r="K210" s="1672">
        <f>SUM(K184,K185,K196,K208,K209)</f>
        <v>403545</v>
      </c>
      <c r="L210" s="1674">
        <f>SUM(L184,L185,L196,L208,L209)</f>
        <v>413450</v>
      </c>
    </row>
    <row r="211" spans="1:14" ht="13.5" thickTop="1" x14ac:dyDescent="0.2">
      <c r="A211" s="2261" t="s">
        <v>989</v>
      </c>
      <c r="B211" s="2262"/>
      <c r="C211" s="1675"/>
      <c r="D211" s="1675"/>
      <c r="E211" s="1675"/>
      <c r="F211" s="1675"/>
      <c r="G211" s="1675"/>
      <c r="H211" s="1675"/>
      <c r="I211" s="1673"/>
      <c r="J211" s="1673"/>
      <c r="K211" s="1689">
        <f>'Revenues 9-14'!F268-'Expenditures 15-22'!K210</f>
        <v>-201361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55921</v>
      </c>
      <c r="E215" s="1673"/>
      <c r="F215" s="1673"/>
      <c r="G215" s="1673"/>
      <c r="H215" s="1673"/>
      <c r="I215" s="1673"/>
      <c r="J215" s="1673"/>
      <c r="K215" s="1672">
        <f>D215</f>
        <v>55921</v>
      </c>
      <c r="L215" s="1573">
        <v>56500</v>
      </c>
    </row>
    <row r="216" spans="1:14" x14ac:dyDescent="0.2">
      <c r="A216" s="1274" t="s">
        <v>162</v>
      </c>
      <c r="B216" s="503" t="s">
        <v>961</v>
      </c>
      <c r="C216" s="1673"/>
      <c r="D216" s="1574">
        <f>7911+5772+534</f>
        <v>14217</v>
      </c>
      <c r="E216" s="1673"/>
      <c r="F216" s="1673"/>
      <c r="G216" s="1673"/>
      <c r="H216" s="1673"/>
      <c r="I216" s="1673"/>
      <c r="J216" s="1673"/>
      <c r="K216" s="1672">
        <f t="shared" ref="K216:K228" si="19">D216</f>
        <v>14217</v>
      </c>
      <c r="L216" s="1573">
        <v>14500</v>
      </c>
    </row>
    <row r="217" spans="1:14" x14ac:dyDescent="0.2">
      <c r="A217" s="1274" t="s">
        <v>163</v>
      </c>
      <c r="B217" s="503">
        <v>1200</v>
      </c>
      <c r="C217" s="1673"/>
      <c r="D217" s="1573">
        <f>7239+5345+6749+2837-1</f>
        <v>22169</v>
      </c>
      <c r="E217" s="1673"/>
      <c r="F217" s="1673"/>
      <c r="G217" s="1673"/>
      <c r="H217" s="1673"/>
      <c r="I217" s="1673"/>
      <c r="J217" s="1673"/>
      <c r="K217" s="1672">
        <f t="shared" si="19"/>
        <v>22169</v>
      </c>
      <c r="L217" s="1573">
        <v>22500</v>
      </c>
    </row>
    <row r="218" spans="1:14" x14ac:dyDescent="0.2">
      <c r="A218" s="1274" t="s">
        <v>276</v>
      </c>
      <c r="B218" s="503" t="s">
        <v>962</v>
      </c>
      <c r="C218" s="1673"/>
      <c r="D218" s="1574">
        <f>4567+3321+1222</f>
        <v>9110</v>
      </c>
      <c r="E218" s="1673"/>
      <c r="F218" s="1673"/>
      <c r="G218" s="1673"/>
      <c r="H218" s="1673"/>
      <c r="I218" s="1673"/>
      <c r="J218" s="1673"/>
      <c r="K218" s="1672">
        <f t="shared" si="19"/>
        <v>9110</v>
      </c>
      <c r="L218" s="1573">
        <v>9000</v>
      </c>
    </row>
    <row r="219" spans="1:14" x14ac:dyDescent="0.2">
      <c r="A219" s="1274" t="s">
        <v>277</v>
      </c>
      <c r="B219" s="503">
        <v>1250</v>
      </c>
      <c r="C219" s="1673"/>
      <c r="D219" s="1573">
        <f>8074+5976+3798</f>
        <v>17848</v>
      </c>
      <c r="E219" s="1673"/>
      <c r="F219" s="1673"/>
      <c r="G219" s="1673"/>
      <c r="H219" s="1673"/>
      <c r="I219" s="1673"/>
      <c r="J219" s="1673"/>
      <c r="K219" s="1672">
        <f t="shared" si="19"/>
        <v>17848</v>
      </c>
      <c r="L219" s="1573">
        <v>17600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f>-17848+19166</f>
        <v>1318</v>
      </c>
      <c r="E223" s="1673"/>
      <c r="F223" s="1673"/>
      <c r="G223" s="1673"/>
      <c r="H223" s="1673"/>
      <c r="I223" s="1673"/>
      <c r="J223" s="1673"/>
      <c r="K223" s="1672">
        <f t="shared" si="19"/>
        <v>1318</v>
      </c>
      <c r="L223" s="1573">
        <v>1600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120583</v>
      </c>
      <c r="E229" s="1673"/>
      <c r="F229" s="1673"/>
      <c r="G229" s="1673"/>
      <c r="H229" s="1673"/>
      <c r="I229" s="1673"/>
      <c r="J229" s="1673"/>
      <c r="K229" s="1674">
        <f>SUM(K215:K228)</f>
        <v>120583</v>
      </c>
      <c r="L229" s="1674">
        <f>SUM(L215:L228)</f>
        <v>121700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1020</v>
      </c>
      <c r="E232" s="1673"/>
      <c r="F232" s="1673"/>
      <c r="G232" s="1673"/>
      <c r="H232" s="1673"/>
      <c r="I232" s="1673"/>
      <c r="J232" s="1673"/>
      <c r="K232" s="1672">
        <f t="shared" ref="K232:K237" si="20">D232</f>
        <v>1020</v>
      </c>
      <c r="L232" s="1573">
        <v>1000</v>
      </c>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f>-1020+7041</f>
        <v>6021</v>
      </c>
      <c r="E234" s="1673"/>
      <c r="F234" s="1673"/>
      <c r="G234" s="1673"/>
      <c r="H234" s="1673"/>
      <c r="I234" s="1673"/>
      <c r="J234" s="1673"/>
      <c r="K234" s="1672">
        <f t="shared" si="20"/>
        <v>6021</v>
      </c>
      <c r="L234" s="1573">
        <v>6000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7041</v>
      </c>
      <c r="E238" s="1673"/>
      <c r="F238" s="1673"/>
      <c r="G238" s="1673"/>
      <c r="H238" s="1673"/>
      <c r="I238" s="1673"/>
      <c r="J238" s="1673"/>
      <c r="K238" s="1674">
        <f>SUM(K232:K237)</f>
        <v>7041</v>
      </c>
      <c r="L238" s="1674">
        <f>SUM(L232:L237)</f>
        <v>7000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83</v>
      </c>
      <c r="E240" s="1673"/>
      <c r="F240" s="1673"/>
      <c r="G240" s="1673"/>
      <c r="H240" s="1673"/>
      <c r="I240" s="1673"/>
      <c r="J240" s="1673"/>
      <c r="K240" s="1678">
        <f>D240</f>
        <v>83</v>
      </c>
      <c r="L240" s="1586">
        <v>100</v>
      </c>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83</v>
      </c>
      <c r="E243" s="1673"/>
      <c r="F243" s="1673"/>
      <c r="G243" s="1673"/>
      <c r="H243" s="1673"/>
      <c r="I243" s="1673"/>
      <c r="J243" s="1673"/>
      <c r="K243" s="1674">
        <f>SUM(K240:K242)</f>
        <v>83</v>
      </c>
      <c r="L243" s="1674">
        <f>SUM(L240:L242)</f>
        <v>100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f>146+107+8</f>
        <v>261</v>
      </c>
      <c r="E246" s="1673"/>
      <c r="F246" s="1673"/>
      <c r="G246" s="1673"/>
      <c r="H246" s="1673"/>
      <c r="I246" s="1673"/>
      <c r="J246" s="1673"/>
      <c r="K246" s="1678">
        <f t="shared" ref="K246:K256" si="21">D246</f>
        <v>261</v>
      </c>
      <c r="L246" s="1573">
        <v>150</v>
      </c>
    </row>
    <row r="247" spans="1:12" x14ac:dyDescent="0.2">
      <c r="A247" s="1274" t="s">
        <v>814</v>
      </c>
      <c r="B247" s="503">
        <v>2330</v>
      </c>
      <c r="C247" s="1673"/>
      <c r="D247" s="1573">
        <f>-261+8877</f>
        <v>8616</v>
      </c>
      <c r="E247" s="1673"/>
      <c r="F247" s="1673"/>
      <c r="G247" s="1673"/>
      <c r="H247" s="1673"/>
      <c r="I247" s="1673"/>
      <c r="J247" s="1673"/>
      <c r="K247" s="1678">
        <f t="shared" si="21"/>
        <v>8616</v>
      </c>
      <c r="L247" s="1573">
        <v>8000</v>
      </c>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8877</v>
      </c>
      <c r="E257" s="1673"/>
      <c r="F257" s="1673"/>
      <c r="G257" s="1673"/>
      <c r="H257" s="1673"/>
      <c r="I257" s="1673"/>
      <c r="J257" s="1673"/>
      <c r="K257" s="1674">
        <f>SUM(K245:K256)</f>
        <v>8877</v>
      </c>
      <c r="L257" s="1674">
        <f>SUM(L245:L256)</f>
        <v>8150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20381</v>
      </c>
      <c r="E259" s="1673"/>
      <c r="F259" s="1673"/>
      <c r="G259" s="1673"/>
      <c r="H259" s="1673"/>
      <c r="I259" s="1673"/>
      <c r="J259" s="1673"/>
      <c r="K259" s="1678">
        <f>D259</f>
        <v>20381</v>
      </c>
      <c r="L259" s="1586">
        <v>20000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20381</v>
      </c>
      <c r="E261" s="1673"/>
      <c r="F261" s="1673"/>
      <c r="G261" s="1673"/>
      <c r="H261" s="1673"/>
      <c r="I261" s="1673"/>
      <c r="J261" s="1673"/>
      <c r="K261" s="1674">
        <f>SUM(K259:K260)</f>
        <v>20381</v>
      </c>
      <c r="L261" s="1674">
        <f>SUM(L259:L260)</f>
        <v>20000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f>5633+4089+351</f>
        <v>10073</v>
      </c>
      <c r="E264" s="1673"/>
      <c r="F264" s="1673"/>
      <c r="G264" s="1673"/>
      <c r="H264" s="1673"/>
      <c r="I264" s="1673"/>
      <c r="J264" s="1673"/>
      <c r="K264" s="1678">
        <f t="shared" ref="K264:K269" si="22">D264</f>
        <v>10073</v>
      </c>
      <c r="L264" s="1573">
        <v>10000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f>34221+25317+2197</f>
        <v>61735</v>
      </c>
      <c r="E266" s="1673"/>
      <c r="F266" s="1673"/>
      <c r="G266" s="1673"/>
      <c r="H266" s="1673"/>
      <c r="I266" s="1673"/>
      <c r="J266" s="1673"/>
      <c r="K266" s="1678">
        <f t="shared" si="22"/>
        <v>61735</v>
      </c>
      <c r="L266" s="1573">
        <v>62000</v>
      </c>
    </row>
    <row r="267" spans="1:14" x14ac:dyDescent="0.2">
      <c r="A267" s="1274" t="s">
        <v>947</v>
      </c>
      <c r="B267" s="503">
        <v>2550</v>
      </c>
      <c r="C267" s="1673"/>
      <c r="D267" s="1573">
        <f>1003+8203+1190</f>
        <v>10396</v>
      </c>
      <c r="E267" s="1673"/>
      <c r="F267" s="1673"/>
      <c r="G267" s="1673"/>
      <c r="H267" s="1673"/>
      <c r="I267" s="1673"/>
      <c r="J267" s="1673"/>
      <c r="K267" s="1678">
        <f t="shared" si="22"/>
        <v>10396</v>
      </c>
      <c r="L267" s="1573">
        <v>12000</v>
      </c>
    </row>
    <row r="268" spans="1:14" x14ac:dyDescent="0.2">
      <c r="A268" s="1274" t="s">
        <v>100</v>
      </c>
      <c r="B268" s="503">
        <v>2560</v>
      </c>
      <c r="C268" s="1673"/>
      <c r="D268" s="1573">
        <f>-82204+90847</f>
        <v>8643</v>
      </c>
      <c r="E268" s="1673"/>
      <c r="F268" s="1673"/>
      <c r="G268" s="1673"/>
      <c r="H268" s="1673"/>
      <c r="I268" s="1673"/>
      <c r="J268" s="1673"/>
      <c r="K268" s="1678">
        <f t="shared" si="22"/>
        <v>8643</v>
      </c>
      <c r="L268" s="1573">
        <v>8500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90847</v>
      </c>
      <c r="E270" s="1673"/>
      <c r="F270" s="1673"/>
      <c r="G270" s="1673"/>
      <c r="H270" s="1673"/>
      <c r="I270" s="1673"/>
      <c r="J270" s="1673"/>
      <c r="K270" s="1674">
        <f>SUM(K263:K269)</f>
        <v>90847</v>
      </c>
      <c r="L270" s="1674">
        <f>SUM(L263:L269)</f>
        <v>92500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127229</v>
      </c>
      <c r="E279" s="1673"/>
      <c r="F279" s="1673"/>
      <c r="G279" s="1673"/>
      <c r="H279" s="1673"/>
      <c r="I279" s="1673"/>
      <c r="J279" s="1673"/>
      <c r="K279" s="1681">
        <f>SUM(K238,K243,K257,K261,K270,K277,K278)</f>
        <v>127229</v>
      </c>
      <c r="L279" s="1681">
        <f>SUM(L238,L243,L257,L261,L270,L277,L278)</f>
        <v>127750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247812</v>
      </c>
      <c r="E295" s="1673"/>
      <c r="F295" s="1673"/>
      <c r="G295" s="1673"/>
      <c r="H295" s="1674">
        <f>H293</f>
        <v>0</v>
      </c>
      <c r="I295" s="1673"/>
      <c r="J295" s="1673"/>
      <c r="K295" s="1674">
        <f>SUM(K229,K279,K280,K285,K293,K294)</f>
        <v>247812</v>
      </c>
      <c r="L295" s="1674">
        <f>SUM(L229,L279,L280,L285,L293,L294)</f>
        <v>249450</v>
      </c>
    </row>
    <row r="296" spans="1:14" ht="13.5" thickTop="1" x14ac:dyDescent="0.2">
      <c r="A296" s="2261" t="s">
        <v>989</v>
      </c>
      <c r="B296" s="2262"/>
      <c r="C296" s="1673"/>
      <c r="D296" s="1675"/>
      <c r="E296" s="1673"/>
      <c r="F296" s="1673"/>
      <c r="G296" s="1673"/>
      <c r="H296" s="1707"/>
      <c r="I296" s="1673"/>
      <c r="J296" s="1673"/>
      <c r="K296" s="1689">
        <f>'Revenues 9-14'!G268-'Expenditures 15-22'!K295</f>
        <v>9896</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8263</v>
      </c>
      <c r="F320" s="1574"/>
      <c r="G320" s="1574"/>
      <c r="H320" s="1574"/>
      <c r="I320" s="1574"/>
      <c r="J320" s="1574"/>
      <c r="K320" s="1672">
        <f t="shared" ref="K320:K327" si="24">SUM(C320:J320)</f>
        <v>8263</v>
      </c>
      <c r="L320" s="1574">
        <v>18000</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v>84615</v>
      </c>
      <c r="F322" s="1574"/>
      <c r="G322" s="1574"/>
      <c r="H322" s="1574"/>
      <c r="I322" s="1574"/>
      <c r="J322" s="1574"/>
      <c r="K322" s="1672">
        <f t="shared" si="24"/>
        <v>84615</v>
      </c>
      <c r="L322" s="1574">
        <v>85000</v>
      </c>
      <c r="M322" s="539"/>
      <c r="N322" s="539"/>
    </row>
    <row r="323" spans="1:14" s="548" customFormat="1" x14ac:dyDescent="0.2">
      <c r="A323" s="1289" t="s">
        <v>697</v>
      </c>
      <c r="B323" s="567" t="s">
        <v>283</v>
      </c>
      <c r="C323" s="1574"/>
      <c r="D323" s="1574"/>
      <c r="E323" s="1574">
        <v>406398</v>
      </c>
      <c r="F323" s="1574"/>
      <c r="G323" s="1574"/>
      <c r="H323" s="1574"/>
      <c r="I323" s="1574"/>
      <c r="J323" s="1574"/>
      <c r="K323" s="1672">
        <f t="shared" si="24"/>
        <v>406398</v>
      </c>
      <c r="L323" s="1574">
        <v>407000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3928</v>
      </c>
      <c r="F327" s="1574"/>
      <c r="G327" s="1574"/>
      <c r="H327" s="1574"/>
      <c r="I327" s="1574"/>
      <c r="J327" s="1574"/>
      <c r="K327" s="1672">
        <f t="shared" si="24"/>
        <v>3928</v>
      </c>
      <c r="L327" s="1574">
        <v>5000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503204</v>
      </c>
      <c r="F330" s="1674">
        <f t="shared" si="25"/>
        <v>0</v>
      </c>
      <c r="G330" s="1674">
        <f t="shared" si="25"/>
        <v>0</v>
      </c>
      <c r="H330" s="1674">
        <f t="shared" si="25"/>
        <v>0</v>
      </c>
      <c r="I330" s="1674">
        <f t="shared" si="25"/>
        <v>0</v>
      </c>
      <c r="J330" s="1674">
        <f t="shared" si="25"/>
        <v>0</v>
      </c>
      <c r="K330" s="1674">
        <f>SUM(K319:K329)</f>
        <v>503204</v>
      </c>
      <c r="L330" s="1674">
        <f>SUM(L319:L329)</f>
        <v>515000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503204</v>
      </c>
      <c r="F342" s="1674">
        <f>SUM(F330)</f>
        <v>0</v>
      </c>
      <c r="G342" s="1674">
        <f>SUM(G330)</f>
        <v>0</v>
      </c>
      <c r="H342" s="1674">
        <f>SUM(H330,H334,H340)</f>
        <v>0</v>
      </c>
      <c r="I342" s="1674">
        <f>SUM(I330)</f>
        <v>0</v>
      </c>
      <c r="J342" s="1674">
        <f>SUM(J330)</f>
        <v>0</v>
      </c>
      <c r="K342" s="1674">
        <f>SUM(K330,K334,K340)</f>
        <v>503204</v>
      </c>
      <c r="L342" s="1681">
        <f>SUM(L330,L334,L340,L341)</f>
        <v>515000</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-60988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17231</v>
      </c>
      <c r="F349" s="1573"/>
      <c r="G349" s="1573">
        <v>118418</v>
      </c>
      <c r="H349" s="1573"/>
      <c r="I349" s="1574"/>
      <c r="J349" s="1574"/>
      <c r="K349" s="1672">
        <f>SUM(C349:J349)</f>
        <v>135649</v>
      </c>
      <c r="L349" s="1573">
        <v>140000</v>
      </c>
    </row>
    <row r="350" spans="1:14" ht="12.75" customHeight="1" thickBot="1" x14ac:dyDescent="0.25">
      <c r="A350" s="1380" t="s">
        <v>714</v>
      </c>
      <c r="B350" s="1381" t="s">
        <v>35</v>
      </c>
      <c r="C350" s="1674">
        <f>SUM(C348:C349)</f>
        <v>0</v>
      </c>
      <c r="D350" s="1674">
        <f t="shared" ref="D350:L350" si="26">SUM(D348:D349)</f>
        <v>0</v>
      </c>
      <c r="E350" s="1674">
        <f t="shared" si="26"/>
        <v>17231</v>
      </c>
      <c r="F350" s="1674">
        <f t="shared" si="26"/>
        <v>0</v>
      </c>
      <c r="G350" s="1674">
        <f t="shared" si="26"/>
        <v>118418</v>
      </c>
      <c r="H350" s="1674">
        <f t="shared" si="26"/>
        <v>0</v>
      </c>
      <c r="I350" s="1674">
        <f t="shared" si="26"/>
        <v>0</v>
      </c>
      <c r="J350" s="1674">
        <f t="shared" si="26"/>
        <v>0</v>
      </c>
      <c r="K350" s="1674">
        <f t="shared" si="26"/>
        <v>135649</v>
      </c>
      <c r="L350" s="1674">
        <f t="shared" si="26"/>
        <v>140000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17231</v>
      </c>
      <c r="F352" s="1674">
        <f t="shared" si="27"/>
        <v>0</v>
      </c>
      <c r="G352" s="1674">
        <f t="shared" si="27"/>
        <v>118418</v>
      </c>
      <c r="H352" s="1674">
        <f t="shared" si="27"/>
        <v>0</v>
      </c>
      <c r="I352" s="1674">
        <f t="shared" si="27"/>
        <v>0</v>
      </c>
      <c r="J352" s="1674">
        <f t="shared" si="27"/>
        <v>0</v>
      </c>
      <c r="K352" s="1674">
        <f t="shared" si="27"/>
        <v>135649</v>
      </c>
      <c r="L352" s="1674">
        <f t="shared" si="27"/>
        <v>140000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17231</v>
      </c>
      <c r="F367" s="1674">
        <f t="shared" si="28"/>
        <v>0</v>
      </c>
      <c r="G367" s="1674">
        <f t="shared" si="28"/>
        <v>118418</v>
      </c>
      <c r="H367" s="1674">
        <f t="shared" si="28"/>
        <v>0</v>
      </c>
      <c r="I367" s="1674">
        <f t="shared" si="28"/>
        <v>0</v>
      </c>
      <c r="J367" s="1674">
        <f t="shared" si="28"/>
        <v>0</v>
      </c>
      <c r="K367" s="1674">
        <f t="shared" si="28"/>
        <v>135649</v>
      </c>
      <c r="L367" s="1674">
        <f t="shared" si="28"/>
        <v>140000</v>
      </c>
    </row>
    <row r="368" spans="1:14" ht="13.5" thickTop="1" x14ac:dyDescent="0.2">
      <c r="A368" s="2261" t="s">
        <v>989</v>
      </c>
      <c r="B368" s="2262"/>
      <c r="C368" s="1694"/>
      <c r="D368" s="1694"/>
      <c r="E368" s="1677"/>
      <c r="F368" s="1677"/>
      <c r="G368" s="1677"/>
      <c r="H368" s="1677"/>
      <c r="I368" s="1677"/>
      <c r="J368" s="1676"/>
      <c r="K368" s="1672">
        <f>'Revenues 9-14'!K268-'Expenditures 15-22'!K367</f>
        <v>-63217</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36" sqref="A36:F3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2552425</v>
      </c>
      <c r="C4" s="1722"/>
      <c r="D4" s="1723">
        <f>B4-C4</f>
        <v>2552425</v>
      </c>
      <c r="E4" s="1722">
        <v>3442363</v>
      </c>
      <c r="F4" s="1723">
        <f>E4-C4</f>
        <v>3442363</v>
      </c>
    </row>
    <row r="5" spans="1:8" ht="13.7" customHeight="1" x14ac:dyDescent="0.2">
      <c r="A5" s="579" t="s">
        <v>865</v>
      </c>
      <c r="B5" s="1724">
        <f>'Revenues 9-14'!D5</f>
        <v>362155</v>
      </c>
      <c r="C5" s="1664"/>
      <c r="D5" s="1725">
        <f t="shared" ref="D5:D18" si="0">B5-C5</f>
        <v>362155</v>
      </c>
      <c r="E5" s="1664">
        <v>488972</v>
      </c>
      <c r="F5" s="1725">
        <f>E5-C5</f>
        <v>488972</v>
      </c>
    </row>
    <row r="6" spans="1:8" ht="13.7" customHeight="1" x14ac:dyDescent="0.2">
      <c r="A6" s="579" t="s">
        <v>408</v>
      </c>
      <c r="B6" s="1724">
        <f>'Revenues 9-14'!E5</f>
        <v>783130</v>
      </c>
      <c r="C6" s="1664"/>
      <c r="D6" s="1725">
        <f t="shared" si="0"/>
        <v>783130</v>
      </c>
      <c r="E6" s="1664">
        <v>1057353</v>
      </c>
      <c r="F6" s="1725">
        <f t="shared" ref="F6:F18" si="1">E6-C6</f>
        <v>1057353</v>
      </c>
    </row>
    <row r="7" spans="1:8" ht="13.7" customHeight="1" x14ac:dyDescent="0.2">
      <c r="A7" s="579" t="s">
        <v>154</v>
      </c>
      <c r="B7" s="1724">
        <f>'Revenues 9-14'!F5</f>
        <v>173834</v>
      </c>
      <c r="C7" s="1664"/>
      <c r="D7" s="1725">
        <f t="shared" si="0"/>
        <v>173834</v>
      </c>
      <c r="E7" s="1664">
        <v>234707</v>
      </c>
      <c r="F7" s="1725">
        <f t="shared" si="1"/>
        <v>234707</v>
      </c>
    </row>
    <row r="8" spans="1:8" ht="13.7" customHeight="1" x14ac:dyDescent="0.2">
      <c r="A8" s="579" t="s">
        <v>1169</v>
      </c>
      <c r="B8" s="1724">
        <f>'Revenues 9-14'!G5</f>
        <v>128491</v>
      </c>
      <c r="C8" s="1664"/>
      <c r="D8" s="1725">
        <f t="shared" si="0"/>
        <v>128491</v>
      </c>
      <c r="E8" s="1664">
        <v>173487</v>
      </c>
      <c r="F8" s="1725">
        <f t="shared" si="1"/>
        <v>173487</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72432</v>
      </c>
      <c r="C10" s="1664"/>
      <c r="D10" s="1725">
        <f t="shared" si="0"/>
        <v>72432</v>
      </c>
      <c r="E10" s="1664">
        <v>97794</v>
      </c>
      <c r="F10" s="1725">
        <f t="shared" si="1"/>
        <v>97794</v>
      </c>
    </row>
    <row r="11" spans="1:8" x14ac:dyDescent="0.2">
      <c r="A11" s="579" t="s">
        <v>406</v>
      </c>
      <c r="B11" s="1724">
        <f>'Revenues 9-14'!J5</f>
        <v>437194</v>
      </c>
      <c r="C11" s="1664"/>
      <c r="D11" s="1725">
        <f t="shared" si="0"/>
        <v>437194</v>
      </c>
      <c r="E11" s="1664">
        <v>590287</v>
      </c>
      <c r="F11" s="1725">
        <f t="shared" si="1"/>
        <v>590287</v>
      </c>
    </row>
    <row r="12" spans="1:8" ht="13.7" customHeight="1" x14ac:dyDescent="0.2">
      <c r="A12" s="579" t="s">
        <v>156</v>
      </c>
      <c r="B12" s="1724">
        <f>'Revenues 9-14'!K5</f>
        <v>72432</v>
      </c>
      <c r="C12" s="1664"/>
      <c r="D12" s="1725">
        <f t="shared" si="0"/>
        <v>72432</v>
      </c>
      <c r="E12" s="1664">
        <v>97794</v>
      </c>
      <c r="F12" s="1725">
        <f t="shared" si="1"/>
        <v>97794</v>
      </c>
    </row>
    <row r="13" spans="1:8" ht="13.7" customHeight="1" x14ac:dyDescent="0.2">
      <c r="A13" s="579" t="s">
        <v>930</v>
      </c>
      <c r="B13" s="1724">
        <f>SUM('Revenues 9-14'!C6:D6)</f>
        <v>72432</v>
      </c>
      <c r="C13" s="1664"/>
      <c r="D13" s="1725">
        <f t="shared" si="0"/>
        <v>72432</v>
      </c>
      <c r="E13" s="1664">
        <v>97794</v>
      </c>
      <c r="F13" s="1725">
        <f t="shared" si="1"/>
        <v>97794</v>
      </c>
    </row>
    <row r="14" spans="1:8" ht="13.7" customHeight="1" x14ac:dyDescent="0.2">
      <c r="A14" s="579" t="s">
        <v>407</v>
      </c>
      <c r="B14" s="1724">
        <f>SUM('Revenues 9-14'!C7:D7,'Revenues 9-14'!F7:H7)</f>
        <v>28975</v>
      </c>
      <c r="C14" s="1664"/>
      <c r="D14" s="1725">
        <f t="shared" si="0"/>
        <v>28975</v>
      </c>
      <c r="E14" s="1664">
        <v>39118</v>
      </c>
      <c r="F14" s="1725">
        <f t="shared" si="1"/>
        <v>39118</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129217</v>
      </c>
      <c r="C16" s="1664"/>
      <c r="D16" s="1725">
        <f t="shared" si="0"/>
        <v>129217</v>
      </c>
      <c r="E16" s="1664">
        <v>174465</v>
      </c>
      <c r="F16" s="1725">
        <f t="shared" si="1"/>
        <v>174465</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4812717</v>
      </c>
      <c r="C19" s="1726">
        <f>SUM(C4:C18)</f>
        <v>0</v>
      </c>
      <c r="D19" s="1726">
        <f>SUM(D4:D18)</f>
        <v>4812717</v>
      </c>
      <c r="E19" s="1726">
        <f>SUM(E4:E18)</f>
        <v>6494134</v>
      </c>
      <c r="F19" s="1726">
        <f>SUM(F4:F18)</f>
        <v>6494134</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Layout" topLeftCell="A34" colorId="8" zoomScaleNormal="110" workbookViewId="0">
      <selection activeCell="A36" sqref="A36:F3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t="s">
        <v>2065</v>
      </c>
      <c r="B32" s="595">
        <v>41145</v>
      </c>
      <c r="C32" s="1734">
        <v>2673000</v>
      </c>
      <c r="D32" s="1735">
        <v>3</v>
      </c>
      <c r="E32" s="1734">
        <v>1648000</v>
      </c>
      <c r="F32" s="1734"/>
      <c r="G32" s="1734"/>
      <c r="H32" s="1734">
        <v>376000</v>
      </c>
      <c r="I32" s="1736">
        <f>((E32+F32)-H32)+G32</f>
        <v>1272000</v>
      </c>
      <c r="J32" s="1734">
        <v>808622</v>
      </c>
      <c r="K32" s="596"/>
    </row>
    <row r="33" spans="1:11" ht="12" customHeight="1" x14ac:dyDescent="0.2">
      <c r="A33" s="594" t="s">
        <v>2066</v>
      </c>
      <c r="B33" s="595">
        <v>42383</v>
      </c>
      <c r="C33" s="1734">
        <v>3330000</v>
      </c>
      <c r="D33" s="1735">
        <v>3</v>
      </c>
      <c r="E33" s="1734">
        <v>3330000</v>
      </c>
      <c r="F33" s="1734"/>
      <c r="G33" s="1734"/>
      <c r="H33" s="1734">
        <v>275000</v>
      </c>
      <c r="I33" s="1736">
        <f t="shared" ref="I33:I48" si="1">((E33+F33)-H33)+G33</f>
        <v>3055000</v>
      </c>
      <c r="J33" s="1734">
        <v>3055000</v>
      </c>
      <c r="K33" s="596"/>
    </row>
    <row r="34" spans="1:11" ht="12" customHeight="1" x14ac:dyDescent="0.2">
      <c r="A34" s="594" t="s">
        <v>2067</v>
      </c>
      <c r="B34" s="595">
        <v>43011</v>
      </c>
      <c r="C34" s="1734">
        <v>1200000</v>
      </c>
      <c r="D34" s="1735">
        <v>1</v>
      </c>
      <c r="E34" s="1734">
        <v>980000</v>
      </c>
      <c r="F34" s="1734"/>
      <c r="G34" s="1734"/>
      <c r="H34" s="1734">
        <v>235000</v>
      </c>
      <c r="I34" s="1736">
        <f t="shared" si="1"/>
        <v>745000</v>
      </c>
      <c r="J34" s="1734">
        <v>745000</v>
      </c>
      <c r="K34" s="597"/>
    </row>
    <row r="35" spans="1:11" ht="12" customHeight="1" x14ac:dyDescent="0.2">
      <c r="A35" s="594" t="s">
        <v>2068</v>
      </c>
      <c r="B35" s="595">
        <v>43558</v>
      </c>
      <c r="C35" s="1737">
        <v>1600000</v>
      </c>
      <c r="D35" s="1735">
        <v>1</v>
      </c>
      <c r="E35" s="1737">
        <v>1600000</v>
      </c>
      <c r="F35" s="1737"/>
      <c r="G35" s="1737"/>
      <c r="H35" s="1737"/>
      <c r="I35" s="1736">
        <f t="shared" si="1"/>
        <v>1600000</v>
      </c>
      <c r="J35" s="1737">
        <v>1600000</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8803000</v>
      </c>
      <c r="D49" s="1742"/>
      <c r="E49" s="1736">
        <f t="shared" ref="E49:J49" si="2">SUM(E31:E48)</f>
        <v>7558000</v>
      </c>
      <c r="F49" s="1736">
        <f t="shared" si="2"/>
        <v>0</v>
      </c>
      <c r="G49" s="1736">
        <f t="shared" si="2"/>
        <v>0</v>
      </c>
      <c r="H49" s="1736">
        <f t="shared" si="2"/>
        <v>886000</v>
      </c>
      <c r="I49" s="1736">
        <f t="shared" si="2"/>
        <v>6672000</v>
      </c>
      <c r="J49" s="1736">
        <f t="shared" si="2"/>
        <v>6208622</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2" colorId="8" zoomScale="110" zoomScaleNormal="110" workbookViewId="0">
      <selection activeCell="A36" sqref="A36:F3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v>28975</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2" t="s">
        <v>1790</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28975</v>
      </c>
      <c r="I12" s="1755">
        <f>SUM(I5:I11)</f>
        <v>0</v>
      </c>
      <c r="J12" s="1755">
        <f>SUM(J5:J11)</f>
        <v>0</v>
      </c>
      <c r="K12" s="1755">
        <f>SUM(K5:K11)</f>
        <v>0</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28975</v>
      </c>
      <c r="I14" s="1749"/>
      <c r="J14" s="1751"/>
      <c r="K14" s="1745"/>
    </row>
    <row r="15" spans="1:11" x14ac:dyDescent="0.2">
      <c r="A15" s="2323" t="s">
        <v>4</v>
      </c>
      <c r="B15" s="2323"/>
      <c r="C15" s="2323"/>
      <c r="D15" s="2323"/>
      <c r="E15" s="2324"/>
      <c r="F15" s="635" t="s">
        <v>850</v>
      </c>
      <c r="G15" s="1749"/>
      <c r="H15" s="1744"/>
      <c r="I15" s="1744"/>
      <c r="J15" s="1745"/>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1786</v>
      </c>
      <c r="B19" s="2331"/>
      <c r="C19" s="2331"/>
      <c r="D19" s="2331"/>
      <c r="E19" s="2332"/>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28975</v>
      </c>
      <c r="I23" s="1755">
        <f>SUM(I14:I16,I21,I22)</f>
        <v>0</v>
      </c>
      <c r="J23" s="1755">
        <f>SUM(J14:J16,J21,J22)</f>
        <v>0</v>
      </c>
      <c r="K23" s="1755">
        <f>SUM(K14:K16,K21,K22)</f>
        <v>0</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36" sqref="A36:F3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474102</v>
      </c>
      <c r="D5" s="1770"/>
      <c r="E5" s="1770"/>
      <c r="F5" s="1765">
        <f>(C5+D5)-E5</f>
        <v>474102</v>
      </c>
      <c r="G5" s="676"/>
      <c r="H5" s="680"/>
      <c r="I5" s="680"/>
      <c r="J5" s="680"/>
      <c r="K5" s="637"/>
      <c r="L5" s="1442">
        <f>F5-K5</f>
        <v>474102</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f>17330794-116891</f>
        <v>17213903</v>
      </c>
      <c r="D8" s="1771">
        <v>116891</v>
      </c>
      <c r="E8" s="1771"/>
      <c r="F8" s="1765">
        <f>(C8+D8)-E8</f>
        <v>17330794</v>
      </c>
      <c r="G8" s="681">
        <v>50</v>
      </c>
      <c r="H8" s="619">
        <v>6434009</v>
      </c>
      <c r="I8" s="619">
        <v>368419</v>
      </c>
      <c r="J8" s="619"/>
      <c r="K8" s="1442">
        <f>(H8+I8)-J8</f>
        <v>6802428</v>
      </c>
      <c r="L8" s="1442">
        <f>F8-K8</f>
        <v>10528366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68709</v>
      </c>
      <c r="D12" s="1771"/>
      <c r="E12" s="1771"/>
      <c r="F12" s="1765">
        <f>(C12+D12)-E12</f>
        <v>68709</v>
      </c>
      <c r="G12" s="681">
        <v>10</v>
      </c>
      <c r="H12" s="619">
        <v>68709</v>
      </c>
      <c r="I12" s="619"/>
      <c r="J12" s="619"/>
      <c r="K12" s="1442">
        <f>(H12+I12)-J12</f>
        <v>68709</v>
      </c>
      <c r="L12" s="1442">
        <f>F12-K12</f>
        <v>0</v>
      </c>
    </row>
    <row r="13" spans="1:14" ht="14.25" thickTop="1" thickBot="1" x14ac:dyDescent="0.25">
      <c r="A13" s="684" t="s">
        <v>1112</v>
      </c>
      <c r="B13" s="679">
        <v>252</v>
      </c>
      <c r="C13" s="1771">
        <v>1110948</v>
      </c>
      <c r="D13" s="1771">
        <f>76280+77780</f>
        <v>154060</v>
      </c>
      <c r="E13" s="1771">
        <f>58000*2</f>
        <v>116000</v>
      </c>
      <c r="F13" s="1765">
        <f>(C13+D13)-E13</f>
        <v>1149008</v>
      </c>
      <c r="G13" s="681">
        <v>5</v>
      </c>
      <c r="H13" s="619">
        <v>945025</v>
      </c>
      <c r="I13" s="619">
        <f>66212+26612</f>
        <v>92824</v>
      </c>
      <c r="J13" s="619">
        <v>116000</v>
      </c>
      <c r="K13" s="1442">
        <f>(H13+I13)-J13</f>
        <v>921849</v>
      </c>
      <c r="L13" s="1442">
        <f>F13-K13</f>
        <v>227159</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18867662</v>
      </c>
      <c r="D16" s="1765">
        <f>SUM(D3,D5:D6,D8:D10,D12:D15)</f>
        <v>270951</v>
      </c>
      <c r="E16" s="1765">
        <f>SUM(E3,E5:E6,E8:E10,E12:E15)</f>
        <v>116000</v>
      </c>
      <c r="F16" s="1765">
        <f>SUM(F3,F5:F6,F8:F10,F12:F15)</f>
        <v>19022613</v>
      </c>
      <c r="G16" s="681"/>
      <c r="H16" s="1435">
        <f>SUM(H3,H6,H8:H10,H12:H14,)</f>
        <v>7447743</v>
      </c>
      <c r="I16" s="1435">
        <f>SUM(I3,I6,I8:I10,I12:I14,)</f>
        <v>461243</v>
      </c>
      <c r="J16" s="1435">
        <f>SUM(J3,J6,J8:J10,J12:J14,)</f>
        <v>116000</v>
      </c>
      <c r="K16" s="1435">
        <f>(H16+I16)-J16</f>
        <v>7792986</v>
      </c>
      <c r="L16" s="1435">
        <f>F16-K16</f>
        <v>11229627</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461243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7" colorId="8" zoomScale="110" zoomScaleNormal="110" workbookViewId="0">
      <selection activeCell="A36" sqref="A36:F3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5937592</v>
      </c>
      <c r="G8" s="701"/>
    </row>
    <row r="9" spans="1:9" x14ac:dyDescent="0.2">
      <c r="A9" s="705" t="s">
        <v>457</v>
      </c>
      <c r="B9" s="706" t="s">
        <v>1848</v>
      </c>
      <c r="C9" s="707"/>
      <c r="D9" s="705" t="s">
        <v>498</v>
      </c>
      <c r="E9" s="704"/>
      <c r="F9" s="1775">
        <f>'Expenditures 15-22'!K151</f>
        <v>695591</v>
      </c>
      <c r="G9" s="708"/>
    </row>
    <row r="10" spans="1:9" x14ac:dyDescent="0.2">
      <c r="A10" s="705" t="s">
        <v>496</v>
      </c>
      <c r="B10" s="706" t="s">
        <v>1849</v>
      </c>
      <c r="C10" s="707"/>
      <c r="D10" s="705" t="s">
        <v>498</v>
      </c>
      <c r="E10" s="704"/>
      <c r="F10" s="1775">
        <f>'Expenditures 15-22'!K174</f>
        <v>1088927</v>
      </c>
      <c r="G10" s="708"/>
    </row>
    <row r="11" spans="1:9" x14ac:dyDescent="0.2">
      <c r="A11" s="705" t="s">
        <v>458</v>
      </c>
      <c r="B11" s="706" t="s">
        <v>1850</v>
      </c>
      <c r="C11" s="707"/>
      <c r="D11" s="705" t="s">
        <v>498</v>
      </c>
      <c r="E11" s="704"/>
      <c r="F11" s="1775">
        <f>'Expenditures 15-22'!K210</f>
        <v>403545</v>
      </c>
      <c r="G11" s="708"/>
    </row>
    <row r="12" spans="1:9" x14ac:dyDescent="0.2">
      <c r="A12" s="705" t="s">
        <v>459</v>
      </c>
      <c r="B12" s="706" t="s">
        <v>1851</v>
      </c>
      <c r="C12" s="707"/>
      <c r="D12" s="705" t="s">
        <v>498</v>
      </c>
      <c r="E12" s="704"/>
      <c r="F12" s="1775">
        <f>'Expenditures 15-22'!K295</f>
        <v>247812</v>
      </c>
      <c r="G12" s="708"/>
    </row>
    <row r="13" spans="1:9" x14ac:dyDescent="0.2">
      <c r="A13" s="705" t="s">
        <v>106</v>
      </c>
      <c r="B13" s="706" t="s">
        <v>1852</v>
      </c>
      <c r="C13" s="707"/>
      <c r="D13" s="705" t="s">
        <v>498</v>
      </c>
      <c r="E13" s="704"/>
      <c r="F13" s="1775">
        <f>'Expenditures 15-22'!K342</f>
        <v>503204</v>
      </c>
      <c r="G13" s="709"/>
    </row>
    <row r="14" spans="1:9" ht="12" customHeight="1" thickBot="1" x14ac:dyDescent="0.25">
      <c r="A14" s="1443"/>
      <c r="B14" s="1444"/>
      <c r="C14" s="1445"/>
      <c r="D14" s="1446" t="s">
        <v>498</v>
      </c>
      <c r="E14" s="1447" t="s">
        <v>952</v>
      </c>
      <c r="F14" s="1776">
        <f>SUM(F8:F13)</f>
        <v>8876671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50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112090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135212</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232796</v>
      </c>
      <c r="G53" s="701"/>
    </row>
    <row r="54" spans="1:7" x14ac:dyDescent="0.2">
      <c r="A54" s="705" t="s">
        <v>456</v>
      </c>
      <c r="B54" s="705" t="s">
        <v>1459</v>
      </c>
      <c r="C54" s="724" t="s">
        <v>975</v>
      </c>
      <c r="D54" s="720" t="s">
        <v>1086</v>
      </c>
      <c r="E54" s="704"/>
      <c r="F54" s="1782">
        <f>'Expenditures 15-22'!G114</f>
        <v>4685</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68921</v>
      </c>
      <c r="G57" s="701"/>
    </row>
    <row r="58" spans="1:7" x14ac:dyDescent="0.2">
      <c r="A58" s="705" t="s">
        <v>457</v>
      </c>
      <c r="B58" s="705" t="s">
        <v>1854</v>
      </c>
      <c r="C58" s="721" t="s">
        <v>975</v>
      </c>
      <c r="D58" s="720" t="s">
        <v>1086</v>
      </c>
      <c r="E58" s="704"/>
      <c r="F58" s="1784">
        <f>'Expenditures 15-22'!G151</f>
        <v>5174</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886000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21333</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158165</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14217</v>
      </c>
      <c r="G67" s="701"/>
    </row>
    <row r="68" spans="1:9" x14ac:dyDescent="0.2">
      <c r="A68" s="705" t="s">
        <v>459</v>
      </c>
      <c r="B68" s="705" t="s">
        <v>1462</v>
      </c>
      <c r="C68" s="721" t="str">
        <f>'Expenditures 15-22'!B218</f>
        <v>1225</v>
      </c>
      <c r="D68" s="727" t="str">
        <f>'Expenditures 15-22'!A218</f>
        <v>Special Education Programs - Pre-K</v>
      </c>
      <c r="E68" s="704"/>
      <c r="F68" s="1782">
        <f>'Expenditures 15-22'!K218</f>
        <v>9110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1647753</v>
      </c>
      <c r="G77" s="701"/>
    </row>
    <row r="78" spans="1:9" s="728" customFormat="1" ht="12" customHeight="1" thickTop="1" thickBot="1" x14ac:dyDescent="0.25">
      <c r="A78" s="1450"/>
      <c r="B78" s="1448"/>
      <c r="C78" s="1445"/>
      <c r="D78" s="1449" t="s">
        <v>2012</v>
      </c>
      <c r="E78" s="1447"/>
      <c r="F78" s="1788">
        <f>(F14-F77)</f>
        <v>7228918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719.51599999999996</v>
      </c>
      <c r="G79" s="733"/>
      <c r="H79" s="705"/>
      <c r="I79" s="705"/>
    </row>
    <row r="80" spans="1:9" s="728" customFormat="1" ht="12" customHeight="1" thickBot="1" x14ac:dyDescent="0.25">
      <c r="A80" s="1452"/>
      <c r="B80" s="1448"/>
      <c r="C80" s="1445"/>
      <c r="D80" s="1449" t="s">
        <v>2013</v>
      </c>
      <c r="E80" s="1447" t="s">
        <v>952</v>
      </c>
      <c r="F80" s="1790">
        <f>IF(F79&gt;0,F78/F79," Complete Line 79")</f>
        <v>10046.917650198189</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2012</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122772</v>
      </c>
      <c r="G95" s="745"/>
    </row>
    <row r="96" spans="1:7" x14ac:dyDescent="0.2">
      <c r="A96" s="741" t="s">
        <v>139</v>
      </c>
      <c r="B96" s="741" t="s">
        <v>174</v>
      </c>
      <c r="C96" s="743">
        <v>1700</v>
      </c>
      <c r="D96" s="751" t="str">
        <f>'Revenues 9-14'!A82</f>
        <v>Total District/School Activity Income</v>
      </c>
      <c r="E96" s="739"/>
      <c r="F96" s="1793">
        <f>SUM('Revenues 9-14'!C82,'Revenues 9-14'!D82)</f>
        <v>12815</v>
      </c>
      <c r="G96" s="745"/>
    </row>
    <row r="97" spans="1:7" x14ac:dyDescent="0.2">
      <c r="A97" s="741" t="s">
        <v>456</v>
      </c>
      <c r="B97" s="741" t="s">
        <v>175</v>
      </c>
      <c r="C97" s="743">
        <f>'Revenues 9-14'!B84</f>
        <v>1811</v>
      </c>
      <c r="D97" s="744" t="str">
        <f>'Revenues 9-14'!A84</f>
        <v>Rentals - Regular Textbooks</v>
      </c>
      <c r="E97" s="739"/>
      <c r="F97" s="1793">
        <f>'Revenues 9-14'!C84</f>
        <v>51650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1477</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860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26288</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145957</v>
      </c>
      <c r="G126" s="763"/>
    </row>
    <row r="127" spans="1:7" x14ac:dyDescent="0.2">
      <c r="A127" s="760" t="s">
        <v>663</v>
      </c>
      <c r="B127" s="760" t="s">
        <v>1931</v>
      </c>
      <c r="C127" s="765">
        <v>4300</v>
      </c>
      <c r="D127" s="766" t="str">
        <f>'Revenues 9-14'!A204</f>
        <v>Total Title I</v>
      </c>
      <c r="E127" s="739"/>
      <c r="F127" s="1793">
        <f>SUM('Revenues 9-14'!C204,'Revenues 9-14'!D204,'Revenues 9-14'!F204,'Revenues 9-14'!G204)</f>
        <v>87736</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8067</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183411</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4823</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30114</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727982</v>
      </c>
    </row>
    <row r="176" spans="1:7" ht="12" customHeight="1" x14ac:dyDescent="0.2">
      <c r="A176" s="1443"/>
      <c r="B176" s="1453"/>
      <c r="C176" s="1454"/>
      <c r="D176" s="1455" t="s">
        <v>2014</v>
      </c>
      <c r="E176" s="1456"/>
      <c r="F176" s="1793">
        <f>'PCTC-OEPP 27-28'!F78-F175</f>
        <v>6500936</v>
      </c>
    </row>
    <row r="177" spans="1:9" ht="12" customHeight="1" x14ac:dyDescent="0.2">
      <c r="A177" s="1443"/>
      <c r="B177" s="1453"/>
      <c r="C177" s="1454"/>
      <c r="D177" s="1455" t="s">
        <v>1794</v>
      </c>
      <c r="E177" s="1456"/>
      <c r="F177" s="1793">
        <f>'Cap Outlay Deprec 26'!I18</f>
        <v>461243</v>
      </c>
    </row>
    <row r="178" spans="1:9" ht="12" customHeight="1" x14ac:dyDescent="0.2">
      <c r="A178" s="1443"/>
      <c r="B178" s="1453"/>
      <c r="C178" s="1454"/>
      <c r="D178" s="1455" t="s">
        <v>2015</v>
      </c>
      <c r="E178" s="1456"/>
      <c r="F178" s="1793">
        <f>F176+F177</f>
        <v>6962179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719.51599999999996</v>
      </c>
      <c r="G179" s="763"/>
      <c r="I179" s="701"/>
    </row>
    <row r="180" spans="1:9" ht="12" customHeight="1" thickBot="1" x14ac:dyDescent="0.25">
      <c r="A180" s="1443"/>
      <c r="B180" s="1457"/>
      <c r="C180" s="1454"/>
      <c r="D180" s="1455" t="s">
        <v>2017</v>
      </c>
      <c r="E180" s="1456" t="s">
        <v>1528</v>
      </c>
      <c r="F180" s="1798">
        <f>F178/F179</f>
        <v>9676.1976106160255</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view="pageBreakPreview" topLeftCell="A7" zoomScale="110" zoomScaleNormal="100" zoomScaleSheetLayoutView="110" workbookViewId="0">
      <selection activeCell="I21" sqref="I21"/>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1914"/>
      <c r="B18" s="1908"/>
      <c r="C18" s="1915"/>
      <c r="D18" s="1886"/>
      <c r="E18" s="1893">
        <f t="shared" ref="E18:E28" si="0">IF(D18&lt;25000,D18,"25,000")</f>
        <v>0</v>
      </c>
      <c r="F18" s="1893" t="str">
        <f t="shared" ref="F18:F28" si="1">IF(D18&gt;=25000,(D18-E18),"0")</f>
        <v>0</v>
      </c>
      <c r="G18" s="1887"/>
    </row>
    <row r="19" spans="1:7" x14ac:dyDescent="0.25">
      <c r="A19" s="1888"/>
      <c r="B19" s="1908">
        <v>902540300</v>
      </c>
      <c r="C19" s="1885" t="s">
        <v>2074</v>
      </c>
      <c r="D19" s="1886">
        <v>13736</v>
      </c>
      <c r="E19" s="1893">
        <f t="shared" si="0"/>
        <v>13736</v>
      </c>
      <c r="F19" s="1893" t="str">
        <f t="shared" si="1"/>
        <v>0</v>
      </c>
    </row>
    <row r="20" spans="1:7" x14ac:dyDescent="0.25">
      <c r="A20" s="1888"/>
      <c r="B20" s="1908">
        <v>102560300</v>
      </c>
      <c r="C20" s="1885" t="s">
        <v>2075</v>
      </c>
      <c r="D20" s="1886">
        <v>217208</v>
      </c>
      <c r="E20" s="1893" t="str">
        <f t="shared" si="0"/>
        <v>25,000</v>
      </c>
      <c r="F20" s="1893">
        <f t="shared" si="1"/>
        <v>192208</v>
      </c>
    </row>
    <row r="21" spans="1:7" x14ac:dyDescent="0.25">
      <c r="A21" s="1888"/>
      <c r="B21" s="1908">
        <v>102540300</v>
      </c>
      <c r="C21" s="1885" t="s">
        <v>2076</v>
      </c>
      <c r="D21" s="1886">
        <v>24176</v>
      </c>
      <c r="E21" s="1893">
        <f t="shared" si="0"/>
        <v>24176</v>
      </c>
      <c r="F21" s="1893" t="str">
        <f t="shared" si="1"/>
        <v>0</v>
      </c>
    </row>
    <row r="22" spans="1:7" x14ac:dyDescent="0.25">
      <c r="A22" s="1888"/>
      <c r="B22" s="1908">
        <v>102540300</v>
      </c>
      <c r="C22" s="1885" t="s">
        <v>2077</v>
      </c>
      <c r="D22" s="1886">
        <v>5915</v>
      </c>
      <c r="E22" s="1893">
        <f t="shared" si="0"/>
        <v>5915</v>
      </c>
      <c r="F22" s="1893" t="str">
        <f t="shared" si="1"/>
        <v>0</v>
      </c>
    </row>
    <row r="23" spans="1:7" x14ac:dyDescent="0.25">
      <c r="A23" s="1888"/>
      <c r="B23" s="1908">
        <v>202540300</v>
      </c>
      <c r="C23" s="1885" t="s">
        <v>2078</v>
      </c>
      <c r="D23" s="1886">
        <v>145898</v>
      </c>
      <c r="E23" s="1893" t="str">
        <f t="shared" si="0"/>
        <v>25,000</v>
      </c>
      <c r="F23" s="1893">
        <f t="shared" si="1"/>
        <v>120898</v>
      </c>
    </row>
    <row r="24" spans="1:7" x14ac:dyDescent="0.25">
      <c r="A24" s="1888"/>
      <c r="B24" s="1908">
        <v>102520300</v>
      </c>
      <c r="C24" s="1885" t="s">
        <v>2079</v>
      </c>
      <c r="D24" s="1886">
        <v>20395</v>
      </c>
      <c r="E24" s="1893">
        <f t="shared" si="0"/>
        <v>20395</v>
      </c>
      <c r="F24" s="1893" t="str">
        <f t="shared" si="1"/>
        <v>0</v>
      </c>
    </row>
    <row r="25" spans="1:7" x14ac:dyDescent="0.25">
      <c r="A25" s="1888"/>
      <c r="B25" s="1908"/>
      <c r="C25" s="1885"/>
      <c r="D25" s="1886"/>
      <c r="E25" s="1893">
        <f t="shared" si="0"/>
        <v>0</v>
      </c>
      <c r="F25" s="1893" t="str">
        <f t="shared" si="1"/>
        <v>0</v>
      </c>
    </row>
    <row r="26" spans="1:7" x14ac:dyDescent="0.25">
      <c r="A26" s="1888"/>
      <c r="B26" s="1908"/>
      <c r="C26" s="1885"/>
      <c r="D26" s="1886"/>
      <c r="E26" s="1893">
        <f t="shared" si="0"/>
        <v>0</v>
      </c>
      <c r="F26" s="1893" t="str">
        <f t="shared" si="1"/>
        <v>0</v>
      </c>
    </row>
    <row r="27" spans="1:7" x14ac:dyDescent="0.25">
      <c r="A27" s="1888"/>
      <c r="B27" s="1908"/>
      <c r="C27" s="1889"/>
      <c r="D27" s="1886"/>
      <c r="E27" s="1893">
        <f t="shared" si="0"/>
        <v>0</v>
      </c>
      <c r="F27" s="1893" t="str">
        <f t="shared" si="1"/>
        <v>0</v>
      </c>
    </row>
    <row r="28" spans="1:7" x14ac:dyDescent="0.25">
      <c r="A28" s="1888"/>
      <c r="B28" s="1908"/>
      <c r="C28" s="1889"/>
      <c r="D28" s="1886"/>
      <c r="E28" s="1893">
        <f t="shared" si="0"/>
        <v>0</v>
      </c>
      <c r="F28" s="1893" t="str">
        <f t="shared" si="1"/>
        <v>0</v>
      </c>
    </row>
    <row r="29" spans="1:7" hidden="1" x14ac:dyDescent="0.25">
      <c r="A29" s="1888"/>
      <c r="B29" s="1908"/>
      <c r="C29" s="1889"/>
      <c r="D29" s="1886"/>
      <c r="E29" s="1906">
        <f t="shared" ref="E18:E81" si="2">IF(D29&lt;25000,D29,"25,000")</f>
        <v>0</v>
      </c>
      <c r="F29" s="1906" t="str">
        <f t="shared" ref="F18:F81" si="3">IF(D29&gt;=25000,(D29-E29),"0")</f>
        <v>0</v>
      </c>
    </row>
    <row r="30" spans="1:7" hidden="1" x14ac:dyDescent="0.25">
      <c r="A30" s="1888"/>
      <c r="B30" s="1908"/>
      <c r="C30" s="1889"/>
      <c r="D30" s="1886"/>
      <c r="E30" s="1906">
        <f t="shared" si="2"/>
        <v>0</v>
      </c>
      <c r="F30" s="1906" t="str">
        <f t="shared" si="3"/>
        <v>0</v>
      </c>
    </row>
    <row r="31" spans="1:7" hidden="1" x14ac:dyDescent="0.25">
      <c r="A31" s="1888"/>
      <c r="B31" s="1908"/>
      <c r="C31" s="1889"/>
      <c r="D31" s="1886"/>
      <c r="E31" s="1906">
        <f t="shared" si="2"/>
        <v>0</v>
      </c>
      <c r="F31" s="1906" t="str">
        <f t="shared" si="3"/>
        <v>0</v>
      </c>
    </row>
    <row r="32" spans="1:7" hidden="1" x14ac:dyDescent="0.25">
      <c r="A32" s="1888"/>
      <c r="B32" s="1908"/>
      <c r="C32" s="1889"/>
      <c r="D32" s="1886"/>
      <c r="E32" s="1906">
        <f t="shared" si="2"/>
        <v>0</v>
      </c>
      <c r="F32" s="1906" t="str">
        <f t="shared" si="3"/>
        <v>0</v>
      </c>
    </row>
    <row r="33" spans="1:6" hidden="1" x14ac:dyDescent="0.25">
      <c r="A33" s="1888"/>
      <c r="B33" s="1908"/>
      <c r="C33" s="1889"/>
      <c r="D33" s="1886"/>
      <c r="E33" s="1906">
        <f t="shared" si="2"/>
        <v>0</v>
      </c>
      <c r="F33" s="1906" t="str">
        <f t="shared" si="3"/>
        <v>0</v>
      </c>
    </row>
    <row r="34" spans="1:6" hidden="1" x14ac:dyDescent="0.25">
      <c r="A34" s="1888"/>
      <c r="B34" s="1908"/>
      <c r="C34" s="1889"/>
      <c r="D34" s="1886"/>
      <c r="E34" s="1906">
        <f t="shared" si="2"/>
        <v>0</v>
      </c>
      <c r="F34" s="1906" t="str">
        <f t="shared" si="3"/>
        <v>0</v>
      </c>
    </row>
    <row r="35" spans="1:6" hidden="1" x14ac:dyDescent="0.25">
      <c r="A35" s="1888"/>
      <c r="B35" s="1908"/>
      <c r="C35" s="1889"/>
      <c r="D35" s="1886"/>
      <c r="E35" s="1906">
        <f t="shared" si="2"/>
        <v>0</v>
      </c>
      <c r="F35" s="1906" t="str">
        <f t="shared" si="3"/>
        <v>0</v>
      </c>
    </row>
    <row r="36" spans="1:6" hidden="1" x14ac:dyDescent="0.25">
      <c r="A36" s="1888"/>
      <c r="B36" s="1908"/>
      <c r="C36" s="1889"/>
      <c r="D36" s="1886"/>
      <c r="E36" s="1906">
        <f t="shared" si="2"/>
        <v>0</v>
      </c>
      <c r="F36" s="1906" t="str">
        <f t="shared" si="3"/>
        <v>0</v>
      </c>
    </row>
    <row r="37" spans="1:6" hidden="1" x14ac:dyDescent="0.25">
      <c r="A37" s="1888"/>
      <c r="B37" s="1908"/>
      <c r="C37" s="1889"/>
      <c r="D37" s="1886"/>
      <c r="E37" s="1906">
        <f t="shared" si="2"/>
        <v>0</v>
      </c>
      <c r="F37" s="1906" t="str">
        <f t="shared" si="3"/>
        <v>0</v>
      </c>
    </row>
    <row r="38" spans="1:6" hidden="1" x14ac:dyDescent="0.25">
      <c r="A38" s="1888"/>
      <c r="B38" s="1908"/>
      <c r="C38" s="1889"/>
      <c r="D38" s="1886"/>
      <c r="E38" s="1906">
        <f t="shared" si="2"/>
        <v>0</v>
      </c>
      <c r="F38" s="1906" t="str">
        <f t="shared" si="3"/>
        <v>0</v>
      </c>
    </row>
    <row r="39" spans="1:6" hidden="1" x14ac:dyDescent="0.25">
      <c r="A39" s="1888"/>
      <c r="B39" s="1909"/>
      <c r="C39" s="1889"/>
      <c r="D39" s="1886"/>
      <c r="E39" s="1906">
        <f t="shared" si="2"/>
        <v>0</v>
      </c>
      <c r="F39" s="1906" t="str">
        <f t="shared" si="3"/>
        <v>0</v>
      </c>
    </row>
    <row r="40" spans="1:6" hidden="1" x14ac:dyDescent="0.25">
      <c r="A40" s="1888"/>
      <c r="B40" s="1909"/>
      <c r="C40" s="1889"/>
      <c r="D40" s="1886"/>
      <c r="E40" s="1906">
        <f t="shared" si="2"/>
        <v>0</v>
      </c>
      <c r="F40" s="1906" t="str">
        <f t="shared" si="3"/>
        <v>0</v>
      </c>
    </row>
    <row r="41" spans="1:6" hidden="1" x14ac:dyDescent="0.25">
      <c r="A41" s="1888"/>
      <c r="B41" s="1909"/>
      <c r="C41" s="1889"/>
      <c r="D41" s="1886"/>
      <c r="E41" s="1906">
        <f t="shared" si="2"/>
        <v>0</v>
      </c>
      <c r="F41" s="1906" t="str">
        <f t="shared" si="3"/>
        <v>0</v>
      </c>
    </row>
    <row r="42" spans="1:6" hidden="1" x14ac:dyDescent="0.25">
      <c r="A42" s="1888"/>
      <c r="B42" s="1909"/>
      <c r="C42" s="1889"/>
      <c r="D42" s="1886"/>
      <c r="E42" s="1906">
        <f t="shared" si="2"/>
        <v>0</v>
      </c>
      <c r="F42" s="1906" t="str">
        <f t="shared" si="3"/>
        <v>0</v>
      </c>
    </row>
    <row r="43" spans="1:6" hidden="1" x14ac:dyDescent="0.25">
      <c r="A43" s="1888"/>
      <c r="B43" s="1909"/>
      <c r="C43" s="1889"/>
      <c r="D43" s="1886"/>
      <c r="E43" s="1906">
        <f t="shared" si="2"/>
        <v>0</v>
      </c>
      <c r="F43" s="1906" t="str">
        <f t="shared" si="3"/>
        <v>0</v>
      </c>
    </row>
    <row r="44" spans="1:6" hidden="1" x14ac:dyDescent="0.25">
      <c r="A44" s="1888"/>
      <c r="B44" s="1909"/>
      <c r="C44" s="1889"/>
      <c r="D44" s="1886"/>
      <c r="E44" s="1906">
        <f t="shared" si="2"/>
        <v>0</v>
      </c>
      <c r="F44" s="1906" t="str">
        <f t="shared" si="3"/>
        <v>0</v>
      </c>
    </row>
    <row r="45" spans="1:6" hidden="1" x14ac:dyDescent="0.25">
      <c r="A45" s="1888"/>
      <c r="B45" s="1909"/>
      <c r="C45" s="1889"/>
      <c r="D45" s="1886"/>
      <c r="E45" s="1906">
        <f t="shared" si="2"/>
        <v>0</v>
      </c>
      <c r="F45" s="1906" t="str">
        <f t="shared" si="3"/>
        <v>0</v>
      </c>
    </row>
    <row r="46" spans="1:6" hidden="1" x14ac:dyDescent="0.25">
      <c r="A46" s="1888"/>
      <c r="B46" s="1909"/>
      <c r="C46" s="1889"/>
      <c r="D46" s="1886"/>
      <c r="E46" s="1906">
        <f t="shared" si="2"/>
        <v>0</v>
      </c>
      <c r="F46" s="1906" t="str">
        <f t="shared" si="3"/>
        <v>0</v>
      </c>
    </row>
    <row r="47" spans="1:6" hidden="1" x14ac:dyDescent="0.25">
      <c r="A47" s="1888"/>
      <c r="B47" s="1909"/>
      <c r="C47" s="1889"/>
      <c r="D47" s="1886"/>
      <c r="E47" s="1906">
        <f t="shared" si="2"/>
        <v>0</v>
      </c>
      <c r="F47" s="1906" t="str">
        <f t="shared" si="3"/>
        <v>0</v>
      </c>
    </row>
    <row r="48" spans="1:6" hidden="1" x14ac:dyDescent="0.25">
      <c r="A48" s="1888"/>
      <c r="B48" s="1909"/>
      <c r="C48" s="1889"/>
      <c r="D48" s="1886"/>
      <c r="E48" s="1906">
        <f t="shared" si="2"/>
        <v>0</v>
      </c>
      <c r="F48" s="1906" t="str">
        <f t="shared" si="3"/>
        <v>0</v>
      </c>
    </row>
    <row r="49" spans="1:6" hidden="1" x14ac:dyDescent="0.25">
      <c r="A49" s="1888"/>
      <c r="B49" s="1909"/>
      <c r="C49" s="1889"/>
      <c r="D49" s="1886"/>
      <c r="E49" s="1906">
        <f t="shared" si="2"/>
        <v>0</v>
      </c>
      <c r="F49" s="1906" t="str">
        <f t="shared" si="3"/>
        <v>0</v>
      </c>
    </row>
    <row r="50" spans="1:6" hidden="1" x14ac:dyDescent="0.25">
      <c r="A50" s="1888"/>
      <c r="B50" s="1909"/>
      <c r="C50" s="1889"/>
      <c r="D50" s="1886"/>
      <c r="E50" s="1906">
        <f t="shared" si="2"/>
        <v>0</v>
      </c>
      <c r="F50" s="1906" t="str">
        <f t="shared" si="3"/>
        <v>0</v>
      </c>
    </row>
    <row r="51" spans="1:6" hidden="1" x14ac:dyDescent="0.25">
      <c r="A51" s="1888"/>
      <c r="B51" s="1909"/>
      <c r="C51" s="1889"/>
      <c r="D51" s="1886"/>
      <c r="E51" s="1906">
        <f t="shared" si="2"/>
        <v>0</v>
      </c>
      <c r="F51" s="1906" t="str">
        <f t="shared" si="3"/>
        <v>0</v>
      </c>
    </row>
    <row r="52" spans="1:6" hidden="1" x14ac:dyDescent="0.25">
      <c r="A52" s="1888"/>
      <c r="B52" s="1909"/>
      <c r="C52" s="1889"/>
      <c r="D52" s="1886"/>
      <c r="E52" s="1906">
        <f t="shared" si="2"/>
        <v>0</v>
      </c>
      <c r="F52" s="1906" t="str">
        <f t="shared" si="3"/>
        <v>0</v>
      </c>
    </row>
    <row r="53" spans="1:6" hidden="1" x14ac:dyDescent="0.25">
      <c r="A53" s="1888"/>
      <c r="B53" s="1909"/>
      <c r="C53" s="1889"/>
      <c r="D53" s="1886"/>
      <c r="E53" s="1906">
        <f t="shared" si="2"/>
        <v>0</v>
      </c>
      <c r="F53" s="1906" t="str">
        <f t="shared" si="3"/>
        <v>0</v>
      </c>
    </row>
    <row r="54" spans="1:6" hidden="1" x14ac:dyDescent="0.25">
      <c r="A54" s="1888"/>
      <c r="B54" s="1909"/>
      <c r="C54" s="1889"/>
      <c r="D54" s="1886"/>
      <c r="E54" s="1906">
        <f t="shared" si="2"/>
        <v>0</v>
      </c>
      <c r="F54" s="1906" t="str">
        <f t="shared" si="3"/>
        <v>0</v>
      </c>
    </row>
    <row r="55" spans="1:6" hidden="1" x14ac:dyDescent="0.25">
      <c r="A55" s="1888"/>
      <c r="B55" s="1909"/>
      <c r="C55" s="1889"/>
      <c r="D55" s="1886"/>
      <c r="E55" s="1906">
        <f t="shared" si="2"/>
        <v>0</v>
      </c>
      <c r="F55" s="1906" t="str">
        <f t="shared" si="3"/>
        <v>0</v>
      </c>
    </row>
    <row r="56" spans="1:6" hidden="1" x14ac:dyDescent="0.25">
      <c r="A56" s="1888"/>
      <c r="B56" s="1909"/>
      <c r="C56" s="1889"/>
      <c r="D56" s="1886"/>
      <c r="E56" s="1906">
        <f t="shared" si="2"/>
        <v>0</v>
      </c>
      <c r="F56" s="1906" t="str">
        <f t="shared" si="3"/>
        <v>0</v>
      </c>
    </row>
    <row r="57" spans="1:6" hidden="1" x14ac:dyDescent="0.25">
      <c r="A57" s="1888"/>
      <c r="B57" s="1909"/>
      <c r="C57" s="1889"/>
      <c r="D57" s="1886"/>
      <c r="E57" s="1906">
        <f t="shared" si="2"/>
        <v>0</v>
      </c>
      <c r="F57" s="1906" t="str">
        <f t="shared" si="3"/>
        <v>0</v>
      </c>
    </row>
    <row r="58" spans="1:6" hidden="1" x14ac:dyDescent="0.25">
      <c r="A58" s="1888"/>
      <c r="B58" s="1909"/>
      <c r="C58" s="1889"/>
      <c r="D58" s="1886"/>
      <c r="E58" s="1906">
        <f t="shared" si="2"/>
        <v>0</v>
      </c>
      <c r="F58" s="1906" t="str">
        <f t="shared" si="3"/>
        <v>0</v>
      </c>
    </row>
    <row r="59" spans="1:6" hidden="1" x14ac:dyDescent="0.25">
      <c r="A59" s="1888"/>
      <c r="B59" s="1909"/>
      <c r="C59" s="1889"/>
      <c r="D59" s="1886"/>
      <c r="E59" s="1906">
        <f t="shared" si="2"/>
        <v>0</v>
      </c>
      <c r="F59" s="1906" t="str">
        <f t="shared" si="3"/>
        <v>0</v>
      </c>
    </row>
    <row r="60" spans="1:6" hidden="1" x14ac:dyDescent="0.25">
      <c r="A60" s="1888"/>
      <c r="B60" s="1909"/>
      <c r="C60" s="1889"/>
      <c r="D60" s="1886"/>
      <c r="E60" s="1906">
        <f t="shared" si="2"/>
        <v>0</v>
      </c>
      <c r="F60" s="1906" t="str">
        <f t="shared" si="3"/>
        <v>0</v>
      </c>
    </row>
    <row r="61" spans="1:6" hidden="1" x14ac:dyDescent="0.25">
      <c r="A61" s="1888"/>
      <c r="B61" s="1909"/>
      <c r="C61" s="1889"/>
      <c r="D61" s="1886"/>
      <c r="E61" s="1906">
        <f t="shared" si="2"/>
        <v>0</v>
      </c>
      <c r="F61" s="1906" t="str">
        <f t="shared" si="3"/>
        <v>0</v>
      </c>
    </row>
    <row r="62" spans="1:6" hidden="1" x14ac:dyDescent="0.25">
      <c r="A62" s="1888"/>
      <c r="B62" s="1909"/>
      <c r="C62" s="1889"/>
      <c r="D62" s="1886"/>
      <c r="E62" s="1906">
        <f t="shared" si="2"/>
        <v>0</v>
      </c>
      <c r="F62" s="1906" t="str">
        <f t="shared" si="3"/>
        <v>0</v>
      </c>
    </row>
    <row r="63" spans="1:6" hidden="1" x14ac:dyDescent="0.25">
      <c r="A63" s="1888"/>
      <c r="B63" s="1909"/>
      <c r="C63" s="1889"/>
      <c r="D63" s="1886"/>
      <c r="E63" s="1906">
        <f t="shared" si="2"/>
        <v>0</v>
      </c>
      <c r="F63" s="1906" t="str">
        <f t="shared" si="3"/>
        <v>0</v>
      </c>
    </row>
    <row r="64" spans="1:6" hidden="1" x14ac:dyDescent="0.25">
      <c r="A64" s="1888"/>
      <c r="B64" s="1909"/>
      <c r="C64" s="1889"/>
      <c r="D64" s="1886"/>
      <c r="E64" s="1906">
        <f t="shared" si="2"/>
        <v>0</v>
      </c>
      <c r="F64" s="1906" t="str">
        <f t="shared" si="3"/>
        <v>0</v>
      </c>
    </row>
    <row r="65" spans="1:6" hidden="1" x14ac:dyDescent="0.25">
      <c r="A65" s="1884"/>
      <c r="B65" s="1909"/>
      <c r="C65" s="1885"/>
      <c r="D65" s="1886"/>
      <c r="E65" s="1906">
        <f t="shared" si="2"/>
        <v>0</v>
      </c>
      <c r="F65" s="1906" t="str">
        <f t="shared" si="3"/>
        <v>0</v>
      </c>
    </row>
    <row r="66" spans="1:6" hidden="1" x14ac:dyDescent="0.25">
      <c r="A66" s="1888"/>
      <c r="B66" s="1909"/>
      <c r="C66" s="1889"/>
      <c r="D66" s="1886"/>
      <c r="E66" s="1906">
        <f t="shared" si="2"/>
        <v>0</v>
      </c>
      <c r="F66" s="1906" t="str">
        <f t="shared" si="3"/>
        <v>0</v>
      </c>
    </row>
    <row r="67" spans="1:6" hidden="1" x14ac:dyDescent="0.25">
      <c r="A67" s="1888"/>
      <c r="B67" s="1909"/>
      <c r="C67" s="1889"/>
      <c r="D67" s="1886"/>
      <c r="E67" s="1906">
        <f t="shared" si="2"/>
        <v>0</v>
      </c>
      <c r="F67" s="1906" t="str">
        <f t="shared" si="3"/>
        <v>0</v>
      </c>
    </row>
    <row r="68" spans="1:6" hidden="1" x14ac:dyDescent="0.25">
      <c r="A68" s="1888"/>
      <c r="B68" s="1909"/>
      <c r="C68" s="1889"/>
      <c r="D68" s="1886"/>
      <c r="E68" s="1906">
        <f t="shared" si="2"/>
        <v>0</v>
      </c>
      <c r="F68" s="1906" t="str">
        <f t="shared" si="3"/>
        <v>0</v>
      </c>
    </row>
    <row r="69" spans="1:6" hidden="1" x14ac:dyDescent="0.25">
      <c r="A69" s="1888"/>
      <c r="B69" s="1909"/>
      <c r="C69" s="1889"/>
      <c r="D69" s="1886"/>
      <c r="E69" s="1906">
        <f t="shared" si="2"/>
        <v>0</v>
      </c>
      <c r="F69" s="1906" t="str">
        <f t="shared" si="3"/>
        <v>0</v>
      </c>
    </row>
    <row r="70" spans="1:6" hidden="1" x14ac:dyDescent="0.25">
      <c r="A70" s="1888"/>
      <c r="B70" s="1909"/>
      <c r="C70" s="1889"/>
      <c r="D70" s="1886"/>
      <c r="E70" s="1906">
        <f t="shared" si="2"/>
        <v>0</v>
      </c>
      <c r="F70" s="1906" t="str">
        <f t="shared" si="3"/>
        <v>0</v>
      </c>
    </row>
    <row r="71" spans="1:6" hidden="1" x14ac:dyDescent="0.25">
      <c r="A71" s="1888"/>
      <c r="B71" s="1909"/>
      <c r="C71" s="1889"/>
      <c r="D71" s="1886"/>
      <c r="E71" s="1906">
        <f t="shared" si="2"/>
        <v>0</v>
      </c>
      <c r="F71" s="1906" t="str">
        <f t="shared" si="3"/>
        <v>0</v>
      </c>
    </row>
    <row r="72" spans="1:6" hidden="1" x14ac:dyDescent="0.25">
      <c r="A72" s="1888"/>
      <c r="B72" s="1909"/>
      <c r="C72" s="1889"/>
      <c r="D72" s="1886"/>
      <c r="E72" s="1906">
        <f t="shared" si="2"/>
        <v>0</v>
      </c>
      <c r="F72" s="1906" t="str">
        <f t="shared" si="3"/>
        <v>0</v>
      </c>
    </row>
    <row r="73" spans="1:6" hidden="1" x14ac:dyDescent="0.25">
      <c r="A73" s="1888"/>
      <c r="B73" s="1909"/>
      <c r="C73" s="1889"/>
      <c r="D73" s="1886"/>
      <c r="E73" s="1906">
        <f t="shared" si="2"/>
        <v>0</v>
      </c>
      <c r="F73" s="1906" t="str">
        <f t="shared" si="3"/>
        <v>0</v>
      </c>
    </row>
    <row r="74" spans="1:6" hidden="1" x14ac:dyDescent="0.25">
      <c r="A74" s="1888"/>
      <c r="B74" s="1909"/>
      <c r="C74" s="1889"/>
      <c r="D74" s="1886"/>
      <c r="E74" s="1906">
        <f t="shared" si="2"/>
        <v>0</v>
      </c>
      <c r="F74" s="1906" t="str">
        <f t="shared" si="3"/>
        <v>0</v>
      </c>
    </row>
    <row r="75" spans="1:6" hidden="1" x14ac:dyDescent="0.25">
      <c r="A75" s="1888"/>
      <c r="B75" s="1909"/>
      <c r="C75" s="1889"/>
      <c r="D75" s="1886"/>
      <c r="E75" s="1906">
        <f t="shared" si="2"/>
        <v>0</v>
      </c>
      <c r="F75" s="1906" t="str">
        <f t="shared" si="3"/>
        <v>0</v>
      </c>
    </row>
    <row r="76" spans="1:6" hidden="1" x14ac:dyDescent="0.25">
      <c r="A76" s="1888"/>
      <c r="B76" s="1909"/>
      <c r="C76" s="1889"/>
      <c r="D76" s="1886"/>
      <c r="E76" s="1906">
        <f t="shared" si="2"/>
        <v>0</v>
      </c>
      <c r="F76" s="1906" t="str">
        <f t="shared" si="3"/>
        <v>0</v>
      </c>
    </row>
    <row r="77" spans="1:6" hidden="1" x14ac:dyDescent="0.25">
      <c r="A77" s="1888"/>
      <c r="B77" s="1909"/>
      <c r="C77" s="1889"/>
      <c r="D77" s="1886"/>
      <c r="E77" s="1906">
        <f t="shared" si="2"/>
        <v>0</v>
      </c>
      <c r="F77" s="1906" t="str">
        <f t="shared" si="3"/>
        <v>0</v>
      </c>
    </row>
    <row r="78" spans="1:6" hidden="1" x14ac:dyDescent="0.25">
      <c r="A78" s="1888"/>
      <c r="B78" s="1909"/>
      <c r="C78" s="1889"/>
      <c r="D78" s="1886"/>
      <c r="E78" s="1906">
        <f t="shared" si="2"/>
        <v>0</v>
      </c>
      <c r="F78" s="1906" t="str">
        <f t="shared" si="3"/>
        <v>0</v>
      </c>
    </row>
    <row r="79" spans="1:6" hidden="1" x14ac:dyDescent="0.25">
      <c r="A79" s="1888"/>
      <c r="B79" s="1909"/>
      <c r="C79" s="1889"/>
      <c r="D79" s="1886"/>
      <c r="E79" s="1906">
        <f t="shared" si="2"/>
        <v>0</v>
      </c>
      <c r="F79" s="1906" t="str">
        <f t="shared" si="3"/>
        <v>0</v>
      </c>
    </row>
    <row r="80" spans="1:6" hidden="1" x14ac:dyDescent="0.25">
      <c r="A80" s="1888"/>
      <c r="B80" s="1909"/>
      <c r="C80" s="1889"/>
      <c r="D80" s="1886"/>
      <c r="E80" s="1906">
        <f t="shared" si="2"/>
        <v>0</v>
      </c>
      <c r="F80" s="1906" t="str">
        <f t="shared" si="3"/>
        <v>0</v>
      </c>
    </row>
    <row r="81" spans="1:6" hidden="1" x14ac:dyDescent="0.25">
      <c r="A81" s="1888"/>
      <c r="B81" s="1909"/>
      <c r="C81" s="1889"/>
      <c r="D81" s="1886"/>
      <c r="E81" s="1906">
        <f t="shared" si="2"/>
        <v>0</v>
      </c>
      <c r="F81" s="1906" t="str">
        <f t="shared" si="3"/>
        <v>0</v>
      </c>
    </row>
    <row r="82" spans="1:6" hidden="1" x14ac:dyDescent="0.25">
      <c r="A82" s="1888"/>
      <c r="B82" s="1909"/>
      <c r="C82" s="1889"/>
      <c r="D82" s="1886"/>
      <c r="E82" s="1906">
        <f t="shared" ref="E82:E141" si="4">IF(D82&lt;25000,D82,"25,000")</f>
        <v>0</v>
      </c>
      <c r="F82" s="1906" t="str">
        <f t="shared" ref="F82:F141" si="5">IF(D82&gt;=25000,(D82-E82),"0")</f>
        <v>0</v>
      </c>
    </row>
    <row r="83" spans="1:6" hidden="1" x14ac:dyDescent="0.25">
      <c r="A83" s="1888"/>
      <c r="B83" s="1909"/>
      <c r="C83" s="1889"/>
      <c r="D83" s="1886"/>
      <c r="E83" s="1906">
        <f t="shared" si="4"/>
        <v>0</v>
      </c>
      <c r="F83" s="1906" t="str">
        <f t="shared" si="5"/>
        <v>0</v>
      </c>
    </row>
    <row r="84" spans="1:6" hidden="1" x14ac:dyDescent="0.25">
      <c r="A84" s="1888"/>
      <c r="B84" s="1909"/>
      <c r="C84" s="1889"/>
      <c r="D84" s="1886"/>
      <c r="E84" s="1906">
        <f t="shared" si="4"/>
        <v>0</v>
      </c>
      <c r="F84" s="1906" t="str">
        <f t="shared" si="5"/>
        <v>0</v>
      </c>
    </row>
    <row r="85" spans="1:6" hidden="1" x14ac:dyDescent="0.25">
      <c r="A85" s="1888"/>
      <c r="B85" s="1909"/>
      <c r="C85" s="1889"/>
      <c r="D85" s="1886"/>
      <c r="E85" s="1906">
        <f t="shared" si="4"/>
        <v>0</v>
      </c>
      <c r="F85" s="1906" t="str">
        <f t="shared" si="5"/>
        <v>0</v>
      </c>
    </row>
    <row r="86" spans="1:6" hidden="1" x14ac:dyDescent="0.25">
      <c r="A86" s="1888"/>
      <c r="B86" s="1909"/>
      <c r="C86" s="1889"/>
      <c r="D86" s="1886"/>
      <c r="E86" s="1906">
        <f t="shared" si="4"/>
        <v>0</v>
      </c>
      <c r="F86" s="1906" t="str">
        <f t="shared" si="5"/>
        <v>0</v>
      </c>
    </row>
    <row r="87" spans="1:6" hidden="1" x14ac:dyDescent="0.25">
      <c r="A87" s="1888"/>
      <c r="B87" s="1909"/>
      <c r="C87" s="1889"/>
      <c r="D87" s="1886"/>
      <c r="E87" s="1906">
        <f t="shared" si="4"/>
        <v>0</v>
      </c>
      <c r="F87" s="1906" t="str">
        <f t="shared" si="5"/>
        <v>0</v>
      </c>
    </row>
    <row r="88" spans="1:6" hidden="1" x14ac:dyDescent="0.25">
      <c r="A88" s="1888"/>
      <c r="B88" s="1909"/>
      <c r="C88" s="1889"/>
      <c r="D88" s="1886"/>
      <c r="E88" s="1906">
        <f t="shared" si="4"/>
        <v>0</v>
      </c>
      <c r="F88" s="1906" t="str">
        <f t="shared" si="5"/>
        <v>0</v>
      </c>
    </row>
    <row r="89" spans="1:6" hidden="1" x14ac:dyDescent="0.25">
      <c r="A89" s="1888"/>
      <c r="B89" s="1909"/>
      <c r="C89" s="1889"/>
      <c r="D89" s="1886"/>
      <c r="E89" s="1906">
        <f t="shared" si="4"/>
        <v>0</v>
      </c>
      <c r="F89" s="1906" t="str">
        <f t="shared" si="5"/>
        <v>0</v>
      </c>
    </row>
    <row r="90" spans="1:6" hidden="1" x14ac:dyDescent="0.25">
      <c r="A90" s="1888"/>
      <c r="B90" s="1909"/>
      <c r="C90" s="1889"/>
      <c r="D90" s="1886"/>
      <c r="E90" s="1906">
        <f t="shared" si="4"/>
        <v>0</v>
      </c>
      <c r="F90" s="1906" t="str">
        <f t="shared" si="5"/>
        <v>0</v>
      </c>
    </row>
    <row r="91" spans="1:6" hidden="1" x14ac:dyDescent="0.25">
      <c r="A91" s="1888"/>
      <c r="B91" s="1909"/>
      <c r="C91" s="1889"/>
      <c r="D91" s="1886"/>
      <c r="E91" s="1906">
        <f t="shared" si="4"/>
        <v>0</v>
      </c>
      <c r="F91" s="1906" t="str">
        <f t="shared" si="5"/>
        <v>0</v>
      </c>
    </row>
    <row r="92" spans="1:6" hidden="1" x14ac:dyDescent="0.25">
      <c r="A92" s="1888"/>
      <c r="B92" s="1909"/>
      <c r="C92" s="1889"/>
      <c r="D92" s="1886"/>
      <c r="E92" s="1906">
        <f t="shared" si="4"/>
        <v>0</v>
      </c>
      <c r="F92" s="1906" t="str">
        <f t="shared" si="5"/>
        <v>0</v>
      </c>
    </row>
    <row r="93" spans="1:6" hidden="1" x14ac:dyDescent="0.25">
      <c r="A93" s="1888"/>
      <c r="B93" s="1909"/>
      <c r="C93" s="1889"/>
      <c r="D93" s="1886"/>
      <c r="E93" s="1906">
        <f t="shared" si="4"/>
        <v>0</v>
      </c>
      <c r="F93" s="1906" t="str">
        <f t="shared" si="5"/>
        <v>0</v>
      </c>
    </row>
    <row r="94" spans="1:6" hidden="1" x14ac:dyDescent="0.25">
      <c r="A94" s="1888"/>
      <c r="B94" s="1909"/>
      <c r="C94" s="1889"/>
      <c r="D94" s="1886"/>
      <c r="E94" s="1906">
        <f t="shared" si="4"/>
        <v>0</v>
      </c>
      <c r="F94" s="1906" t="str">
        <f t="shared" si="5"/>
        <v>0</v>
      </c>
    </row>
    <row r="95" spans="1:6" hidden="1" x14ac:dyDescent="0.25">
      <c r="A95" s="1888"/>
      <c r="B95" s="1909"/>
      <c r="C95" s="1889"/>
      <c r="D95" s="1886"/>
      <c r="E95" s="1906">
        <f t="shared" si="4"/>
        <v>0</v>
      </c>
      <c r="F95" s="1906" t="str">
        <f t="shared" si="5"/>
        <v>0</v>
      </c>
    </row>
    <row r="96" spans="1:6" hidden="1" x14ac:dyDescent="0.25">
      <c r="A96" s="1888"/>
      <c r="B96" s="1909"/>
      <c r="C96" s="1889"/>
      <c r="D96" s="1886"/>
      <c r="E96" s="1906">
        <f t="shared" si="4"/>
        <v>0</v>
      </c>
      <c r="F96" s="1906" t="str">
        <f t="shared" si="5"/>
        <v>0</v>
      </c>
    </row>
    <row r="97" spans="1:6" hidden="1" x14ac:dyDescent="0.25">
      <c r="A97" s="1888"/>
      <c r="B97" s="1909"/>
      <c r="C97" s="1889"/>
      <c r="D97" s="1886"/>
      <c r="E97" s="1906">
        <f t="shared" si="4"/>
        <v>0</v>
      </c>
      <c r="F97" s="1906" t="str">
        <f t="shared" si="5"/>
        <v>0</v>
      </c>
    </row>
    <row r="98" spans="1:6" hidden="1" x14ac:dyDescent="0.25">
      <c r="A98" s="1888"/>
      <c r="B98" s="1909"/>
      <c r="C98" s="1889"/>
      <c r="D98" s="1886"/>
      <c r="E98" s="1906">
        <f t="shared" si="4"/>
        <v>0</v>
      </c>
      <c r="F98" s="1906" t="str">
        <f t="shared" si="5"/>
        <v>0</v>
      </c>
    </row>
    <row r="99" spans="1:6" hidden="1" x14ac:dyDescent="0.25">
      <c r="A99" s="1888"/>
      <c r="B99" s="1909"/>
      <c r="C99" s="1889"/>
      <c r="D99" s="1886"/>
      <c r="E99" s="1906">
        <f t="shared" si="4"/>
        <v>0</v>
      </c>
      <c r="F99" s="1906" t="str">
        <f t="shared" si="5"/>
        <v>0</v>
      </c>
    </row>
    <row r="100" spans="1:6" hidden="1" x14ac:dyDescent="0.25">
      <c r="A100" s="1888"/>
      <c r="B100" s="1909"/>
      <c r="C100" s="1889"/>
      <c r="D100" s="1886"/>
      <c r="E100" s="1906">
        <f t="shared" si="4"/>
        <v>0</v>
      </c>
      <c r="F100" s="1906" t="str">
        <f t="shared" si="5"/>
        <v>0</v>
      </c>
    </row>
    <row r="101" spans="1:6" hidden="1" x14ac:dyDescent="0.25">
      <c r="A101" s="1888"/>
      <c r="B101" s="1909"/>
      <c r="C101" s="1889"/>
      <c r="D101" s="1886"/>
      <c r="E101" s="1906">
        <f t="shared" si="4"/>
        <v>0</v>
      </c>
      <c r="F101" s="1906" t="str">
        <f t="shared" si="5"/>
        <v>0</v>
      </c>
    </row>
    <row r="102" spans="1:6" hidden="1" x14ac:dyDescent="0.25">
      <c r="A102" s="1888"/>
      <c r="B102" s="1909"/>
      <c r="C102" s="1889"/>
      <c r="D102" s="1886"/>
      <c r="E102" s="1906">
        <f t="shared" si="4"/>
        <v>0</v>
      </c>
      <c r="F102" s="1906" t="str">
        <f t="shared" si="5"/>
        <v>0</v>
      </c>
    </row>
    <row r="103" spans="1:6" hidden="1" x14ac:dyDescent="0.25">
      <c r="A103" s="1888"/>
      <c r="B103" s="1909"/>
      <c r="C103" s="1889"/>
      <c r="D103" s="1886"/>
      <c r="E103" s="1906">
        <f t="shared" si="4"/>
        <v>0</v>
      </c>
      <c r="F103" s="1906" t="str">
        <f t="shared" si="5"/>
        <v>0</v>
      </c>
    </row>
    <row r="104" spans="1:6" hidden="1" x14ac:dyDescent="0.25">
      <c r="A104" s="1888"/>
      <c r="B104" s="1909"/>
      <c r="C104" s="1889"/>
      <c r="D104" s="1886"/>
      <c r="E104" s="1906">
        <f t="shared" si="4"/>
        <v>0</v>
      </c>
      <c r="F104" s="1906" t="str">
        <f t="shared" si="5"/>
        <v>0</v>
      </c>
    </row>
    <row r="105" spans="1:6" hidden="1" x14ac:dyDescent="0.25">
      <c r="A105" s="1888"/>
      <c r="B105" s="1909"/>
      <c r="C105" s="1889"/>
      <c r="D105" s="1886"/>
      <c r="E105" s="1906">
        <f t="shared" si="4"/>
        <v>0</v>
      </c>
      <c r="F105" s="1906" t="str">
        <f t="shared" si="5"/>
        <v>0</v>
      </c>
    </row>
    <row r="106" spans="1:6" hidden="1" x14ac:dyDescent="0.25">
      <c r="A106" s="1888"/>
      <c r="B106" s="1909"/>
      <c r="C106" s="1889"/>
      <c r="D106" s="1886"/>
      <c r="E106" s="1906">
        <f t="shared" si="4"/>
        <v>0</v>
      </c>
      <c r="F106" s="1906" t="str">
        <f t="shared" si="5"/>
        <v>0</v>
      </c>
    </row>
    <row r="107" spans="1:6" hidden="1" x14ac:dyDescent="0.25">
      <c r="A107" s="1888"/>
      <c r="B107" s="1909"/>
      <c r="C107" s="1889"/>
      <c r="D107" s="1886"/>
      <c r="E107" s="1906">
        <f t="shared" si="4"/>
        <v>0</v>
      </c>
      <c r="F107" s="1906" t="str">
        <f t="shared" si="5"/>
        <v>0</v>
      </c>
    </row>
    <row r="108" spans="1:6" hidden="1" x14ac:dyDescent="0.25">
      <c r="A108" s="1888"/>
      <c r="B108" s="1909"/>
      <c r="C108" s="1889"/>
      <c r="D108" s="1886"/>
      <c r="E108" s="1906">
        <f t="shared" si="4"/>
        <v>0</v>
      </c>
      <c r="F108" s="1906" t="str">
        <f t="shared" si="5"/>
        <v>0</v>
      </c>
    </row>
    <row r="109" spans="1:6" hidden="1" x14ac:dyDescent="0.25">
      <c r="A109" s="1888"/>
      <c r="B109" s="1909"/>
      <c r="C109" s="1889"/>
      <c r="D109" s="1886"/>
      <c r="E109" s="1906">
        <f t="shared" si="4"/>
        <v>0</v>
      </c>
      <c r="F109" s="1906" t="str">
        <f t="shared" si="5"/>
        <v>0</v>
      </c>
    </row>
    <row r="110" spans="1:6" hidden="1" x14ac:dyDescent="0.25">
      <c r="A110" s="1888"/>
      <c r="B110" s="1909"/>
      <c r="C110" s="1889"/>
      <c r="D110" s="1886"/>
      <c r="E110" s="1906">
        <f t="shared" si="4"/>
        <v>0</v>
      </c>
      <c r="F110" s="1906" t="str">
        <f t="shared" si="5"/>
        <v>0</v>
      </c>
    </row>
    <row r="111" spans="1:6" hidden="1" x14ac:dyDescent="0.25">
      <c r="A111" s="1888"/>
      <c r="B111" s="1909"/>
      <c r="C111" s="1889"/>
      <c r="D111" s="1886"/>
      <c r="E111" s="1906">
        <f t="shared" si="4"/>
        <v>0</v>
      </c>
      <c r="F111" s="1906" t="str">
        <f t="shared" si="5"/>
        <v>0</v>
      </c>
    </row>
    <row r="112" spans="1:6" hidden="1" x14ac:dyDescent="0.25">
      <c r="A112" s="1888"/>
      <c r="B112" s="1909"/>
      <c r="C112" s="1889"/>
      <c r="D112" s="1886"/>
      <c r="E112" s="1906">
        <f t="shared" si="4"/>
        <v>0</v>
      </c>
      <c r="F112" s="1906" t="str">
        <f t="shared" si="5"/>
        <v>0</v>
      </c>
    </row>
    <row r="113" spans="1:6" hidden="1" x14ac:dyDescent="0.25">
      <c r="A113" s="1888"/>
      <c r="B113" s="1909"/>
      <c r="C113" s="1889"/>
      <c r="D113" s="1886"/>
      <c r="E113" s="1906">
        <f t="shared" si="4"/>
        <v>0</v>
      </c>
      <c r="F113" s="1906" t="str">
        <f t="shared" si="5"/>
        <v>0</v>
      </c>
    </row>
    <row r="114" spans="1:6" hidden="1" x14ac:dyDescent="0.25">
      <c r="A114" s="1888"/>
      <c r="B114" s="1909"/>
      <c r="C114" s="1889"/>
      <c r="D114" s="1886"/>
      <c r="E114" s="1906">
        <f t="shared" si="4"/>
        <v>0</v>
      </c>
      <c r="F114" s="1906" t="str">
        <f t="shared" si="5"/>
        <v>0</v>
      </c>
    </row>
    <row r="115" spans="1:6" hidden="1" x14ac:dyDescent="0.25">
      <c r="A115" s="1888"/>
      <c r="B115" s="1909"/>
      <c r="C115" s="1889"/>
      <c r="D115" s="1886"/>
      <c r="E115" s="1906">
        <f t="shared" si="4"/>
        <v>0</v>
      </c>
      <c r="F115" s="1906" t="str">
        <f t="shared" si="5"/>
        <v>0</v>
      </c>
    </row>
    <row r="116" spans="1:6" hidden="1" x14ac:dyDescent="0.25">
      <c r="A116" s="1888"/>
      <c r="B116" s="1909"/>
      <c r="C116" s="1889"/>
      <c r="D116" s="1886"/>
      <c r="E116" s="1906">
        <f t="shared" si="4"/>
        <v>0</v>
      </c>
      <c r="F116" s="1906" t="str">
        <f t="shared" si="5"/>
        <v>0</v>
      </c>
    </row>
    <row r="117" spans="1:6" hidden="1" x14ac:dyDescent="0.25">
      <c r="A117" s="1888"/>
      <c r="B117" s="1909"/>
      <c r="C117" s="1889"/>
      <c r="D117" s="1886"/>
      <c r="E117" s="1906">
        <f t="shared" si="4"/>
        <v>0</v>
      </c>
      <c r="F117" s="1906" t="str">
        <f t="shared" si="5"/>
        <v>0</v>
      </c>
    </row>
    <row r="118" spans="1:6" hidden="1" x14ac:dyDescent="0.25">
      <c r="A118" s="1888"/>
      <c r="B118" s="1909"/>
      <c r="C118" s="1889"/>
      <c r="D118" s="1886"/>
      <c r="E118" s="1906">
        <f t="shared" si="4"/>
        <v>0</v>
      </c>
      <c r="F118" s="1906" t="str">
        <f t="shared" si="5"/>
        <v>0</v>
      </c>
    </row>
    <row r="119" spans="1:6" hidden="1" x14ac:dyDescent="0.25">
      <c r="A119" s="1888"/>
      <c r="B119" s="1909"/>
      <c r="C119" s="1889"/>
      <c r="D119" s="1886"/>
      <c r="E119" s="1906">
        <f t="shared" si="4"/>
        <v>0</v>
      </c>
      <c r="F119" s="1906" t="str">
        <f t="shared" si="5"/>
        <v>0</v>
      </c>
    </row>
    <row r="120" spans="1:6" hidden="1" x14ac:dyDescent="0.25">
      <c r="A120" s="1888"/>
      <c r="B120" s="1909"/>
      <c r="C120" s="1889"/>
      <c r="D120" s="1886"/>
      <c r="E120" s="1906">
        <f t="shared" si="4"/>
        <v>0</v>
      </c>
      <c r="F120" s="1906" t="str">
        <f t="shared" si="5"/>
        <v>0</v>
      </c>
    </row>
    <row r="121" spans="1:6" hidden="1" x14ac:dyDescent="0.25">
      <c r="A121" s="1888"/>
      <c r="B121" s="1909"/>
      <c r="C121" s="1889"/>
      <c r="D121" s="1886"/>
      <c r="E121" s="1906">
        <f t="shared" si="4"/>
        <v>0</v>
      </c>
      <c r="F121" s="1906" t="str">
        <f t="shared" si="5"/>
        <v>0</v>
      </c>
    </row>
    <row r="122" spans="1:6" hidden="1" x14ac:dyDescent="0.25">
      <c r="A122" s="1888"/>
      <c r="B122" s="1909"/>
      <c r="C122" s="1889"/>
      <c r="D122" s="1886"/>
      <c r="E122" s="1906">
        <f t="shared" si="4"/>
        <v>0</v>
      </c>
      <c r="F122" s="1906" t="str">
        <f t="shared" si="5"/>
        <v>0</v>
      </c>
    </row>
    <row r="123" spans="1:6" hidden="1" x14ac:dyDescent="0.25">
      <c r="A123" s="1888"/>
      <c r="B123" s="1909"/>
      <c r="C123" s="1889"/>
      <c r="D123" s="1886"/>
      <c r="E123" s="1906">
        <f t="shared" si="4"/>
        <v>0</v>
      </c>
      <c r="F123" s="1906" t="str">
        <f t="shared" si="5"/>
        <v>0</v>
      </c>
    </row>
    <row r="124" spans="1:6" hidden="1" x14ac:dyDescent="0.25">
      <c r="A124" s="1888"/>
      <c r="B124" s="1909"/>
      <c r="C124" s="1889"/>
      <c r="D124" s="1886"/>
      <c r="E124" s="1906">
        <f t="shared" si="4"/>
        <v>0</v>
      </c>
      <c r="F124" s="1906" t="str">
        <f t="shared" si="5"/>
        <v>0</v>
      </c>
    </row>
    <row r="125" spans="1:6" hidden="1" x14ac:dyDescent="0.25">
      <c r="A125" s="1888"/>
      <c r="B125" s="1909"/>
      <c r="C125" s="1889"/>
      <c r="D125" s="1886"/>
      <c r="E125" s="1906">
        <f t="shared" si="4"/>
        <v>0</v>
      </c>
      <c r="F125" s="1906" t="str">
        <f t="shared" si="5"/>
        <v>0</v>
      </c>
    </row>
    <row r="126" spans="1:6" hidden="1" x14ac:dyDescent="0.25">
      <c r="A126" s="1888"/>
      <c r="B126" s="1909"/>
      <c r="C126" s="1889"/>
      <c r="D126" s="1886"/>
      <c r="E126" s="1906">
        <f t="shared" si="4"/>
        <v>0</v>
      </c>
      <c r="F126" s="1906" t="str">
        <f t="shared" si="5"/>
        <v>0</v>
      </c>
    </row>
    <row r="127" spans="1:6" hidden="1" x14ac:dyDescent="0.25">
      <c r="A127" s="1888"/>
      <c r="B127" s="1909"/>
      <c r="C127" s="1889"/>
      <c r="D127" s="1886"/>
      <c r="E127" s="1906">
        <f t="shared" si="4"/>
        <v>0</v>
      </c>
      <c r="F127" s="1906" t="str">
        <f t="shared" si="5"/>
        <v>0</v>
      </c>
    </row>
    <row r="128" spans="1:6" hidden="1" x14ac:dyDescent="0.25">
      <c r="A128" s="1888"/>
      <c r="B128" s="1909"/>
      <c r="C128" s="1889"/>
      <c r="D128" s="1886"/>
      <c r="E128" s="1906">
        <f t="shared" si="4"/>
        <v>0</v>
      </c>
      <c r="F128" s="1906" t="str">
        <f t="shared" si="5"/>
        <v>0</v>
      </c>
    </row>
    <row r="129" spans="1:6" hidden="1" x14ac:dyDescent="0.25">
      <c r="A129" s="1888"/>
      <c r="B129" s="1909"/>
      <c r="C129" s="1889"/>
      <c r="D129" s="1886"/>
      <c r="E129" s="1906">
        <f t="shared" si="4"/>
        <v>0</v>
      </c>
      <c r="F129" s="1906" t="str">
        <f t="shared" si="5"/>
        <v>0</v>
      </c>
    </row>
    <row r="130" spans="1:6" hidden="1" x14ac:dyDescent="0.25">
      <c r="A130" s="1888"/>
      <c r="B130" s="1909"/>
      <c r="C130" s="1889"/>
      <c r="D130" s="1886"/>
      <c r="E130" s="1906">
        <f t="shared" si="4"/>
        <v>0</v>
      </c>
      <c r="F130" s="1906" t="str">
        <f t="shared" si="5"/>
        <v>0</v>
      </c>
    </row>
    <row r="131" spans="1:6" hidden="1" x14ac:dyDescent="0.25">
      <c r="A131" s="1888"/>
      <c r="B131" s="1909"/>
      <c r="C131" s="1889"/>
      <c r="D131" s="1886"/>
      <c r="E131" s="1906">
        <f t="shared" si="4"/>
        <v>0</v>
      </c>
      <c r="F131" s="1906" t="str">
        <f t="shared" si="5"/>
        <v>0</v>
      </c>
    </row>
    <row r="132" spans="1:6" hidden="1" x14ac:dyDescent="0.25">
      <c r="A132" s="1888"/>
      <c r="B132" s="1909"/>
      <c r="C132" s="1889"/>
      <c r="D132" s="1886"/>
      <c r="E132" s="1906">
        <f t="shared" si="4"/>
        <v>0</v>
      </c>
      <c r="F132" s="1906" t="str">
        <f t="shared" si="5"/>
        <v>0</v>
      </c>
    </row>
    <row r="133" spans="1:6" hidden="1" x14ac:dyDescent="0.25">
      <c r="A133" s="1888"/>
      <c r="B133" s="1909"/>
      <c r="C133" s="1889"/>
      <c r="D133" s="1886"/>
      <c r="E133" s="1906">
        <f t="shared" si="4"/>
        <v>0</v>
      </c>
      <c r="F133" s="1906" t="str">
        <f t="shared" si="5"/>
        <v>0</v>
      </c>
    </row>
    <row r="134" spans="1:6" hidden="1" x14ac:dyDescent="0.25">
      <c r="A134" s="1888"/>
      <c r="B134" s="1909"/>
      <c r="C134" s="1889"/>
      <c r="D134" s="1886"/>
      <c r="E134" s="1906">
        <f t="shared" si="4"/>
        <v>0</v>
      </c>
      <c r="F134" s="1906" t="str">
        <f t="shared" si="5"/>
        <v>0</v>
      </c>
    </row>
    <row r="135" spans="1:6" hidden="1" x14ac:dyDescent="0.25">
      <c r="A135" s="1888"/>
      <c r="B135" s="1909"/>
      <c r="C135" s="1889"/>
      <c r="D135" s="1886"/>
      <c r="E135" s="1906">
        <f t="shared" si="4"/>
        <v>0</v>
      </c>
      <c r="F135" s="1906" t="str">
        <f t="shared" si="5"/>
        <v>0</v>
      </c>
    </row>
    <row r="136" spans="1:6" hidden="1" x14ac:dyDescent="0.25">
      <c r="A136" s="1888"/>
      <c r="B136" s="1909"/>
      <c r="C136" s="1889"/>
      <c r="D136" s="1886"/>
      <c r="E136" s="1906">
        <f t="shared" si="4"/>
        <v>0</v>
      </c>
      <c r="F136" s="1906" t="str">
        <f t="shared" si="5"/>
        <v>0</v>
      </c>
    </row>
    <row r="137" spans="1:6" hidden="1" x14ac:dyDescent="0.25">
      <c r="A137" s="1888"/>
      <c r="B137" s="1909"/>
      <c r="C137" s="1889"/>
      <c r="D137" s="1886"/>
      <c r="E137" s="1906">
        <f t="shared" si="4"/>
        <v>0</v>
      </c>
      <c r="F137" s="1906" t="str">
        <f t="shared" si="5"/>
        <v>0</v>
      </c>
    </row>
    <row r="138" spans="1:6" hidden="1" x14ac:dyDescent="0.25">
      <c r="A138" s="1888"/>
      <c r="B138" s="1909"/>
      <c r="C138" s="1889"/>
      <c r="D138" s="1886"/>
      <c r="E138" s="1906">
        <f t="shared" si="4"/>
        <v>0</v>
      </c>
      <c r="F138" s="1906" t="str">
        <f t="shared" si="5"/>
        <v>0</v>
      </c>
    </row>
    <row r="139" spans="1:6" hidden="1" x14ac:dyDescent="0.25">
      <c r="A139" s="1888"/>
      <c r="B139" s="1909"/>
      <c r="C139" s="1889"/>
      <c r="D139" s="1886"/>
      <c r="E139" s="1906">
        <f t="shared" si="4"/>
        <v>0</v>
      </c>
      <c r="F139" s="1906" t="str">
        <f t="shared" si="5"/>
        <v>0</v>
      </c>
    </row>
    <row r="140" spans="1:6" hidden="1" x14ac:dyDescent="0.25">
      <c r="A140" s="1888"/>
      <c r="B140" s="1909"/>
      <c r="C140" s="1889"/>
      <c r="D140" s="1886"/>
      <c r="E140" s="1906">
        <f t="shared" si="4"/>
        <v>0</v>
      </c>
      <c r="F140" s="1906" t="str">
        <f t="shared" si="5"/>
        <v>0</v>
      </c>
    </row>
    <row r="141" spans="1:6" hidden="1" x14ac:dyDescent="0.25">
      <c r="A141" s="1888"/>
      <c r="B141" s="1910"/>
      <c r="C141" s="1889"/>
      <c r="D141" s="1886"/>
      <c r="E141" s="1906">
        <f t="shared" si="4"/>
        <v>0</v>
      </c>
      <c r="F141" s="1906" t="str">
        <f t="shared" si="5"/>
        <v>0</v>
      </c>
    </row>
    <row r="142" spans="1:6" x14ac:dyDescent="0.25">
      <c r="A142" s="1890" t="s">
        <v>155</v>
      </c>
      <c r="B142" s="1911"/>
      <c r="C142" s="1891"/>
      <c r="D142" s="1892">
        <f>SUM(D18:D141)</f>
        <v>427328</v>
      </c>
      <c r="E142" s="1893">
        <f>SUM(E18:E141)</f>
        <v>64222</v>
      </c>
      <c r="F142" s="1894">
        <f>SUM(F18:F141)</f>
        <v>313106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view="pageBreakPreview" colorId="8" zoomScale="60" zoomScaleNormal="110" workbookViewId="0">
      <selection activeCell="A36" sqref="A36:F3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f>'Expenditures 15-22'!K63</f>
        <v>251542</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23330</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4898279</v>
      </c>
      <c r="F19" s="1802"/>
      <c r="G19" s="1804">
        <f>'Expenditures 15-22'!K33-SUM('Expenditures 15-22'!G33,'Expenditures 15-22'!I33)+'Expenditures 15-22'!D229</f>
        <v>4898279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69089</v>
      </c>
      <c r="F21" s="1805"/>
      <c r="G21" s="1808">
        <f>'Expenditures 15-22'!K42-SUM('Expenditures 15-22'!G42,'Expenditures 15-22'!I42)+'Expenditures 15-22'!K120-SUM('Expenditures 15-22'!G120,'Expenditures 15-22'!I120)+'Expenditures 15-22'!K180-SUM('Expenditures 15-22'!G180,'Expenditures 15-22'!I180)+'Expenditures 15-22'!D238</f>
        <v>69089</v>
      </c>
      <c r="H21" s="817"/>
      <c r="I21" s="157"/>
    </row>
    <row r="22" spans="1:9" s="542" customFormat="1" ht="12" customHeight="1" x14ac:dyDescent="0.2">
      <c r="A22" s="824" t="s">
        <v>560</v>
      </c>
      <c r="B22" s="825"/>
      <c r="C22" s="823">
        <v>2200</v>
      </c>
      <c r="D22" s="1805"/>
      <c r="E22" s="1807">
        <f>'Expenditures 15-22'!K47-SUM('Expenditures 15-22'!G47,'Expenditures 15-22'!I47)+'Expenditures 15-22'!D243</f>
        <v>25067</v>
      </c>
      <c r="F22" s="1805"/>
      <c r="G22" s="1808">
        <f>'Expenditures 15-22'!K47-SUM('Expenditures 15-22'!G47,'Expenditures 15-22'!I47)+'Expenditures 15-22'!D243</f>
        <v>25067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705312</v>
      </c>
      <c r="F23" s="1805"/>
      <c r="G23" s="1807">
        <f>'Expenditures 15-22'!K53-SUM('Expenditures 15-22'!G53,'Expenditures 15-22'!I53)+'Expenditures 15-22'!D257+'Expenditures 15-22'!K330-SUM('Expenditures 15-22'!G330,'Expenditures 15-22'!I330)</f>
        <v>705312</v>
      </c>
      <c r="H23" s="817"/>
      <c r="I23" s="157"/>
    </row>
    <row r="24" spans="1:9" s="542" customFormat="1" ht="12" customHeight="1" x14ac:dyDescent="0.2">
      <c r="A24" s="824" t="s">
        <v>562</v>
      </c>
      <c r="B24" s="825"/>
      <c r="C24" s="823">
        <v>2400</v>
      </c>
      <c r="D24" s="1805"/>
      <c r="E24" s="1807">
        <f>'Expenditures 15-22'!K57-SUM('Expenditures 15-22'!G57,'Expenditures 15-22'!I57)+'Expenditures 15-22'!D261</f>
        <v>258031</v>
      </c>
      <c r="F24" s="1805"/>
      <c r="G24" s="1808">
        <f>'Expenditures 15-22'!K57-SUM('Expenditures 15-22'!G57,'Expenditures 15-22'!I57)+'Expenditures 15-22'!D261</f>
        <v>258031</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83038</v>
      </c>
      <c r="E27" s="1807">
        <f>E8</f>
        <v>0</v>
      </c>
      <c r="F27" s="1807">
        <f>'Expenditures 15-22'!K60-SUM('Expenditures 15-22'!G60,'Expenditures 15-22'!I60)+'Expenditures 15-22'!D264-E8</f>
        <v>83038</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766106</v>
      </c>
      <c r="F28" s="1809">
        <f>'Expenditures 15-22'!K61-SUM('Expenditures 15-22'!G61,'Expenditures 15-22'!I61)+'Expenditures 15-22'!K124-SUM('Expenditures 15-22'!G124,'Expenditures 15-22'!I124)+'Expenditures 15-22'!D266-E9</f>
        <v>766106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234458</v>
      </c>
      <c r="F29" s="1805"/>
      <c r="G29" s="1808">
        <f>'Expenditures 15-22'!K62-SUM('Expenditures 15-22'!G62,'Expenditures 15-22'!I62)+'Expenditures 15-22'!K125-SUM('Expenditures 15-22'!G125,'Expenditures 15-22'!I125)+'Expenditures 15-22'!K182-SUM('Expenditures 15-22'!G182,'Expenditures 15-22'!I182)+'Expenditures 15-22'!D267</f>
        <v>234458</v>
      </c>
      <c r="H29" s="815"/>
    </row>
    <row r="30" spans="1:9" ht="12" customHeight="1" x14ac:dyDescent="0.2">
      <c r="A30" s="824" t="s">
        <v>100</v>
      </c>
      <c r="B30" s="827"/>
      <c r="C30" s="823">
        <v>2560</v>
      </c>
      <c r="D30" s="1805"/>
      <c r="E30" s="1807">
        <f>'Expenditures 15-22'!K63-SUM('Expenditures 15-22'!G63,'Expenditures 15-22'!I63)+'Expenditures 15-22'!D268-E10</f>
        <v>5748</v>
      </c>
      <c r="F30" s="1805"/>
      <c r="G30" s="1807">
        <f>'Expenditures 15-22'!K63-SUM('Expenditures 15-22'!G63,'Expenditures 15-22'!I63)+'Expenditures 15-22'!D268-E10</f>
        <v>5748</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-313106</v>
      </c>
      <c r="F40" s="1805"/>
      <c r="G40" s="1809">
        <f>-'Contracts Paid in CY 29'!F142</f>
        <v>-313106</v>
      </c>
    </row>
    <row r="41" spans="1:7" ht="12" customHeight="1" x14ac:dyDescent="0.2">
      <c r="A41" s="828" t="s">
        <v>155</v>
      </c>
      <c r="B41" s="829"/>
      <c r="C41" s="830"/>
      <c r="D41" s="1809">
        <f>SUM(D19:D39)</f>
        <v>83038</v>
      </c>
      <c r="E41" s="1809">
        <f>SUM(E19:E40)</f>
        <v>6648984</v>
      </c>
      <c r="F41" s="1809">
        <f>SUM(F19:F39)</f>
        <v>849144</v>
      </c>
      <c r="G41" s="1809">
        <f>SUM(G19:G40)</f>
        <v>5882878</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83038</v>
      </c>
      <c r="F43" s="1458" t="s">
        <v>470</v>
      </c>
      <c r="G43" s="1810">
        <f>F41</f>
        <v>849144</v>
      </c>
    </row>
    <row r="44" spans="1:7" ht="12" customHeight="1" x14ac:dyDescent="0.2">
      <c r="A44" s="817"/>
      <c r="B44" s="157"/>
      <c r="C44" s="831"/>
      <c r="D44" s="1458" t="s">
        <v>471</v>
      </c>
      <c r="E44" s="1810">
        <f>E41</f>
        <v>6648984</v>
      </c>
      <c r="F44" s="1458" t="s">
        <v>471</v>
      </c>
      <c r="G44" s="1810">
        <f>G41</f>
        <v>5882878</v>
      </c>
    </row>
    <row r="45" spans="1:7" ht="12" customHeight="1" x14ac:dyDescent="0.2">
      <c r="A45" s="817"/>
      <c r="B45" s="157"/>
      <c r="C45" s="157"/>
      <c r="D45" s="1459" t="s">
        <v>999</v>
      </c>
      <c r="E45" s="1811">
        <f>(E43/E44)</f>
        <v>1.2488825360385888E-2</v>
      </c>
      <c r="F45" s="1459" t="s">
        <v>999</v>
      </c>
      <c r="G45" s="1811">
        <f>(G43/G44)</f>
        <v>0.14434159606913488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view="pageBreakPreview" topLeftCell="A7" zoomScale="60" zoomScaleNormal="110" workbookViewId="0">
      <selection activeCell="A36" sqref="A36:F36"/>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 xml:space="preserve"> Millstadt CCSD #160</v>
      </c>
      <c r="D6" s="2415"/>
      <c r="E6" s="2415"/>
      <c r="F6" s="1482"/>
      <c r="G6" s="1507"/>
      <c r="L6" s="1507"/>
      <c r="M6" s="1855"/>
      <c r="N6" s="1855"/>
      <c r="O6" s="1855"/>
    </row>
    <row r="7" spans="1:15" ht="11.25" customHeight="1" thickBot="1" x14ac:dyDescent="0.3">
      <c r="A7" s="1480"/>
      <c r="B7" s="1481"/>
      <c r="C7" s="2416">
        <f>COVER!A13</f>
        <v>50082160004</v>
      </c>
      <c r="D7" s="2416"/>
      <c r="E7" s="2416"/>
      <c r="F7" s="1482"/>
      <c r="G7" s="1507"/>
      <c r="L7" s="1507"/>
      <c r="M7" s="1855"/>
      <c r="N7" s="1855"/>
      <c r="O7" s="1855"/>
    </row>
    <row r="8" spans="1:15" ht="25.5" customHeight="1" thickBot="1" x14ac:dyDescent="0.25">
      <c r="A8" s="1519" t="s">
        <v>1874</v>
      </c>
      <c r="B8" s="1483" t="s">
        <v>2051</v>
      </c>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0</v>
      </c>
      <c r="I34" s="1507">
        <f>SUM(I11:I32)</f>
        <v>0</v>
      </c>
      <c r="J34" s="1507">
        <f>SUM(J11:J32)</f>
        <v>0</v>
      </c>
      <c r="K34" s="1507">
        <f>SUM(H34:J34)</f>
        <v>0</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A36" sqref="A36:F36"/>
    </sheetView>
  </sheetViews>
  <sheetFormatPr defaultRowHeight="12.75" x14ac:dyDescent="0.2"/>
  <cols>
    <col min="1" max="1" width="2.85546875" style="1923" customWidth="1"/>
    <col min="2" max="2" width="3" style="1923" customWidth="1"/>
    <col min="3" max="3" width="48.5703125" style="1923" customWidth="1"/>
    <col min="4" max="4" width="7.42578125" style="1923" customWidth="1"/>
    <col min="5" max="5" width="11.28515625" style="1923" customWidth="1"/>
    <col min="6" max="6" width="10.85546875" style="1923" customWidth="1"/>
    <col min="7" max="8" width="9.140625" style="1923"/>
    <col min="9" max="9" width="11.140625" style="1923" customWidth="1"/>
    <col min="10" max="10" width="10.85546875" style="1923" customWidth="1"/>
    <col min="11" max="11" width="9.140625" style="1923"/>
    <col min="12" max="12" width="14.140625" style="1923" customWidth="1"/>
    <col min="13" max="13" width="9.140625" style="1923"/>
    <col min="14" max="14" width="18.7109375" style="1923" customWidth="1"/>
    <col min="15" max="16384" width="9.140625" style="1923"/>
  </cols>
  <sheetData>
    <row r="1" spans="1:14" x14ac:dyDescent="0.2">
      <c r="A1" s="1981"/>
      <c r="B1" s="1982"/>
      <c r="C1" s="1982"/>
      <c r="D1" s="1982"/>
      <c r="E1" s="1982"/>
      <c r="F1" s="1982"/>
      <c r="G1" s="1997" t="s">
        <v>402</v>
      </c>
      <c r="H1" s="1998"/>
      <c r="I1" s="1982"/>
      <c r="J1" s="1982"/>
      <c r="K1" s="1982"/>
      <c r="L1" s="1982"/>
      <c r="M1" s="1982"/>
      <c r="N1" s="1983"/>
    </row>
    <row r="2" spans="1:14" x14ac:dyDescent="0.2">
      <c r="A2" s="1999"/>
      <c r="B2" s="838"/>
      <c r="C2" s="838"/>
      <c r="D2" s="838"/>
      <c r="E2" s="838"/>
      <c r="F2" s="838"/>
      <c r="G2" s="1925" t="s">
        <v>2002</v>
      </c>
      <c r="H2" s="1922"/>
      <c r="I2" s="838"/>
      <c r="J2" s="838"/>
      <c r="K2" s="838"/>
      <c r="L2" s="838"/>
      <c r="M2" s="838"/>
      <c r="N2" s="2000"/>
    </row>
    <row r="3" spans="1:14" x14ac:dyDescent="0.2">
      <c r="A3" s="1999"/>
      <c r="B3" s="838"/>
      <c r="C3" s="838"/>
      <c r="D3" s="838"/>
      <c r="E3" s="838"/>
      <c r="F3" s="838"/>
      <c r="G3" s="1925" t="s">
        <v>403</v>
      </c>
      <c r="H3" s="838"/>
      <c r="I3" s="838"/>
      <c r="J3" s="838"/>
      <c r="K3" s="838"/>
      <c r="L3" s="838"/>
      <c r="M3" s="838"/>
      <c r="N3" s="2000"/>
    </row>
    <row r="4" spans="1:14" x14ac:dyDescent="0.2">
      <c r="A4" s="1999"/>
      <c r="B4" s="838"/>
      <c r="C4" s="838"/>
      <c r="D4" s="838"/>
      <c r="E4" s="838"/>
      <c r="F4" s="838"/>
      <c r="G4" s="1925" t="s">
        <v>863</v>
      </c>
      <c r="H4" s="838"/>
      <c r="I4" s="838"/>
      <c r="J4" s="838"/>
      <c r="K4" s="838"/>
      <c r="L4" s="838"/>
      <c r="M4" s="838"/>
      <c r="N4" s="2000"/>
    </row>
    <row r="5" spans="1:14" x14ac:dyDescent="0.2">
      <c r="A5" s="1999"/>
      <c r="B5" s="838"/>
      <c r="C5" s="838"/>
      <c r="D5" s="838"/>
      <c r="E5" s="838"/>
      <c r="F5" s="1925"/>
      <c r="G5" s="1925"/>
      <c r="H5" s="838"/>
      <c r="I5" s="838"/>
      <c r="J5" s="838"/>
      <c r="K5" s="838"/>
      <c r="L5" s="838"/>
      <c r="M5" s="838"/>
      <c r="N5" s="2000"/>
    </row>
    <row r="6" spans="1:14" x14ac:dyDescent="0.2">
      <c r="A6" s="2001" t="s">
        <v>667</v>
      </c>
      <c r="B6" s="1377"/>
      <c r="C6" s="1377"/>
      <c r="D6" s="1377"/>
      <c r="E6" s="1378"/>
      <c r="F6" s="1924"/>
      <c r="G6" s="1925"/>
      <c r="H6" s="838"/>
      <c r="I6" s="1926" t="s">
        <v>1021</v>
      </c>
      <c r="J6" s="2437" t="str">
        <f>COVER!A17</f>
        <v xml:space="preserve"> Millstadt CCSD #160</v>
      </c>
      <c r="K6" s="2437"/>
      <c r="L6" s="2451"/>
      <c r="M6" s="838"/>
      <c r="N6" s="2000"/>
    </row>
    <row r="7" spans="1:14" x14ac:dyDescent="0.2">
      <c r="A7" s="2452" t="s">
        <v>864</v>
      </c>
      <c r="B7" s="2453"/>
      <c r="C7" s="2453"/>
      <c r="D7" s="2453"/>
      <c r="E7" s="2454"/>
      <c r="F7" s="839"/>
      <c r="G7" s="838"/>
      <c r="H7" s="838"/>
      <c r="I7" s="1926" t="s">
        <v>369</v>
      </c>
      <c r="J7" s="2439">
        <f>COVER!A13</f>
        <v>50082160004</v>
      </c>
      <c r="K7" s="2439"/>
      <c r="L7" s="2439"/>
      <c r="M7" s="838"/>
      <c r="N7" s="2000"/>
    </row>
    <row r="8" spans="1:14" x14ac:dyDescent="0.2">
      <c r="A8" s="2002"/>
      <c r="B8" s="1927"/>
      <c r="C8" s="1927"/>
      <c r="D8" s="1927"/>
      <c r="E8" s="1928"/>
      <c r="F8" s="1929"/>
      <c r="G8" s="1912"/>
      <c r="H8" s="1912"/>
      <c r="I8" s="1912"/>
      <c r="J8" s="1912"/>
      <c r="K8" s="1912"/>
      <c r="L8" s="1912"/>
      <c r="M8" s="838"/>
      <c r="N8" s="2000"/>
    </row>
    <row r="9" spans="1:14" x14ac:dyDescent="0.2">
      <c r="A9" s="2003"/>
      <c r="B9" s="840"/>
      <c r="C9" s="840"/>
      <c r="D9" s="841"/>
      <c r="E9" s="1930" t="s">
        <v>2018</v>
      </c>
      <c r="F9" s="1857"/>
      <c r="G9" s="1857"/>
      <c r="H9" s="1857"/>
      <c r="I9" s="1931" t="s">
        <v>2019</v>
      </c>
      <c r="J9" s="1857"/>
      <c r="K9" s="1857"/>
      <c r="L9" s="1858"/>
      <c r="M9" s="838"/>
      <c r="N9" s="2000"/>
    </row>
    <row r="10" spans="1:14" x14ac:dyDescent="0.2">
      <c r="A10" s="2004"/>
      <c r="B10" s="1932"/>
      <c r="C10" s="1933"/>
      <c r="D10" s="1934"/>
      <c r="E10" s="1935" t="s">
        <v>422</v>
      </c>
      <c r="F10" s="1936" t="s">
        <v>423</v>
      </c>
      <c r="G10" s="1937" t="s">
        <v>429</v>
      </c>
      <c r="H10" s="1938"/>
      <c r="I10" s="1936" t="s">
        <v>422</v>
      </c>
      <c r="J10" s="1936" t="s">
        <v>423</v>
      </c>
      <c r="K10" s="1937" t="s">
        <v>429</v>
      </c>
      <c r="L10" s="1936"/>
      <c r="M10" s="838"/>
      <c r="N10" s="2000"/>
    </row>
    <row r="11" spans="1:14" ht="51" x14ac:dyDescent="0.2">
      <c r="A11" s="2455" t="s">
        <v>478</v>
      </c>
      <c r="B11" s="2456"/>
      <c r="C11" s="2457"/>
      <c r="D11" s="1939" t="s">
        <v>866</v>
      </c>
      <c r="E11" s="1939" t="s">
        <v>64</v>
      </c>
      <c r="F11" s="1939" t="s">
        <v>6</v>
      </c>
      <c r="G11" s="1940" t="s">
        <v>2020</v>
      </c>
      <c r="H11" s="1941" t="s">
        <v>155</v>
      </c>
      <c r="I11" s="1939" t="s">
        <v>64</v>
      </c>
      <c r="J11" s="1939" t="s">
        <v>6</v>
      </c>
      <c r="K11" s="1940" t="s">
        <v>2001</v>
      </c>
      <c r="L11" s="1941" t="s">
        <v>155</v>
      </c>
      <c r="M11" s="838"/>
      <c r="N11" s="2000"/>
    </row>
    <row r="12" spans="1:14" x14ac:dyDescent="0.2">
      <c r="A12" s="2005">
        <v>1</v>
      </c>
      <c r="B12" s="1942" t="s">
        <v>813</v>
      </c>
      <c r="C12" s="842"/>
      <c r="D12" s="1943">
        <v>2320</v>
      </c>
      <c r="E12" s="1946">
        <f>'Expenditures 15-22'!K50</f>
        <v>156650</v>
      </c>
      <c r="F12" s="1944"/>
      <c r="G12" s="1970">
        <f>G68</f>
        <v>38500</v>
      </c>
      <c r="H12" s="1946">
        <f t="shared" ref="H12:H18" si="0">SUM(E12:G12)</f>
        <v>195150</v>
      </c>
      <c r="I12" s="1945">
        <v>161400</v>
      </c>
      <c r="J12" s="1944"/>
      <c r="K12" s="1945">
        <v>43000</v>
      </c>
      <c r="L12" s="1946">
        <f t="shared" ref="L12:L18" si="1">SUM(I12:K12)</f>
        <v>204400</v>
      </c>
      <c r="M12" s="838"/>
      <c r="N12" s="2000"/>
    </row>
    <row r="13" spans="1:14" x14ac:dyDescent="0.2">
      <c r="A13" s="2005">
        <v>2</v>
      </c>
      <c r="B13" s="1942" t="s">
        <v>42</v>
      </c>
      <c r="C13" s="842"/>
      <c r="D13" s="1943">
        <v>2330</v>
      </c>
      <c r="E13" s="1946">
        <f>'Expenditures 15-22'!K51</f>
        <v>0</v>
      </c>
      <c r="F13" s="1944"/>
      <c r="G13" s="1970">
        <f>H68</f>
        <v>0</v>
      </c>
      <c r="H13" s="1946">
        <f t="shared" si="0"/>
        <v>0</v>
      </c>
      <c r="I13" s="1945"/>
      <c r="J13" s="1944"/>
      <c r="K13" s="1945"/>
      <c r="L13" s="1946">
        <f t="shared" si="1"/>
        <v>0</v>
      </c>
      <c r="M13" s="838"/>
      <c r="N13" s="2000"/>
    </row>
    <row r="14" spans="1:14" x14ac:dyDescent="0.2">
      <c r="A14" s="2005">
        <v>3</v>
      </c>
      <c r="B14" s="1942" t="s">
        <v>43</v>
      </c>
      <c r="C14" s="842"/>
      <c r="D14" s="1947">
        <v>2490</v>
      </c>
      <c r="E14" s="1946">
        <f>'Expenditures 15-22'!K56</f>
        <v>0</v>
      </c>
      <c r="F14" s="1944"/>
      <c r="G14" s="1970">
        <f>I68</f>
        <v>0</v>
      </c>
      <c r="H14" s="1946">
        <f t="shared" si="0"/>
        <v>0</v>
      </c>
      <c r="I14" s="1945"/>
      <c r="J14" s="1944"/>
      <c r="K14" s="1945"/>
      <c r="L14" s="1946">
        <f t="shared" si="1"/>
        <v>0</v>
      </c>
      <c r="M14" s="838"/>
      <c r="N14" s="2000"/>
    </row>
    <row r="15" spans="1:14" x14ac:dyDescent="0.2">
      <c r="A15" s="2005">
        <v>4</v>
      </c>
      <c r="B15" s="1942" t="s">
        <v>1059</v>
      </c>
      <c r="C15" s="842"/>
      <c r="D15" s="1943">
        <v>2510</v>
      </c>
      <c r="E15" s="1946">
        <f>'Expenditures 15-22'!K59</f>
        <v>0</v>
      </c>
      <c r="F15" s="1946">
        <f>'Expenditures 15-22'!K122</f>
        <v>0</v>
      </c>
      <c r="G15" s="1970">
        <f>J68</f>
        <v>0</v>
      </c>
      <c r="H15" s="1946">
        <f t="shared" si="0"/>
        <v>0</v>
      </c>
      <c r="I15" s="1945"/>
      <c r="J15" s="1945"/>
      <c r="K15" s="1945"/>
      <c r="L15" s="1946">
        <f t="shared" si="1"/>
        <v>0</v>
      </c>
      <c r="M15" s="838"/>
      <c r="N15" s="2000"/>
    </row>
    <row r="16" spans="1:14" x14ac:dyDescent="0.2">
      <c r="A16" s="2005">
        <v>5</v>
      </c>
      <c r="B16" s="1942" t="s">
        <v>101</v>
      </c>
      <c r="C16" s="842"/>
      <c r="D16" s="1943">
        <v>2570</v>
      </c>
      <c r="E16" s="1946">
        <f>'Expenditures 15-22'!K64</f>
        <v>0</v>
      </c>
      <c r="F16" s="1944"/>
      <c r="G16" s="1970">
        <f>K68</f>
        <v>0</v>
      </c>
      <c r="H16" s="1946">
        <f t="shared" si="0"/>
        <v>0</v>
      </c>
      <c r="I16" s="1945"/>
      <c r="J16" s="1944"/>
      <c r="K16" s="1945"/>
      <c r="L16" s="1946">
        <f t="shared" si="1"/>
        <v>0</v>
      </c>
      <c r="M16" s="838"/>
      <c r="N16" s="2000"/>
    </row>
    <row r="17" spans="1:14" x14ac:dyDescent="0.2">
      <c r="A17" s="2005">
        <v>6</v>
      </c>
      <c r="B17" s="1942" t="s">
        <v>1051</v>
      </c>
      <c r="C17" s="842"/>
      <c r="D17" s="1943">
        <v>2610</v>
      </c>
      <c r="E17" s="1946">
        <f>'Expenditures 15-22'!K67</f>
        <v>0</v>
      </c>
      <c r="F17" s="1944"/>
      <c r="G17" s="1970">
        <f>L68</f>
        <v>0</v>
      </c>
      <c r="H17" s="1946">
        <f t="shared" si="0"/>
        <v>0</v>
      </c>
      <c r="I17" s="1945"/>
      <c r="J17" s="1944"/>
      <c r="K17" s="1945"/>
      <c r="L17" s="1946">
        <f t="shared" si="1"/>
        <v>0</v>
      </c>
      <c r="M17" s="838"/>
      <c r="N17" s="2000"/>
    </row>
    <row r="18" spans="1:14" ht="26.25" customHeight="1" x14ac:dyDescent="0.2">
      <c r="A18" s="2006">
        <v>7</v>
      </c>
      <c r="B18" s="2458" t="s">
        <v>7</v>
      </c>
      <c r="C18" s="2459"/>
      <c r="D18" s="2460"/>
      <c r="E18" s="1948"/>
      <c r="F18" s="1948"/>
      <c r="G18" s="1945"/>
      <c r="H18" s="1949">
        <f t="shared" si="0"/>
        <v>0</v>
      </c>
      <c r="I18" s="1945"/>
      <c r="J18" s="1945"/>
      <c r="K18" s="1945"/>
      <c r="L18" s="1946">
        <f t="shared" si="1"/>
        <v>0</v>
      </c>
      <c r="M18" s="838"/>
      <c r="N18" s="2000"/>
    </row>
    <row r="19" spans="1:14" ht="13.5" thickBot="1" x14ac:dyDescent="0.25">
      <c r="A19" s="2005">
        <v>8</v>
      </c>
      <c r="B19" s="1950" t="s">
        <v>1151</v>
      </c>
      <c r="C19" s="838"/>
      <c r="D19" s="1951"/>
      <c r="E19" s="1952">
        <f t="shared" ref="E19:L19" si="2">SUM(E12:E17)-E18</f>
        <v>156650</v>
      </c>
      <c r="F19" s="1952">
        <f t="shared" si="2"/>
        <v>0</v>
      </c>
      <c r="G19" s="1952">
        <f t="shared" ref="G19" si="3">SUM(G12:G17)-G18</f>
        <v>38500</v>
      </c>
      <c r="H19" s="1952">
        <f t="shared" si="2"/>
        <v>195150</v>
      </c>
      <c r="I19" s="1952">
        <f t="shared" si="2"/>
        <v>161400</v>
      </c>
      <c r="J19" s="1952">
        <f t="shared" si="2"/>
        <v>0</v>
      </c>
      <c r="K19" s="1952">
        <f t="shared" si="2"/>
        <v>43000</v>
      </c>
      <c r="L19" s="1952">
        <f t="shared" si="2"/>
        <v>204400</v>
      </c>
      <c r="M19" s="838"/>
      <c r="N19" s="2000"/>
    </row>
    <row r="20" spans="1:14" ht="13.5" thickTop="1" x14ac:dyDescent="0.2">
      <c r="A20" s="2005">
        <v>9</v>
      </c>
      <c r="B20" s="2461" t="s">
        <v>2021</v>
      </c>
      <c r="C20" s="2461"/>
      <c r="D20" s="2462"/>
      <c r="E20" s="1953"/>
      <c r="F20" s="1953"/>
      <c r="G20" s="1953"/>
      <c r="H20" s="1953"/>
      <c r="I20" s="1953"/>
      <c r="J20" s="1953"/>
      <c r="K20" s="1953"/>
      <c r="L20" s="1954">
        <f>IF(AND(H19&gt;0,L19&gt;0),(((L19-H19)/H19)),"Enter Budget Data")</f>
        <v>4.7399436331027417E-2</v>
      </c>
      <c r="M20" s="838"/>
      <c r="N20" s="2000"/>
    </row>
    <row r="21" spans="1:14" x14ac:dyDescent="0.2">
      <c r="A21" s="2007" t="s">
        <v>194</v>
      </c>
      <c r="B21" s="2008" t="s">
        <v>2046</v>
      </c>
      <c r="C21" s="838"/>
      <c r="D21" s="1955"/>
      <c r="E21" s="1956"/>
      <c r="F21" s="1957"/>
      <c r="G21" s="1957"/>
      <c r="H21" s="1957"/>
      <c r="I21" s="1957"/>
      <c r="J21" s="1957"/>
      <c r="K21" s="1957"/>
      <c r="L21" s="1958"/>
      <c r="M21" s="838"/>
      <c r="N21" s="2000"/>
    </row>
    <row r="22" spans="1:14" x14ac:dyDescent="0.2">
      <c r="A22" s="1999"/>
      <c r="B22" s="2009"/>
      <c r="C22" s="838"/>
      <c r="D22" s="838"/>
      <c r="E22" s="838"/>
      <c r="F22" s="838"/>
      <c r="G22" s="838"/>
      <c r="H22" s="838"/>
      <c r="I22" s="838"/>
      <c r="J22" s="838"/>
      <c r="K22" s="838"/>
      <c r="L22" s="838"/>
      <c r="M22" s="838"/>
      <c r="N22" s="2000"/>
    </row>
    <row r="23" spans="1:14" x14ac:dyDescent="0.2">
      <c r="A23" s="2010" t="s">
        <v>132</v>
      </c>
      <c r="B23" s="2009"/>
      <c r="C23" s="838"/>
      <c r="D23" s="838"/>
      <c r="E23" s="838"/>
      <c r="F23" s="838"/>
      <c r="G23" s="838"/>
      <c r="H23" s="838"/>
      <c r="I23" s="838"/>
      <c r="J23" s="838"/>
      <c r="K23" s="838"/>
      <c r="L23" s="838"/>
      <c r="M23" s="838"/>
      <c r="N23" s="2000"/>
    </row>
    <row r="24" spans="1:14" x14ac:dyDescent="0.2">
      <c r="A24" s="2011" t="s">
        <v>2022</v>
      </c>
      <c r="B24" s="2012"/>
      <c r="C24" s="2013"/>
      <c r="D24" s="2013"/>
      <c r="E24" s="2013"/>
      <c r="F24" s="2013"/>
      <c r="G24" s="2013"/>
      <c r="H24" s="2013"/>
      <c r="I24" s="2013"/>
      <c r="J24" s="2013"/>
      <c r="K24" s="2013"/>
      <c r="L24" s="838"/>
      <c r="M24" s="838"/>
      <c r="N24" s="2000"/>
    </row>
    <row r="25" spans="1:14" x14ac:dyDescent="0.2">
      <c r="A25" s="2011" t="s">
        <v>2023</v>
      </c>
      <c r="B25" s="2012"/>
      <c r="C25" s="2013"/>
      <c r="D25" s="2013"/>
      <c r="E25" s="2013"/>
      <c r="F25" s="2013"/>
      <c r="G25" s="2013"/>
      <c r="H25" s="2013"/>
      <c r="I25" s="2013"/>
      <c r="J25" s="2013"/>
      <c r="K25" s="2013"/>
      <c r="L25" s="838"/>
      <c r="M25" s="838"/>
      <c r="N25" s="2000"/>
    </row>
    <row r="26" spans="1:14" x14ac:dyDescent="0.2">
      <c r="A26" s="2014"/>
      <c r="B26" s="2009"/>
      <c r="C26" s="838"/>
      <c r="D26" s="838"/>
      <c r="E26" s="838"/>
      <c r="F26" s="838"/>
      <c r="G26" s="838"/>
      <c r="H26" s="838"/>
      <c r="I26" s="838"/>
      <c r="J26" s="838"/>
      <c r="K26" s="838"/>
      <c r="L26" s="838"/>
      <c r="M26" s="838"/>
      <c r="N26" s="2000"/>
    </row>
    <row r="27" spans="1:14" x14ac:dyDescent="0.2">
      <c r="A27" s="1999"/>
      <c r="B27" s="2009"/>
      <c r="C27" s="2463"/>
      <c r="D27" s="2463"/>
      <c r="E27" s="843"/>
      <c r="F27" s="2464"/>
      <c r="G27" s="2464"/>
      <c r="H27" s="2464"/>
      <c r="I27" s="838"/>
      <c r="J27" s="838"/>
      <c r="K27" s="838"/>
      <c r="L27" s="838"/>
      <c r="M27" s="838"/>
      <c r="N27" s="2000"/>
    </row>
    <row r="28" spans="1:14" x14ac:dyDescent="0.2">
      <c r="A28" s="1999"/>
      <c r="B28" s="2009"/>
      <c r="C28" s="1959" t="s">
        <v>1026</v>
      </c>
      <c r="D28" s="844"/>
      <c r="E28" s="1960"/>
      <c r="F28" s="2465" t="s">
        <v>1492</v>
      </c>
      <c r="G28" s="2465"/>
      <c r="H28" s="2465"/>
      <c r="I28" s="838"/>
      <c r="J28" s="838"/>
      <c r="K28" s="838"/>
      <c r="L28" s="838"/>
      <c r="M28" s="838"/>
      <c r="N28" s="2000"/>
    </row>
    <row r="29" spans="1:14" x14ac:dyDescent="0.2">
      <c r="A29" s="1999"/>
      <c r="B29" s="2009"/>
      <c r="C29" s="2466"/>
      <c r="D29" s="2466"/>
      <c r="E29" s="845"/>
      <c r="F29" s="2466"/>
      <c r="G29" s="2466"/>
      <c r="H29" s="2466"/>
      <c r="I29" s="838"/>
      <c r="J29" s="838"/>
      <c r="K29" s="838"/>
      <c r="L29" s="838"/>
      <c r="M29" s="838"/>
      <c r="N29" s="2000"/>
    </row>
    <row r="30" spans="1:14" x14ac:dyDescent="0.2">
      <c r="A30" s="1999"/>
      <c r="B30" s="2009"/>
      <c r="C30" s="1962" t="s">
        <v>1544</v>
      </c>
      <c r="D30" s="838"/>
      <c r="E30" s="1961"/>
      <c r="F30" s="2450" t="s">
        <v>1493</v>
      </c>
      <c r="G30" s="2450"/>
      <c r="H30" s="2450"/>
      <c r="I30" s="838"/>
      <c r="J30" s="838"/>
      <c r="K30" s="838"/>
      <c r="L30" s="838"/>
      <c r="M30" s="838"/>
      <c r="N30" s="2000"/>
    </row>
    <row r="31" spans="1:14" x14ac:dyDescent="0.2">
      <c r="A31" s="1999"/>
      <c r="B31" s="2009"/>
      <c r="C31" s="2015"/>
      <c r="D31" s="838"/>
      <c r="E31" s="1955"/>
      <c r="F31" s="1956"/>
      <c r="G31" s="1956"/>
      <c r="H31" s="1956"/>
      <c r="I31" s="838"/>
      <c r="J31" s="838"/>
      <c r="K31" s="838"/>
      <c r="L31" s="838"/>
      <c r="M31" s="838"/>
      <c r="N31" s="2000"/>
    </row>
    <row r="32" spans="1:14" x14ac:dyDescent="0.2">
      <c r="A32" s="1999"/>
      <c r="B32" s="2016" t="s">
        <v>1027</v>
      </c>
      <c r="C32" s="838"/>
      <c r="D32" s="838"/>
      <c r="E32" s="838"/>
      <c r="F32" s="838"/>
      <c r="G32" s="838"/>
      <c r="H32" s="838"/>
      <c r="I32" s="838"/>
      <c r="J32" s="838"/>
      <c r="K32" s="838"/>
      <c r="L32" s="838"/>
      <c r="M32" s="838"/>
      <c r="N32" s="2000"/>
    </row>
    <row r="33" spans="1:14" x14ac:dyDescent="0.2">
      <c r="A33" s="1999"/>
      <c r="B33" s="2017"/>
      <c r="C33" s="838"/>
      <c r="D33" s="838"/>
      <c r="E33" s="838"/>
      <c r="F33" s="838"/>
      <c r="G33" s="838"/>
      <c r="H33" s="838"/>
      <c r="I33" s="838"/>
      <c r="J33" s="838"/>
      <c r="K33" s="838"/>
      <c r="L33" s="838"/>
      <c r="M33" s="838"/>
      <c r="N33" s="2000"/>
    </row>
    <row r="34" spans="1:14" x14ac:dyDescent="0.2">
      <c r="A34" s="1999"/>
      <c r="B34" s="846"/>
      <c r="C34" s="2427" t="s">
        <v>2024</v>
      </c>
      <c r="D34" s="2428"/>
      <c r="E34" s="2428"/>
      <c r="F34" s="2428"/>
      <c r="G34" s="2428"/>
      <c r="H34" s="2428"/>
      <c r="I34" s="2428"/>
      <c r="J34" s="2428"/>
      <c r="K34" s="2018"/>
      <c r="L34" s="838"/>
      <c r="M34" s="838"/>
      <c r="N34" s="2000"/>
    </row>
    <row r="35" spans="1:14" x14ac:dyDescent="0.2">
      <c r="A35" s="1999"/>
      <c r="B35" s="838"/>
      <c r="C35" s="2428"/>
      <c r="D35" s="2428"/>
      <c r="E35" s="2428"/>
      <c r="F35" s="2428"/>
      <c r="G35" s="2428"/>
      <c r="H35" s="2428"/>
      <c r="I35" s="2428"/>
      <c r="J35" s="2428"/>
      <c r="K35" s="2018"/>
      <c r="L35" s="838"/>
      <c r="M35" s="838"/>
      <c r="N35" s="2000"/>
    </row>
    <row r="36" spans="1:14" x14ac:dyDescent="0.2">
      <c r="A36" s="1999"/>
      <c r="B36" s="838"/>
      <c r="C36" s="2019"/>
      <c r="D36" s="838"/>
      <c r="E36" s="838"/>
      <c r="F36" s="838"/>
      <c r="G36" s="838"/>
      <c r="H36" s="838"/>
      <c r="I36" s="838"/>
      <c r="J36" s="838"/>
      <c r="K36" s="838"/>
      <c r="L36" s="838"/>
      <c r="M36" s="838"/>
      <c r="N36" s="2000"/>
    </row>
    <row r="37" spans="1:14" x14ac:dyDescent="0.2">
      <c r="A37" s="1999"/>
      <c r="B37" s="846"/>
      <c r="C37" s="2427" t="s">
        <v>2025</v>
      </c>
      <c r="D37" s="2428"/>
      <c r="E37" s="2428"/>
      <c r="F37" s="2428"/>
      <c r="G37" s="2428"/>
      <c r="H37" s="2428"/>
      <c r="I37" s="2428"/>
      <c r="J37" s="2428"/>
      <c r="K37" s="2018"/>
      <c r="L37" s="2020"/>
      <c r="M37" s="838"/>
      <c r="N37" s="2000"/>
    </row>
    <row r="38" spans="1:14" x14ac:dyDescent="0.2">
      <c r="A38" s="1999"/>
      <c r="B38" s="838"/>
      <c r="C38" s="2428"/>
      <c r="D38" s="2428"/>
      <c r="E38" s="2428"/>
      <c r="F38" s="2428"/>
      <c r="G38" s="2428"/>
      <c r="H38" s="2428"/>
      <c r="I38" s="2428"/>
      <c r="J38" s="2428"/>
      <c r="K38" s="2018"/>
      <c r="L38" s="2020"/>
      <c r="M38" s="838"/>
      <c r="N38" s="2000"/>
    </row>
    <row r="39" spans="1:14" x14ac:dyDescent="0.2">
      <c r="A39" s="1999"/>
      <c r="B39" s="838"/>
      <c r="C39" s="2019"/>
      <c r="D39" s="838"/>
      <c r="E39" s="1963"/>
      <c r="F39" s="1964"/>
      <c r="G39" s="1964"/>
      <c r="H39" s="1963"/>
      <c r="I39" s="838"/>
      <c r="J39" s="838"/>
      <c r="K39" s="838"/>
      <c r="L39" s="838"/>
      <c r="M39" s="838"/>
      <c r="N39" s="2000"/>
    </row>
    <row r="40" spans="1:14" x14ac:dyDescent="0.2">
      <c r="A40" s="1999"/>
      <c r="B40" s="846"/>
      <c r="C40" s="2429" t="s">
        <v>2026</v>
      </c>
      <c r="D40" s="2430"/>
      <c r="E40" s="2430"/>
      <c r="F40" s="2430"/>
      <c r="G40" s="2430"/>
      <c r="H40" s="2430"/>
      <c r="I40" s="2430"/>
      <c r="J40" s="2430"/>
      <c r="K40" s="1965"/>
      <c r="L40" s="838"/>
      <c r="M40" s="838"/>
      <c r="N40" s="2000"/>
    </row>
    <row r="41" spans="1:14" x14ac:dyDescent="0.2">
      <c r="A41" s="1999"/>
      <c r="B41" s="838"/>
      <c r="C41" s="2021"/>
      <c r="D41" s="2021"/>
      <c r="E41" s="2021"/>
      <c r="F41" s="2021"/>
      <c r="G41" s="2021"/>
      <c r="H41" s="2021"/>
      <c r="I41" s="2021"/>
      <c r="J41" s="2021"/>
      <c r="K41" s="2021"/>
      <c r="L41" s="838"/>
      <c r="M41" s="838"/>
      <c r="N41" s="2000"/>
    </row>
    <row r="42" spans="1:14" ht="13.5" thickBot="1" x14ac:dyDescent="0.25">
      <c r="A42" s="2022"/>
      <c r="B42" s="2023"/>
      <c r="C42" s="2023"/>
      <c r="D42" s="2023"/>
      <c r="E42" s="2023"/>
      <c r="F42" s="2023"/>
      <c r="G42" s="2023"/>
      <c r="H42" s="2023"/>
      <c r="I42" s="2023"/>
      <c r="J42" s="2023"/>
      <c r="K42" s="2023"/>
      <c r="L42" s="2023"/>
      <c r="M42" s="2023"/>
      <c r="N42" s="2024"/>
    </row>
    <row r="43" spans="1:14" ht="27" thickBot="1" x14ac:dyDescent="0.45">
      <c r="A43" s="2431" t="s">
        <v>2027</v>
      </c>
      <c r="B43" s="2432"/>
      <c r="C43" s="2432"/>
      <c r="D43" s="2432"/>
      <c r="E43" s="2432"/>
      <c r="F43" s="2432"/>
      <c r="G43" s="2432"/>
      <c r="H43" s="2432"/>
      <c r="I43" s="2432"/>
      <c r="J43" s="2432"/>
      <c r="K43" s="2432"/>
      <c r="L43" s="2432"/>
      <c r="M43" s="2432"/>
      <c r="N43" s="2433"/>
    </row>
    <row r="44" spans="1:14" x14ac:dyDescent="0.2">
      <c r="A44" s="1984"/>
      <c r="B44" s="1985"/>
      <c r="C44" s="1985"/>
      <c r="D44" s="1985"/>
      <c r="E44" s="1985"/>
      <c r="F44" s="1985"/>
      <c r="G44" s="1985"/>
      <c r="H44" s="1985"/>
      <c r="I44" s="1985"/>
      <c r="J44" s="1985"/>
      <c r="K44" s="1985"/>
      <c r="L44" s="1985"/>
      <c r="M44" s="1985"/>
      <c r="N44" s="1986"/>
    </row>
    <row r="45" spans="1:14" x14ac:dyDescent="0.2">
      <c r="A45" s="1984" t="s">
        <v>2028</v>
      </c>
      <c r="B45" s="1985"/>
      <c r="C45" s="1985"/>
      <c r="D45" s="1985"/>
      <c r="E45" s="1985"/>
      <c r="F45" s="1985"/>
      <c r="G45" s="1985"/>
      <c r="H45" s="1985"/>
      <c r="I45" s="1985"/>
      <c r="J45" s="1985"/>
      <c r="K45" s="1985"/>
      <c r="L45" s="1985"/>
      <c r="M45" s="1985"/>
      <c r="N45" s="1986"/>
    </row>
    <row r="46" spans="1:14" x14ac:dyDescent="0.2">
      <c r="A46" s="2434" t="s">
        <v>2029</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7"/>
      <c r="B48" s="1985"/>
      <c r="C48" s="1985"/>
      <c r="D48" s="1988"/>
      <c r="E48" s="1988"/>
      <c r="F48" s="1988"/>
      <c r="G48" s="1988"/>
      <c r="H48" s="1988"/>
      <c r="I48" s="1988"/>
      <c r="J48" s="1988"/>
      <c r="K48" s="1988"/>
      <c r="L48" s="1988"/>
      <c r="M48" s="1988"/>
      <c r="N48" s="1989"/>
    </row>
    <row r="49" spans="1:14" s="2029" customFormat="1" ht="15.75" x14ac:dyDescent="0.25">
      <c r="A49" s="2030" t="s">
        <v>2045</v>
      </c>
      <c r="B49" s="2026"/>
      <c r="C49" s="2026"/>
      <c r="D49" s="2027"/>
      <c r="E49" s="2027"/>
      <c r="F49" s="2027"/>
      <c r="G49" s="2027"/>
      <c r="H49" s="2027"/>
      <c r="I49" s="2027"/>
      <c r="J49" s="2027"/>
      <c r="K49" s="2027"/>
      <c r="L49" s="2027"/>
      <c r="M49" s="2027"/>
      <c r="N49" s="2028"/>
    </row>
    <row r="50" spans="1:14" ht="15" x14ac:dyDescent="0.25">
      <c r="A50" s="2030" t="s">
        <v>2044</v>
      </c>
      <c r="B50" s="1985"/>
      <c r="C50" s="1985"/>
      <c r="D50" s="1985"/>
      <c r="E50" s="1985"/>
      <c r="F50" s="1985"/>
      <c r="G50" s="1985"/>
      <c r="H50" s="1985"/>
      <c r="I50" s="1985"/>
      <c r="J50" s="1985"/>
      <c r="K50" s="1985"/>
      <c r="L50" s="1985"/>
      <c r="M50" s="1985"/>
      <c r="N50" s="1986"/>
    </row>
    <row r="51" spans="1:14" x14ac:dyDescent="0.2">
      <c r="A51" s="1984"/>
      <c r="B51" s="1985"/>
      <c r="C51" s="1985"/>
      <c r="D51" s="1985"/>
      <c r="E51" s="1985"/>
      <c r="F51" s="1985"/>
      <c r="G51" s="1985"/>
      <c r="H51" s="1985"/>
      <c r="I51" s="1985"/>
      <c r="J51" s="1985"/>
      <c r="K51" s="1985"/>
      <c r="L51" s="1985"/>
      <c r="M51" s="1985"/>
      <c r="N51" s="1986"/>
    </row>
    <row r="52" spans="1:14" x14ac:dyDescent="0.2">
      <c r="A52" s="1984"/>
      <c r="B52" s="1985"/>
      <c r="C52" s="1985"/>
      <c r="D52" s="1985"/>
      <c r="E52" s="1985"/>
      <c r="F52" s="1985"/>
      <c r="G52" s="1985"/>
      <c r="H52" s="1985"/>
      <c r="I52" s="1985"/>
      <c r="J52" s="1985"/>
      <c r="K52" s="1926" t="s">
        <v>1021</v>
      </c>
      <c r="L52" s="2437" t="str">
        <f>J6</f>
        <v xml:space="preserve"> Millstadt CCSD #160</v>
      </c>
      <c r="M52" s="2437"/>
      <c r="N52" s="2438"/>
    </row>
    <row r="53" spans="1:14" x14ac:dyDescent="0.2">
      <c r="A53" s="1984"/>
      <c r="B53" s="1985"/>
      <c r="C53" s="1985"/>
      <c r="D53" s="1985"/>
      <c r="E53" s="1985"/>
      <c r="F53" s="1985"/>
      <c r="G53" s="1985"/>
      <c r="H53" s="1985"/>
      <c r="I53" s="1985"/>
      <c r="J53" s="1985"/>
      <c r="K53" s="1926" t="s">
        <v>369</v>
      </c>
      <c r="L53" s="2439">
        <f>J7</f>
        <v>50082160004</v>
      </c>
      <c r="M53" s="2439"/>
      <c r="N53" s="2440"/>
    </row>
    <row r="54" spans="1:14" ht="13.5" thickBot="1" x14ac:dyDescent="0.25">
      <c r="A54" s="1984"/>
      <c r="B54" s="1985"/>
      <c r="C54" s="1985"/>
      <c r="D54" s="1985"/>
      <c r="E54" s="1985"/>
      <c r="F54" s="1985"/>
      <c r="G54" s="1985"/>
      <c r="H54" s="1985"/>
      <c r="I54" s="1985"/>
      <c r="J54" s="1985"/>
      <c r="K54" s="1985"/>
      <c r="L54" s="1985"/>
      <c r="M54" s="1985"/>
      <c r="N54" s="1986"/>
    </row>
    <row r="55" spans="1:14" x14ac:dyDescent="0.2">
      <c r="A55" s="2441"/>
      <c r="B55" s="2442"/>
      <c r="C55" s="2442"/>
      <c r="D55" s="1972"/>
      <c r="E55" s="1972"/>
      <c r="F55" s="1972"/>
      <c r="G55" s="2443" t="s">
        <v>2030</v>
      </c>
      <c r="H55" s="2443"/>
      <c r="I55" s="2443"/>
      <c r="J55" s="2443"/>
      <c r="K55" s="2443"/>
      <c r="L55" s="2443"/>
      <c r="M55" s="2443"/>
      <c r="N55" s="2444"/>
    </row>
    <row r="56" spans="1:14" ht="63.75" x14ac:dyDescent="0.2">
      <c r="A56" s="2445" t="s">
        <v>2031</v>
      </c>
      <c r="B56" s="2446"/>
      <c r="C56" s="2447"/>
      <c r="D56" s="1966" t="s">
        <v>2032</v>
      </c>
      <c r="E56" s="1966" t="s">
        <v>2033</v>
      </c>
      <c r="F56" s="1973"/>
      <c r="G56" s="1966" t="s">
        <v>2034</v>
      </c>
      <c r="H56" s="1966" t="s">
        <v>2035</v>
      </c>
      <c r="I56" s="1966" t="s">
        <v>2036</v>
      </c>
      <c r="J56" s="1966" t="s">
        <v>2037</v>
      </c>
      <c r="K56" s="1966" t="s">
        <v>2038</v>
      </c>
      <c r="L56" s="1966" t="s">
        <v>2039</v>
      </c>
      <c r="M56" s="1966" t="s">
        <v>2040</v>
      </c>
      <c r="N56" s="1967" t="s">
        <v>2047</v>
      </c>
    </row>
    <row r="57" spans="1:14" ht="24.75" customHeight="1" x14ac:dyDescent="0.2">
      <c r="A57" s="2448" t="s">
        <v>296</v>
      </c>
      <c r="B57" s="2449"/>
      <c r="C57" s="2449"/>
      <c r="D57" s="1968">
        <v>2361</v>
      </c>
      <c r="E57" s="1978">
        <f>'Expenditures 15-22'!K319</f>
        <v>0</v>
      </c>
      <c r="F57" s="1974"/>
      <c r="G57" s="2031"/>
      <c r="H57" s="2032"/>
      <c r="I57" s="2032"/>
      <c r="J57" s="2032"/>
      <c r="K57" s="2032"/>
      <c r="L57" s="2032"/>
      <c r="M57" s="2032"/>
      <c r="N57" s="1977">
        <f>IF((SUM(G57:M57))=E57,SUM(G57:M57),"Column N does not agree with Column E")</f>
        <v>0</v>
      </c>
    </row>
    <row r="58" spans="1:14" ht="24" customHeight="1" x14ac:dyDescent="0.2">
      <c r="A58" s="2425" t="s">
        <v>2041</v>
      </c>
      <c r="B58" s="2426"/>
      <c r="C58" s="2426"/>
      <c r="D58" s="1969">
        <v>2362</v>
      </c>
      <c r="E58" s="1979">
        <f>'Expenditures 15-22'!K320</f>
        <v>8263</v>
      </c>
      <c r="F58" s="1974"/>
      <c r="G58" s="2033"/>
      <c r="H58" s="2034"/>
      <c r="I58" s="2034"/>
      <c r="J58" s="2034"/>
      <c r="K58" s="2034"/>
      <c r="L58" s="2034"/>
      <c r="M58" s="2034">
        <v>8263</v>
      </c>
      <c r="N58" s="1977">
        <f>IF((SUM(G58:M58))=E58,SUM(G58:M58),"Column N does not agree with Column E")</f>
        <v>8263</v>
      </c>
    </row>
    <row r="59" spans="1:14" ht="24.75" customHeight="1" x14ac:dyDescent="0.2">
      <c r="A59" s="2419" t="s">
        <v>297</v>
      </c>
      <c r="B59" s="2420"/>
      <c r="C59" s="2420"/>
      <c r="D59" s="1969">
        <v>2363</v>
      </c>
      <c r="E59" s="1979">
        <f>'Expenditures 15-22'!K321</f>
        <v>0</v>
      </c>
      <c r="F59" s="1974"/>
      <c r="G59" s="2033"/>
      <c r="H59" s="2034"/>
      <c r="I59" s="2034"/>
      <c r="J59" s="2034"/>
      <c r="K59" s="2034"/>
      <c r="L59" s="2034"/>
      <c r="M59" s="2034"/>
      <c r="N59" s="1977">
        <f>IF((SUM(G59:M59))=E59,SUM(G59:M59),"Column N does not agree with Column E")</f>
        <v>0</v>
      </c>
    </row>
    <row r="60" spans="1:14" ht="24" customHeight="1" x14ac:dyDescent="0.2">
      <c r="A60" s="2419" t="s">
        <v>236</v>
      </c>
      <c r="B60" s="2420"/>
      <c r="C60" s="2420"/>
      <c r="D60" s="1969">
        <v>2364</v>
      </c>
      <c r="E60" s="1979">
        <f>'Expenditures 15-22'!K322</f>
        <v>84615</v>
      </c>
      <c r="F60" s="1974"/>
      <c r="G60" s="2033"/>
      <c r="H60" s="2034"/>
      <c r="I60" s="2034"/>
      <c r="J60" s="2034"/>
      <c r="K60" s="2034"/>
      <c r="L60" s="2034"/>
      <c r="M60" s="2034">
        <v>84615</v>
      </c>
      <c r="N60" s="1977">
        <f t="shared" ref="N60:N67" si="4">IF((SUM(G60:M60))=E60,SUM(G60:M60),"Column N does not agree with Column E")</f>
        <v>84615</v>
      </c>
    </row>
    <row r="61" spans="1:14" ht="24.75" customHeight="1" x14ac:dyDescent="0.2">
      <c r="A61" s="2419" t="s">
        <v>697</v>
      </c>
      <c r="B61" s="2420"/>
      <c r="C61" s="2420"/>
      <c r="D61" s="1969">
        <v>2365</v>
      </c>
      <c r="E61" s="1979">
        <f>'Expenditures 15-22'!K323</f>
        <v>406398</v>
      </c>
      <c r="F61" s="1974"/>
      <c r="G61" s="2033">
        <v>38500</v>
      </c>
      <c r="H61" s="2034"/>
      <c r="I61" s="2034"/>
      <c r="J61" s="2034"/>
      <c r="K61" s="2034"/>
      <c r="L61" s="2034"/>
      <c r="M61" s="2034">
        <v>367898</v>
      </c>
      <c r="N61" s="1977">
        <f t="shared" si="4"/>
        <v>406398</v>
      </c>
    </row>
    <row r="62" spans="1:14" ht="24" customHeight="1" x14ac:dyDescent="0.2">
      <c r="A62" s="2419" t="s">
        <v>237</v>
      </c>
      <c r="B62" s="2420"/>
      <c r="C62" s="2420"/>
      <c r="D62" s="1969">
        <v>2366</v>
      </c>
      <c r="E62" s="1979">
        <f>'Expenditures 15-22'!K324</f>
        <v>0</v>
      </c>
      <c r="F62" s="1974"/>
      <c r="G62" s="2033"/>
      <c r="H62" s="2034"/>
      <c r="I62" s="2034"/>
      <c r="J62" s="2034"/>
      <c r="K62" s="2034"/>
      <c r="L62" s="2034"/>
      <c r="M62" s="2034"/>
      <c r="N62" s="1977">
        <f t="shared" si="4"/>
        <v>0</v>
      </c>
    </row>
    <row r="63" spans="1:14" ht="24" customHeight="1" x14ac:dyDescent="0.2">
      <c r="A63" s="2425" t="s">
        <v>1022</v>
      </c>
      <c r="B63" s="2426"/>
      <c r="C63" s="2426"/>
      <c r="D63" s="1969">
        <v>2367</v>
      </c>
      <c r="E63" s="1979">
        <f>'Expenditures 15-22'!K325</f>
        <v>0</v>
      </c>
      <c r="F63" s="1974"/>
      <c r="G63" s="2033"/>
      <c r="H63" s="2034"/>
      <c r="I63" s="2034"/>
      <c r="J63" s="2034"/>
      <c r="K63" s="2034"/>
      <c r="L63" s="2034"/>
      <c r="M63" s="2034"/>
      <c r="N63" s="1977">
        <f t="shared" si="4"/>
        <v>0</v>
      </c>
    </row>
    <row r="64" spans="1:14" ht="24" customHeight="1" x14ac:dyDescent="0.2">
      <c r="A64" s="2419" t="s">
        <v>1023</v>
      </c>
      <c r="B64" s="2420"/>
      <c r="C64" s="2420"/>
      <c r="D64" s="1969">
        <v>2368</v>
      </c>
      <c r="E64" s="1979">
        <f>'Expenditures 15-22'!K326</f>
        <v>0</v>
      </c>
      <c r="F64" s="1974"/>
      <c r="G64" s="2033"/>
      <c r="H64" s="2034"/>
      <c r="I64" s="2034"/>
      <c r="J64" s="2034"/>
      <c r="K64" s="2034"/>
      <c r="L64" s="2034"/>
      <c r="M64" s="2034"/>
      <c r="N64" s="1977">
        <f t="shared" si="4"/>
        <v>0</v>
      </c>
    </row>
    <row r="65" spans="1:14" ht="24" customHeight="1" x14ac:dyDescent="0.2">
      <c r="A65" s="2419" t="s">
        <v>965</v>
      </c>
      <c r="B65" s="2420"/>
      <c r="C65" s="2420"/>
      <c r="D65" s="1969">
        <v>2369</v>
      </c>
      <c r="E65" s="1979">
        <f>'Expenditures 15-22'!K327</f>
        <v>3928</v>
      </c>
      <c r="F65" s="1974"/>
      <c r="G65" s="2033"/>
      <c r="H65" s="2034"/>
      <c r="I65" s="2034"/>
      <c r="J65" s="2034"/>
      <c r="K65" s="2034"/>
      <c r="L65" s="2034"/>
      <c r="M65" s="2034">
        <v>3928</v>
      </c>
      <c r="N65" s="1977">
        <f t="shared" si="4"/>
        <v>3928</v>
      </c>
    </row>
    <row r="66" spans="1:14" ht="24" customHeight="1" x14ac:dyDescent="0.2">
      <c r="A66" s="2419" t="s">
        <v>469</v>
      </c>
      <c r="B66" s="2420"/>
      <c r="C66" s="2420"/>
      <c r="D66" s="1969">
        <v>2371</v>
      </c>
      <c r="E66" s="1979">
        <f>'Expenditures 15-22'!K328</f>
        <v>0</v>
      </c>
      <c r="F66" s="1974"/>
      <c r="G66" s="2033"/>
      <c r="H66" s="2034"/>
      <c r="I66" s="2034"/>
      <c r="J66" s="2034"/>
      <c r="K66" s="2034"/>
      <c r="L66" s="2034"/>
      <c r="M66" s="2034"/>
      <c r="N66" s="1977">
        <f t="shared" si="4"/>
        <v>0</v>
      </c>
    </row>
    <row r="67" spans="1:14" ht="24.75" customHeight="1" x14ac:dyDescent="0.2">
      <c r="A67" s="2421" t="s">
        <v>2042</v>
      </c>
      <c r="B67" s="2422"/>
      <c r="C67" s="2422"/>
      <c r="D67" s="1971">
        <v>2372</v>
      </c>
      <c r="E67" s="1980">
        <f>'Expenditures 15-22'!K329</f>
        <v>0</v>
      </c>
      <c r="F67" s="1974"/>
      <c r="G67" s="2035"/>
      <c r="H67" s="2036"/>
      <c r="I67" s="2036"/>
      <c r="J67" s="2036"/>
      <c r="K67" s="2036"/>
      <c r="L67" s="2036"/>
      <c r="M67" s="2036"/>
      <c r="N67" s="1977">
        <f t="shared" si="4"/>
        <v>0</v>
      </c>
    </row>
    <row r="68" spans="1:14" x14ac:dyDescent="0.2">
      <c r="A68" s="2423" t="s">
        <v>1151</v>
      </c>
      <c r="B68" s="2424"/>
      <c r="C68" s="2424"/>
      <c r="D68" s="1972"/>
      <c r="E68" s="1976">
        <f>SUM(E57:E67)</f>
        <v>503204</v>
      </c>
      <c r="F68" s="1975"/>
      <c r="G68" s="1976">
        <f t="shared" ref="G68:N68" si="5">SUM(G57:G67)</f>
        <v>38500</v>
      </c>
      <c r="H68" s="1976">
        <f t="shared" si="5"/>
        <v>0</v>
      </c>
      <c r="I68" s="1976">
        <f t="shared" si="5"/>
        <v>0</v>
      </c>
      <c r="J68" s="1976">
        <f t="shared" si="5"/>
        <v>0</v>
      </c>
      <c r="K68" s="1976">
        <f t="shared" si="5"/>
        <v>0</v>
      </c>
      <c r="L68" s="1976">
        <f t="shared" si="5"/>
        <v>0</v>
      </c>
      <c r="M68" s="1976">
        <f t="shared" si="5"/>
        <v>464704</v>
      </c>
      <c r="N68" s="1990">
        <f t="shared" si="5"/>
        <v>503204</v>
      </c>
    </row>
    <row r="69" spans="1:14" x14ac:dyDescent="0.2">
      <c r="A69" s="1991"/>
      <c r="B69" s="1992"/>
      <c r="C69" s="1992"/>
      <c r="D69" s="1992"/>
      <c r="E69" s="1992"/>
      <c r="F69" s="1992"/>
      <c r="G69" s="1992"/>
      <c r="H69" s="1992"/>
      <c r="I69" s="1992"/>
      <c r="J69" s="1992"/>
      <c r="K69" s="1992"/>
      <c r="L69" s="1992"/>
      <c r="M69" s="1992"/>
      <c r="N69" s="1993"/>
    </row>
    <row r="70" spans="1:14" ht="15.75" x14ac:dyDescent="0.25">
      <c r="A70" s="2025" t="s">
        <v>2043</v>
      </c>
      <c r="B70" s="1992"/>
      <c r="C70" s="1992"/>
      <c r="D70" s="1992"/>
      <c r="E70" s="1992"/>
      <c r="F70" s="1992"/>
      <c r="G70" s="1992"/>
      <c r="H70" s="1992"/>
      <c r="I70" s="1992"/>
      <c r="J70" s="1992"/>
      <c r="K70" s="1992"/>
      <c r="L70" s="1992"/>
      <c r="M70" s="1992"/>
      <c r="N70" s="1993"/>
    </row>
    <row r="71" spans="1:14" x14ac:dyDescent="0.2">
      <c r="A71" s="1991"/>
      <c r="B71" s="1992"/>
      <c r="C71" s="1992"/>
      <c r="D71" s="1992"/>
      <c r="E71" s="1992"/>
      <c r="F71" s="1992"/>
      <c r="G71" s="1992"/>
      <c r="H71" s="1992"/>
      <c r="I71" s="1992"/>
      <c r="J71" s="1992"/>
      <c r="K71" s="1992"/>
      <c r="L71" s="1992"/>
      <c r="M71" s="1992"/>
      <c r="N71" s="1993"/>
    </row>
    <row r="72" spans="1:14" x14ac:dyDescent="0.2">
      <c r="A72" s="1991"/>
      <c r="B72" s="1992"/>
      <c r="C72" s="1992"/>
      <c r="D72" s="1992"/>
      <c r="E72" s="1992"/>
      <c r="F72" s="1992"/>
      <c r="G72" s="1992"/>
      <c r="H72" s="1992"/>
      <c r="I72" s="1992"/>
      <c r="J72" s="1992"/>
      <c r="K72" s="1992"/>
      <c r="L72" s="1992"/>
      <c r="M72" s="1992"/>
      <c r="N72" s="1993"/>
    </row>
    <row r="73" spans="1:14" x14ac:dyDescent="0.2">
      <c r="A73" s="1991"/>
      <c r="B73" s="1992"/>
      <c r="C73" s="1992"/>
      <c r="D73" s="1992"/>
      <c r="E73" s="1992"/>
      <c r="F73" s="1992"/>
      <c r="G73" s="1992"/>
      <c r="H73" s="1992"/>
      <c r="I73" s="1992"/>
      <c r="J73" s="1992"/>
      <c r="K73" s="1992"/>
      <c r="L73" s="1992"/>
      <c r="M73" s="1992"/>
      <c r="N73" s="1993"/>
    </row>
    <row r="74" spans="1:14" x14ac:dyDescent="0.2">
      <c r="A74" s="1991"/>
      <c r="B74" s="1992"/>
      <c r="C74" s="1992"/>
      <c r="D74" s="1992"/>
      <c r="E74" s="1992"/>
      <c r="F74" s="1992"/>
      <c r="G74" s="1992"/>
      <c r="H74" s="1992"/>
      <c r="I74" s="1992"/>
      <c r="J74" s="1992"/>
      <c r="K74" s="1992"/>
      <c r="L74" s="1992"/>
      <c r="M74" s="1992"/>
      <c r="N74" s="1993"/>
    </row>
    <row r="75" spans="1:14" x14ac:dyDescent="0.2">
      <c r="A75" s="1991"/>
      <c r="B75" s="1992"/>
      <c r="C75" s="1992"/>
      <c r="D75" s="1992"/>
      <c r="E75" s="1992"/>
      <c r="F75" s="1992"/>
      <c r="G75" s="1992"/>
      <c r="H75" s="1992"/>
      <c r="I75" s="1992"/>
      <c r="J75" s="1992"/>
      <c r="K75" s="1992"/>
      <c r="L75" s="1992"/>
      <c r="M75" s="1992"/>
      <c r="N75" s="1993"/>
    </row>
    <row r="76" spans="1:14" x14ac:dyDescent="0.2">
      <c r="A76" s="1991"/>
      <c r="B76" s="1992"/>
      <c r="C76" s="1992"/>
      <c r="D76" s="1992"/>
      <c r="E76" s="1992"/>
      <c r="F76" s="1992"/>
      <c r="G76" s="1992"/>
      <c r="H76" s="1992"/>
      <c r="I76" s="1992"/>
      <c r="J76" s="1992"/>
      <c r="K76" s="1992"/>
      <c r="L76" s="1992"/>
      <c r="M76" s="1992"/>
      <c r="N76" s="1993"/>
    </row>
    <row r="77" spans="1:14" x14ac:dyDescent="0.2">
      <c r="A77" s="1991"/>
      <c r="B77" s="1992"/>
      <c r="C77" s="1992"/>
      <c r="D77" s="1992"/>
      <c r="E77" s="1992"/>
      <c r="F77" s="1992"/>
      <c r="G77" s="1992"/>
      <c r="H77" s="1992"/>
      <c r="I77" s="1992"/>
      <c r="J77" s="1992"/>
      <c r="K77" s="1992"/>
      <c r="L77" s="1992"/>
      <c r="M77" s="1992"/>
      <c r="N77" s="1993"/>
    </row>
    <row r="78" spans="1:14" x14ac:dyDescent="0.2">
      <c r="A78" s="1991"/>
      <c r="B78" s="1992"/>
      <c r="C78" s="1992"/>
      <c r="D78" s="1992"/>
      <c r="E78" s="1992"/>
      <c r="F78" s="1992"/>
      <c r="G78" s="1992"/>
      <c r="H78" s="1992"/>
      <c r="I78" s="1992"/>
      <c r="J78" s="1992"/>
      <c r="K78" s="1992"/>
      <c r="L78" s="1992"/>
      <c r="M78" s="1992"/>
      <c r="N78" s="1993"/>
    </row>
    <row r="79" spans="1:14" x14ac:dyDescent="0.2">
      <c r="A79" s="1991"/>
      <c r="B79" s="1992"/>
      <c r="C79" s="1992"/>
      <c r="D79" s="1992"/>
      <c r="E79" s="1992"/>
      <c r="F79" s="1992"/>
      <c r="G79" s="1992"/>
      <c r="H79" s="1992"/>
      <c r="I79" s="1992"/>
      <c r="J79" s="1992"/>
      <c r="K79" s="1992"/>
      <c r="L79" s="1992"/>
      <c r="M79" s="1992"/>
      <c r="N79" s="1993"/>
    </row>
    <row r="80" spans="1:14" x14ac:dyDescent="0.2">
      <c r="A80" s="1991"/>
      <c r="B80" s="1992"/>
      <c r="C80" s="1992"/>
      <c r="D80" s="1992"/>
      <c r="E80" s="1992"/>
      <c r="F80" s="1992"/>
      <c r="G80" s="1992"/>
      <c r="H80" s="1992"/>
      <c r="I80" s="1992"/>
      <c r="J80" s="1992"/>
      <c r="K80" s="1992"/>
      <c r="L80" s="1992"/>
      <c r="M80" s="1992"/>
      <c r="N80" s="1993"/>
    </row>
    <row r="81" spans="1:14" x14ac:dyDescent="0.2">
      <c r="A81" s="1991"/>
      <c r="B81" s="1992"/>
      <c r="C81" s="1992"/>
      <c r="D81" s="1992"/>
      <c r="E81" s="1992"/>
      <c r="F81" s="1992"/>
      <c r="G81" s="1992"/>
      <c r="H81" s="1992"/>
      <c r="I81" s="1992"/>
      <c r="J81" s="1992"/>
      <c r="K81" s="1992"/>
      <c r="L81" s="1992"/>
      <c r="M81" s="1992"/>
      <c r="N81" s="1993"/>
    </row>
    <row r="82" spans="1:14" x14ac:dyDescent="0.2">
      <c r="A82" s="1991"/>
      <c r="B82" s="1992"/>
      <c r="C82" s="1992"/>
      <c r="D82" s="1992"/>
      <c r="E82" s="1992"/>
      <c r="F82" s="1992"/>
      <c r="G82" s="1992"/>
      <c r="H82" s="1992"/>
      <c r="I82" s="1992"/>
      <c r="J82" s="1992"/>
      <c r="K82" s="1992"/>
      <c r="L82" s="1992"/>
      <c r="M82" s="1992"/>
      <c r="N82" s="1993"/>
    </row>
    <row r="83" spans="1:14" ht="13.5" thickBot="1" x14ac:dyDescent="0.25">
      <c r="A83" s="1994"/>
      <c r="B83" s="1995"/>
      <c r="C83" s="1995"/>
      <c r="D83" s="1995"/>
      <c r="E83" s="1995"/>
      <c r="F83" s="1995"/>
      <c r="G83" s="1995"/>
      <c r="H83" s="1995"/>
      <c r="I83" s="1995"/>
      <c r="J83" s="1995"/>
      <c r="K83" s="1995"/>
      <c r="L83" s="1995"/>
      <c r="M83" s="1995"/>
      <c r="N83" s="1996"/>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36" sqref="A36:F3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2069</v>
      </c>
    </row>
    <row r="6" spans="1:2" x14ac:dyDescent="0.2">
      <c r="A6" s="847">
        <v>2</v>
      </c>
      <c r="B6" s="307" t="s">
        <v>2070</v>
      </c>
    </row>
    <row r="7" spans="1:2" x14ac:dyDescent="0.2">
      <c r="A7" s="847">
        <v>3</v>
      </c>
      <c r="B7" s="307" t="s">
        <v>2071</v>
      </c>
    </row>
    <row r="8" spans="1:2" x14ac:dyDescent="0.2">
      <c r="A8" s="847">
        <v>4</v>
      </c>
      <c r="B8" s="307" t="s">
        <v>2072</v>
      </c>
    </row>
    <row r="9" spans="1:2" x14ac:dyDescent="0.2">
      <c r="A9" s="847">
        <v>5</v>
      </c>
      <c r="B9" s="307" t="s">
        <v>2073</v>
      </c>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Millstadt CCSD #160</v>
      </c>
    </row>
    <row r="65" spans="2:2" x14ac:dyDescent="0.2">
      <c r="B65" s="849">
        <f>COVER!A13</f>
        <v>50082160004</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36" sqref="A36:F3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952500</xdr:colOff>
                <xdr:row>8</xdr:row>
                <xdr:rowOff>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36" sqref="A36:F3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4732994</v>
      </c>
      <c r="C8" s="1813">
        <f>'Acct Summary 7-8'!D8</f>
        <v>610729</v>
      </c>
      <c r="D8" s="1813">
        <f>'Acct Summary 7-8'!F8</f>
        <v>202184</v>
      </c>
      <c r="E8" s="1813">
        <f>'Acct Summary 7-8'!I8</f>
        <v>72432</v>
      </c>
      <c r="F8" s="1813">
        <f>SUM(B8:E8)</f>
        <v>5618339</v>
      </c>
    </row>
    <row r="9" spans="1:8" s="858" customFormat="1" ht="14.25" customHeight="1" thickBot="1" x14ac:dyDescent="0.25">
      <c r="A9" s="857" t="s">
        <v>1353</v>
      </c>
      <c r="B9" s="1814">
        <f>'Acct Summary 7-8'!C17</f>
        <v>5937592</v>
      </c>
      <c r="C9" s="1814">
        <f>'Acct Summary 7-8'!D17</f>
        <v>695591</v>
      </c>
      <c r="D9" s="1814">
        <f>'Acct Summary 7-8'!F17</f>
        <v>403545</v>
      </c>
      <c r="E9" s="1813"/>
      <c r="F9" s="1813">
        <f>SUM(B9:E9)</f>
        <v>7036728</v>
      </c>
    </row>
    <row r="10" spans="1:8" s="858" customFormat="1" ht="14.25" thickTop="1" thickBot="1" x14ac:dyDescent="0.25">
      <c r="A10" s="859" t="s">
        <v>1354</v>
      </c>
      <c r="B10" s="1815">
        <f>(B8-B9)</f>
        <v>-1204598</v>
      </c>
      <c r="C10" s="1815">
        <f>(C8-C9)</f>
        <v>-84862</v>
      </c>
      <c r="D10" s="1815">
        <f>(D8-D9)</f>
        <v>-201361</v>
      </c>
      <c r="E10" s="1814">
        <f>(E8-E9)</f>
        <v>72432</v>
      </c>
      <c r="F10" s="1816">
        <f>SUM(F8-F9)</f>
        <v>-1418389</v>
      </c>
    </row>
    <row r="11" spans="1:8" s="858" customFormat="1" ht="14.25" thickTop="1" thickBot="1" x14ac:dyDescent="0.25">
      <c r="A11" s="860" t="s">
        <v>1903</v>
      </c>
      <c r="B11" s="1817">
        <f>'Acct Summary 7-8'!C81</f>
        <v>526675</v>
      </c>
      <c r="C11" s="1817">
        <f>'Acct Summary 7-8'!D81</f>
        <v>322928</v>
      </c>
      <c r="D11" s="1817">
        <f>'Acct Summary 7-8'!F81</f>
        <v>1029598</v>
      </c>
      <c r="E11" s="1817">
        <f>'Acct Summary 7-8'!I81</f>
        <v>880609</v>
      </c>
      <c r="F11" s="1818">
        <f>SUM(B11:E11)</f>
        <v>2759810</v>
      </c>
    </row>
    <row r="12" spans="1:8" ht="16.5" customHeight="1" thickTop="1" x14ac:dyDescent="0.2">
      <c r="A12" s="861"/>
      <c r="B12" s="862"/>
      <c r="C12" s="2472"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6" colorId="8" zoomScale="110" zoomScaleNormal="110" workbookViewId="0">
      <selection activeCell="A36" sqref="A36:F36"/>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50082160004</v>
      </c>
      <c r="E2" s="1542">
        <v>2020</v>
      </c>
      <c r="F2" s="1542">
        <v>1</v>
      </c>
      <c r="G2" s="1899">
        <v>101000300</v>
      </c>
    </row>
    <row r="3" spans="1:7" ht="15" x14ac:dyDescent="0.25">
      <c r="A3" t="s">
        <v>950</v>
      </c>
      <c r="B3" s="135" t="str">
        <f>COVER!A15</f>
        <v>St. Clair</v>
      </c>
      <c r="E3" s="1830" t="s">
        <v>1971</v>
      </c>
      <c r="F3" s="1830" t="s">
        <v>1970</v>
      </c>
      <c r="G3" s="1899">
        <v>101000400</v>
      </c>
    </row>
    <row r="4" spans="1:7" ht="15" x14ac:dyDescent="0.25">
      <c r="A4" t="s">
        <v>1000</v>
      </c>
      <c r="B4" s="135" t="str">
        <f>COVER!A17</f>
        <v xml:space="preserve"> Millstadt CCSD #160</v>
      </c>
      <c r="E4" s="1828">
        <v>44119</v>
      </c>
      <c r="F4" s="1829">
        <v>44151</v>
      </c>
      <c r="G4" s="1899">
        <v>101000600</v>
      </c>
    </row>
    <row r="5" spans="1:7" ht="15" x14ac:dyDescent="0.25">
      <c r="A5" t="s">
        <v>699</v>
      </c>
      <c r="B5" s="135">
        <f>COVER!A38</f>
        <v>0</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060-008105</v>
      </c>
      <c r="G15" s="1899">
        <v>402100400</v>
      </c>
    </row>
    <row r="16" spans="1:7" ht="15" x14ac:dyDescent="0.25">
      <c r="A16" t="s">
        <v>419</v>
      </c>
      <c r="B16" s="135" t="str">
        <f>COVER!T13</f>
        <v>Fcik, Eggemeyer &amp; Williamson</v>
      </c>
      <c r="G16" s="1899">
        <v>402100600</v>
      </c>
    </row>
    <row r="17" spans="1:7" ht="15" x14ac:dyDescent="0.25">
      <c r="A17" t="s">
        <v>878</v>
      </c>
      <c r="B17" s="135" t="str">
        <f>COVER!T15</f>
        <v>Keith Slusser</v>
      </c>
      <c r="G17" s="1899">
        <v>402100800</v>
      </c>
    </row>
    <row r="18" spans="1:7" ht="15" x14ac:dyDescent="0.25">
      <c r="A18" t="s">
        <v>1140</v>
      </c>
      <c r="B18" s="135" t="str">
        <f>COVER!T17</f>
        <v>205 S. Main</v>
      </c>
      <c r="G18" s="1899">
        <v>102200300</v>
      </c>
    </row>
    <row r="19" spans="1:7" ht="15" x14ac:dyDescent="0.25">
      <c r="A19" t="s">
        <v>880</v>
      </c>
      <c r="B19" s="135" t="str">
        <f>COVER!T25</f>
        <v>keith@afewcpas.com</v>
      </c>
      <c r="G19" s="1899">
        <v>102200400</v>
      </c>
    </row>
    <row r="20" spans="1:7" ht="15" x14ac:dyDescent="0.25">
      <c r="A20" t="s">
        <v>881</v>
      </c>
      <c r="B20" s="135" t="str">
        <f>COVER!T19</f>
        <v>Columbia</v>
      </c>
      <c r="G20" s="1899">
        <v>102200600</v>
      </c>
    </row>
    <row r="21" spans="1:7" ht="15" x14ac:dyDescent="0.25">
      <c r="A21" t="s">
        <v>476</v>
      </c>
      <c r="B21" s="135" t="str">
        <f>COVER!X19</f>
        <v>IL</v>
      </c>
      <c r="G21" s="1899">
        <v>102200800</v>
      </c>
    </row>
    <row r="22" spans="1:7" ht="15" x14ac:dyDescent="0.25">
      <c r="A22" t="s">
        <v>882</v>
      </c>
      <c r="B22" s="135">
        <f>COVER!Z19</f>
        <v>62236</v>
      </c>
      <c r="G22" s="1899">
        <v>102300300</v>
      </c>
    </row>
    <row r="23" spans="1:7" ht="15" x14ac:dyDescent="0.25">
      <c r="A23" t="s">
        <v>1142</v>
      </c>
      <c r="B23" s="135" t="str">
        <f>COVER!T21</f>
        <v>314-845-7999</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526675</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526675</v>
      </c>
      <c r="D92" s="2" t="str">
        <f t="shared" si="0"/>
        <v>Error?</v>
      </c>
      <c r="G92" s="1899">
        <v>102640600</v>
      </c>
    </row>
    <row r="93" spans="1:7" ht="15" x14ac:dyDescent="0.25">
      <c r="A93" s="5">
        <v>32</v>
      </c>
      <c r="B93" s="1832">
        <f>'Assets-Liab 5-6'!C41</f>
        <v>526675</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322928</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322928</v>
      </c>
      <c r="D123" s="2" t="str">
        <f t="shared" si="0"/>
        <v>Error?</v>
      </c>
      <c r="G123" s="1899">
        <v>203000400</v>
      </c>
    </row>
    <row r="124" spans="1:7" ht="15" x14ac:dyDescent="0.25">
      <c r="A124" s="5">
        <v>63</v>
      </c>
      <c r="B124" s="1832">
        <f>'Assets-Liab 5-6'!D41</f>
        <v>322928</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463378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463378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1029598</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1029598</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238264</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238264</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474102</v>
      </c>
      <c r="D273" s="2" t="str">
        <f t="shared" si="3"/>
        <v>Error?</v>
      </c>
    </row>
    <row r="274" spans="1:4" x14ac:dyDescent="0.2">
      <c r="A274" s="5">
        <v>213</v>
      </c>
      <c r="B274" s="1832">
        <f>'Assets-Liab 5-6'!M17</f>
        <v>10528366</v>
      </c>
      <c r="D274" s="2" t="str">
        <f t="shared" si="3"/>
        <v>Error?</v>
      </c>
    </row>
    <row r="275" spans="1:4" x14ac:dyDescent="0.2">
      <c r="A275" s="5">
        <v>214</v>
      </c>
      <c r="B275" s="1832">
        <f>'Assets-Liab 5-6'!M18</f>
        <v>0</v>
      </c>
      <c r="D275" s="2" t="str">
        <f t="shared" si="3"/>
        <v>Error?</v>
      </c>
    </row>
    <row r="276" spans="1:4" x14ac:dyDescent="0.2">
      <c r="A276" s="5">
        <v>215</v>
      </c>
      <c r="B276" s="1832">
        <f>'Assets-Liab 5-6'!M19</f>
        <v>227159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11229627</v>
      </c>
      <c r="C279" s="2" t="s">
        <v>569</v>
      </c>
      <c r="D279" s="2" t="str">
        <f t="shared" si="3"/>
        <v>Error?</v>
      </c>
    </row>
    <row r="280" spans="1:4" x14ac:dyDescent="0.2">
      <c r="A280" s="5">
        <v>219</v>
      </c>
      <c r="B280" s="1832">
        <f>'Assets-Liab 5-6'!M40</f>
        <v>11229627</v>
      </c>
      <c r="D280" s="2" t="str">
        <f t="shared" si="3"/>
        <v>Error?</v>
      </c>
    </row>
    <row r="281" spans="1:4" x14ac:dyDescent="0.2">
      <c r="A281" s="5">
        <v>220</v>
      </c>
      <c r="B281" s="1832">
        <f>'Assets-Liab 5-6'!M41</f>
        <v>11229627</v>
      </c>
      <c r="C281" s="2" t="s">
        <v>569</v>
      </c>
      <c r="D281" s="2" t="str">
        <f t="shared" si="3"/>
        <v>Error?</v>
      </c>
    </row>
    <row r="282" spans="1:4" x14ac:dyDescent="0.2">
      <c r="A282" s="5">
        <v>221</v>
      </c>
      <c r="B282" s="1832">
        <f>'Assets-Liab 5-6'!N21</f>
        <v>463378</v>
      </c>
      <c r="D282" s="2" t="str">
        <f t="shared" si="3"/>
        <v>Error?</v>
      </c>
    </row>
    <row r="283" spans="1:4" x14ac:dyDescent="0.2">
      <c r="A283" s="5">
        <v>222</v>
      </c>
      <c r="B283" s="1832">
        <f>'Assets-Liab 5-6'!N22</f>
        <v>6208622</v>
      </c>
      <c r="D283" s="2" t="str">
        <f t="shared" si="3"/>
        <v>Error?</v>
      </c>
    </row>
    <row r="284" spans="1:4" x14ac:dyDescent="0.2">
      <c r="A284" s="5">
        <v>223</v>
      </c>
      <c r="B284" s="1832">
        <f>'Assets-Liab 5-6'!N23</f>
        <v>6672000</v>
      </c>
      <c r="C284" s="2" t="s">
        <v>569</v>
      </c>
      <c r="D284" s="2" t="str">
        <f t="shared" si="3"/>
        <v>Error?</v>
      </c>
    </row>
    <row r="285" spans="1:4" x14ac:dyDescent="0.2">
      <c r="A285" s="5">
        <v>224</v>
      </c>
      <c r="B285" s="1832">
        <f>'Assets-Liab 5-6'!N36</f>
        <v>6672000</v>
      </c>
      <c r="D285" s="2" t="str">
        <f t="shared" si="3"/>
        <v>Error?</v>
      </c>
    </row>
    <row r="286" spans="1:4" x14ac:dyDescent="0.2">
      <c r="A286" s="10">
        <v>225</v>
      </c>
      <c r="B286" s="1832"/>
      <c r="D286" s="2" t="str">
        <f t="shared" si="3"/>
        <v>OK</v>
      </c>
    </row>
    <row r="287" spans="1:4" x14ac:dyDescent="0.2">
      <c r="A287" s="5">
        <v>226</v>
      </c>
      <c r="B287" s="1832">
        <f>'Assets-Liab 5-6'!N37</f>
        <v>6672000</v>
      </c>
      <c r="C287" s="2" t="s">
        <v>569</v>
      </c>
      <c r="D287" s="2" t="str">
        <f t="shared" si="3"/>
        <v>Error?</v>
      </c>
    </row>
    <row r="288" spans="1:4" x14ac:dyDescent="0.2">
      <c r="A288" s="5">
        <v>227</v>
      </c>
      <c r="B288" s="1832">
        <f>'Assets-Liab 5-6'!N41</f>
        <v>6672000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2488586</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37684</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3846824</v>
      </c>
      <c r="C720" s="2" t="s">
        <v>569</v>
      </c>
      <c r="D720" s="2" t="str">
        <f t="shared" si="10"/>
        <v>Error?</v>
      </c>
    </row>
    <row r="721" spans="1:4" x14ac:dyDescent="0.2">
      <c r="A721" s="5">
        <v>660</v>
      </c>
      <c r="B721" s="1832">
        <f>'Expenditures 15-22'!C36</f>
        <v>70332</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-26316</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44016</v>
      </c>
      <c r="C727" s="2" t="s">
        <v>569</v>
      </c>
      <c r="D727" s="2" t="str">
        <f t="shared" si="10"/>
        <v>Error?</v>
      </c>
    </row>
    <row r="728" spans="1:4" x14ac:dyDescent="0.2">
      <c r="A728" s="5">
        <v>667</v>
      </c>
      <c r="B728" s="1832">
        <f>'Expenditures 15-22'!C44</f>
        <v>5716</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5716</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120037</v>
      </c>
      <c r="D733" s="2" t="str">
        <f t="shared" si="10"/>
        <v>Error?</v>
      </c>
    </row>
    <row r="734" spans="1:4" x14ac:dyDescent="0.2">
      <c r="A734" s="5">
        <v>673</v>
      </c>
      <c r="B734" s="1832">
        <f>'Expenditures 15-22'!C53</f>
        <v>120037</v>
      </c>
      <c r="C734" s="2" t="s">
        <v>569</v>
      </c>
      <c r="D734" s="2" t="str">
        <f t="shared" si="10"/>
        <v>Error?</v>
      </c>
    </row>
    <row r="735" spans="1:4" x14ac:dyDescent="0.2">
      <c r="A735" s="5">
        <v>674</v>
      </c>
      <c r="B735" s="1832">
        <f>'Expenditures 15-22'!C55</f>
        <v>192512</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192512</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41751</v>
      </c>
      <c r="D739" s="2" t="str">
        <f t="shared" si="10"/>
        <v>Error?</v>
      </c>
    </row>
    <row r="740" spans="1:4" x14ac:dyDescent="0.2">
      <c r="A740" s="5">
        <v>679</v>
      </c>
      <c r="B740" s="1832">
        <f>'Expenditures 15-22'!C61</f>
        <v>101</v>
      </c>
      <c r="D740" s="2" t="str">
        <f t="shared" si="10"/>
        <v>Error?</v>
      </c>
    </row>
    <row r="741" spans="1:4" x14ac:dyDescent="0.2">
      <c r="A741" s="5">
        <v>680</v>
      </c>
      <c r="B741" s="1832">
        <f>'Expenditures 15-22'!C62</f>
        <v>15</v>
      </c>
      <c r="D741" s="2" t="str">
        <f t="shared" si="10"/>
        <v>Error?</v>
      </c>
    </row>
    <row r="742" spans="1:4" x14ac:dyDescent="0.2">
      <c r="A742" s="5">
        <v>681</v>
      </c>
      <c r="B742" s="1832">
        <f>'Expenditures 15-22'!C63</f>
        <v>42060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83927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446208</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4293032</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556158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4543</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777929</v>
      </c>
      <c r="C778" s="2" t="s">
        <v>569</v>
      </c>
      <c r="D778" s="2" t="str">
        <f t="shared" si="11"/>
        <v>Error?</v>
      </c>
    </row>
    <row r="779" spans="1:4" x14ac:dyDescent="0.2">
      <c r="A779" s="5">
        <v>718</v>
      </c>
      <c r="B779" s="1832">
        <f>'Expenditures 15-22'!D36</f>
        <v>16258</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23</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16281</v>
      </c>
      <c r="C785" s="2" t="s">
        <v>569</v>
      </c>
      <c r="D785" s="2" t="str">
        <f t="shared" si="11"/>
        <v>Error?</v>
      </c>
    </row>
    <row r="786" spans="1:4" x14ac:dyDescent="0.2">
      <c r="A786" s="5">
        <v>725</v>
      </c>
      <c r="B786" s="1832">
        <f>'Expenditures 15-22'!D44</f>
        <v>3</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3</v>
      </c>
      <c r="C789" s="2" t="s">
        <v>569</v>
      </c>
      <c r="D789" s="2" t="str">
        <f t="shared" si="11"/>
        <v>Error?</v>
      </c>
    </row>
    <row r="790" spans="1:4" x14ac:dyDescent="0.2">
      <c r="A790" s="5">
        <v>729</v>
      </c>
      <c r="B790" s="1832">
        <f>'Expenditures 15-22'!D49</f>
        <v>136</v>
      </c>
      <c r="D790" s="2" t="str">
        <f t="shared" si="11"/>
        <v>Error?</v>
      </c>
    </row>
    <row r="791" spans="1:4" x14ac:dyDescent="0.2">
      <c r="A791" s="5">
        <v>730</v>
      </c>
      <c r="B791" s="1832">
        <f>'Expenditures 15-22'!D50</f>
        <v>30639</v>
      </c>
      <c r="D791" s="2" t="str">
        <f t="shared" si="11"/>
        <v>Error?</v>
      </c>
    </row>
    <row r="792" spans="1:4" x14ac:dyDescent="0.2">
      <c r="A792" s="5">
        <v>731</v>
      </c>
      <c r="B792" s="1832">
        <f>'Expenditures 15-22'!D53</f>
        <v>30775</v>
      </c>
      <c r="C792" s="2" t="s">
        <v>569</v>
      </c>
      <c r="D792" s="2" t="str">
        <f t="shared" si="11"/>
        <v>Error?</v>
      </c>
    </row>
    <row r="793" spans="1:4" x14ac:dyDescent="0.2">
      <c r="A793" s="5">
        <v>732</v>
      </c>
      <c r="B793" s="1832">
        <f>'Expenditures 15-22'!D55</f>
        <v>38729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38729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11275</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16</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11291</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97079</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875008</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28191</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9636</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62658</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977</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977</v>
      </c>
      <c r="C843" s="2" t="s">
        <v>569</v>
      </c>
      <c r="D843" s="2" t="str">
        <f t="shared" si="12"/>
        <v>Error?</v>
      </c>
    </row>
    <row r="844" spans="1:4" x14ac:dyDescent="0.2">
      <c r="A844" s="5">
        <v>783</v>
      </c>
      <c r="B844" s="1832">
        <f>'Expenditures 15-22'!E44</f>
        <v>10896</v>
      </c>
      <c r="D844" s="2" t="str">
        <f t="shared" si="12"/>
        <v>Error?</v>
      </c>
    </row>
    <row r="845" spans="1:4" x14ac:dyDescent="0.2">
      <c r="A845" s="5">
        <v>784</v>
      </c>
      <c r="B845" s="1832">
        <f>'Expenditures 15-22'!E45</f>
        <v>37</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10933</v>
      </c>
      <c r="C847" s="2" t="s">
        <v>569</v>
      </c>
      <c r="D847" s="2" t="str">
        <f t="shared" si="12"/>
        <v>Error?</v>
      </c>
    </row>
    <row r="848" spans="1:4" x14ac:dyDescent="0.2">
      <c r="A848" s="5">
        <v>787</v>
      </c>
      <c r="B848" s="1832">
        <f>'Expenditures 15-22'!E49</f>
        <v>33649</v>
      </c>
      <c r="D848" s="2" t="str">
        <f t="shared" si="12"/>
        <v>Error?</v>
      </c>
    </row>
    <row r="849" spans="1:4" x14ac:dyDescent="0.2">
      <c r="A849" s="5">
        <v>788</v>
      </c>
      <c r="B849" s="1832">
        <f>'Expenditures 15-22'!E50</f>
        <v>5203</v>
      </c>
      <c r="D849" s="2" t="str">
        <f t="shared" si="12"/>
        <v>Error?</v>
      </c>
    </row>
    <row r="850" spans="1:4" x14ac:dyDescent="0.2">
      <c r="A850" s="5">
        <v>789</v>
      </c>
      <c r="B850" s="1832">
        <f>'Expenditures 15-22'!E53</f>
        <v>38852</v>
      </c>
      <c r="C850" s="2" t="s">
        <v>569</v>
      </c>
      <c r="D850" s="2" t="str">
        <f t="shared" si="12"/>
        <v>Error?</v>
      </c>
    </row>
    <row r="851" spans="1:4" x14ac:dyDescent="0.2">
      <c r="A851" s="5">
        <v>790</v>
      </c>
      <c r="B851" s="1832">
        <f>'Expenditures 15-22'!E55</f>
        <v>5741</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5741</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19579</v>
      </c>
      <c r="D855" s="2" t="str">
        <f t="shared" si="12"/>
        <v>Error?</v>
      </c>
    </row>
    <row r="856" spans="1:4" x14ac:dyDescent="0.2">
      <c r="A856" s="5">
        <v>795</v>
      </c>
      <c r="B856" s="1832">
        <f>'Expenditures 15-22'!E61</f>
        <v>66499</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205733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291811</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348314</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643768</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75537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2150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90285</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774</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774</v>
      </c>
      <c r="C901" s="2" t="s">
        <v>569</v>
      </c>
      <c r="D901" s="2" t="str">
        <f t="shared" si="13"/>
        <v>Error?</v>
      </c>
    </row>
    <row r="902" spans="1:4" x14ac:dyDescent="0.2">
      <c r="A902" s="5">
        <v>841</v>
      </c>
      <c r="B902" s="1832">
        <f>'Expenditures 15-22'!F44</f>
        <v>5469</v>
      </c>
      <c r="D902" s="2" t="str">
        <f t="shared" si="13"/>
        <v>Error?</v>
      </c>
    </row>
    <row r="903" spans="1:4" x14ac:dyDescent="0.2">
      <c r="A903" s="5">
        <v>842</v>
      </c>
      <c r="B903" s="1832">
        <f>'Expenditures 15-22'!F45</f>
        <v>1871</v>
      </c>
      <c r="D903" s="2" t="str">
        <f t="shared" si="13"/>
        <v>Error?</v>
      </c>
    </row>
    <row r="904" spans="1:4" x14ac:dyDescent="0.2">
      <c r="A904" s="5">
        <v>843</v>
      </c>
      <c r="B904" s="1832">
        <f>'Expenditures 15-22'!F46</f>
        <v>992</v>
      </c>
      <c r="D904" s="2" t="str">
        <f t="shared" si="13"/>
        <v>Error?</v>
      </c>
    </row>
    <row r="905" spans="1:4" x14ac:dyDescent="0.2">
      <c r="A905" s="5">
        <v>844</v>
      </c>
      <c r="B905" s="1832">
        <f>'Expenditures 15-22'!F47</f>
        <v>8332</v>
      </c>
      <c r="C905" s="2" t="s">
        <v>569</v>
      </c>
      <c r="D905" s="2" t="str">
        <f t="shared" si="13"/>
        <v>Error?</v>
      </c>
    </row>
    <row r="906" spans="1:4" x14ac:dyDescent="0.2">
      <c r="A906" s="5">
        <v>845</v>
      </c>
      <c r="B906" s="1832">
        <f>'Expenditures 15-22'!F49</f>
        <v>2796</v>
      </c>
      <c r="D906" s="2" t="str">
        <f t="shared" si="13"/>
        <v>Error?</v>
      </c>
    </row>
    <row r="907" spans="1:4" x14ac:dyDescent="0.2">
      <c r="A907" s="5">
        <v>846</v>
      </c>
      <c r="B907" s="1832">
        <f>'Expenditures 15-22'!F50</f>
        <v>771</v>
      </c>
      <c r="D907" s="2" t="str">
        <f t="shared" si="13"/>
        <v>Error?</v>
      </c>
    </row>
    <row r="908" spans="1:4" x14ac:dyDescent="0.2">
      <c r="A908" s="5">
        <v>847</v>
      </c>
      <c r="B908" s="1832">
        <f>'Expenditures 15-22'!F53</f>
        <v>3567</v>
      </c>
      <c r="C908" s="2" t="s">
        <v>569</v>
      </c>
      <c r="D908" s="2" t="str">
        <f t="shared" si="13"/>
        <v>Error?</v>
      </c>
    </row>
    <row r="909" spans="1:4" x14ac:dyDescent="0.2">
      <c r="A909" s="5">
        <v>848</v>
      </c>
      <c r="B909" s="1832">
        <f>'Expenditures 15-22'!F55</f>
        <v>668</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668</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360</v>
      </c>
      <c r="D913" s="2" t="str">
        <f t="shared" si="13"/>
        <v>Error?</v>
      </c>
    </row>
    <row r="914" spans="1:4" x14ac:dyDescent="0.2">
      <c r="A914" s="5">
        <v>853</v>
      </c>
      <c r="B914" s="1832">
        <f>'Expenditures 15-22'!F61</f>
        <v>16275</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838</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17473</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30814</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121099</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1790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2895</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4685</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4685</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4685</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3148472</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54013</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4777696</v>
      </c>
      <c r="C1108" s="2" t="s">
        <v>569</v>
      </c>
      <c r="D1108" s="2" t="str">
        <f t="shared" si="16"/>
        <v>Error?</v>
      </c>
    </row>
    <row r="1109" spans="1:4" x14ac:dyDescent="0.2">
      <c r="A1109" s="5">
        <v>1048</v>
      </c>
      <c r="B1109" s="1832">
        <f>'Expenditures 15-22'!K36</f>
        <v>86590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-24542</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62048</v>
      </c>
      <c r="C1115" s="2" t="s">
        <v>569</v>
      </c>
      <c r="D1115" s="2" t="str">
        <f t="shared" si="16"/>
        <v>Error?</v>
      </c>
    </row>
    <row r="1116" spans="1:4" x14ac:dyDescent="0.2">
      <c r="A1116" s="5">
        <v>1055</v>
      </c>
      <c r="B1116" s="1832">
        <f>'Expenditures 15-22'!K44</f>
        <v>22084</v>
      </c>
      <c r="C1116" s="2" t="s">
        <v>569</v>
      </c>
      <c r="D1116" s="2" t="str">
        <f t="shared" si="16"/>
        <v>Error?</v>
      </c>
    </row>
    <row r="1117" spans="1:4" x14ac:dyDescent="0.2">
      <c r="A1117" s="5">
        <v>1056</v>
      </c>
      <c r="B1117" s="1832">
        <f>'Expenditures 15-22'!K45</f>
        <v>1908</v>
      </c>
      <c r="C1117" s="2" t="s">
        <v>569</v>
      </c>
      <c r="D1117" s="2" t="str">
        <f t="shared" si="16"/>
        <v>Error?</v>
      </c>
    </row>
    <row r="1118" spans="1:4" x14ac:dyDescent="0.2">
      <c r="A1118" s="5">
        <v>1057</v>
      </c>
      <c r="B1118" s="1832">
        <f>'Expenditures 15-22'!K46</f>
        <v>992</v>
      </c>
      <c r="C1118" s="2" t="s">
        <v>569</v>
      </c>
      <c r="D1118" s="2" t="str">
        <f t="shared" si="16"/>
        <v>Error?</v>
      </c>
    </row>
    <row r="1119" spans="1:4" x14ac:dyDescent="0.2">
      <c r="A1119" s="5">
        <v>1058</v>
      </c>
      <c r="B1119" s="1832">
        <f>'Expenditures 15-22'!K47</f>
        <v>24984</v>
      </c>
      <c r="C1119" s="2" t="s">
        <v>569</v>
      </c>
      <c r="D1119" s="2" t="str">
        <f t="shared" si="16"/>
        <v>Error?</v>
      </c>
    </row>
    <row r="1120" spans="1:4" x14ac:dyDescent="0.2">
      <c r="A1120" s="5">
        <v>1059</v>
      </c>
      <c r="B1120" s="1832">
        <f>'Expenditures 15-22'!K49</f>
        <v>36581</v>
      </c>
      <c r="C1120" s="2" t="s">
        <v>569</v>
      </c>
      <c r="D1120" s="2" t="str">
        <f t="shared" si="16"/>
        <v>Error?</v>
      </c>
    </row>
    <row r="1121" spans="1:4" x14ac:dyDescent="0.2">
      <c r="A1121" s="5">
        <v>1060</v>
      </c>
      <c r="B1121" s="1832">
        <f>'Expenditures 15-22'!K50</f>
        <v>156650</v>
      </c>
      <c r="C1121" s="2" t="s">
        <v>569</v>
      </c>
      <c r="D1121" s="2" t="str">
        <f t="shared" si="16"/>
        <v>Error?</v>
      </c>
    </row>
    <row r="1122" spans="1:4" x14ac:dyDescent="0.2">
      <c r="A1122" s="5">
        <v>1061</v>
      </c>
      <c r="B1122" s="1832">
        <f>'Expenditures 15-22'!K53</f>
        <v>193231</v>
      </c>
      <c r="C1122" s="2" t="s">
        <v>569</v>
      </c>
      <c r="D1122" s="2" t="str">
        <f t="shared" si="16"/>
        <v>Error?</v>
      </c>
    </row>
    <row r="1123" spans="1:4" x14ac:dyDescent="0.2">
      <c r="A1123" s="5">
        <v>1062</v>
      </c>
      <c r="B1123" s="1832">
        <f>'Expenditures 15-22'!K55</f>
        <v>237650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237650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72965</v>
      </c>
      <c r="C1127" s="2" t="s">
        <v>569</v>
      </c>
      <c r="D1127" s="2" t="str">
        <f t="shared" si="16"/>
        <v>Error?</v>
      </c>
    </row>
    <row r="1128" spans="1:4" x14ac:dyDescent="0.2">
      <c r="A1128" s="5">
        <v>1067</v>
      </c>
      <c r="B1128" s="1832">
        <f>'Expenditures 15-22'!K61</f>
        <v>84665</v>
      </c>
      <c r="C1128" s="2" t="s">
        <v>569</v>
      </c>
      <c r="D1128" s="2" t="str">
        <f t="shared" si="16"/>
        <v>Error?</v>
      </c>
    </row>
    <row r="1129" spans="1:4" x14ac:dyDescent="0.2">
      <c r="A1129" s="5">
        <v>1068</v>
      </c>
      <c r="B1129" s="1832">
        <f>'Expenditures 15-22'!K62</f>
        <v>15</v>
      </c>
      <c r="C1129" s="2" t="s">
        <v>569</v>
      </c>
      <c r="D1129" s="2" t="str">
        <f t="shared" si="16"/>
        <v>Error?</v>
      </c>
    </row>
    <row r="1130" spans="1:4" x14ac:dyDescent="0.2">
      <c r="A1130" s="5">
        <v>1069</v>
      </c>
      <c r="B1130" s="1832">
        <f>'Expenditures 15-22'!K63</f>
        <v>251542</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409187</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927100</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232796</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5937592</v>
      </c>
      <c r="C1152" s="2" t="s">
        <v>569</v>
      </c>
      <c r="D1152" s="2" t="str">
        <f t="shared" si="17"/>
        <v>Error?</v>
      </c>
    </row>
    <row r="1153" spans="1:4" x14ac:dyDescent="0.2">
      <c r="A1153" s="5">
        <v>1092</v>
      </c>
      <c r="B1153" s="1832">
        <f>'Expenditures 15-22'!K115</f>
        <v>-1204598</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230636</v>
      </c>
      <c r="D1221" s="2" t="str">
        <f t="shared" si="18"/>
        <v>Error?</v>
      </c>
    </row>
    <row r="1222" spans="1:4" x14ac:dyDescent="0.2">
      <c r="A1222" s="10">
        <v>1161</v>
      </c>
      <c r="B1222" s="1832"/>
      <c r="D1222" s="2" t="str">
        <f t="shared" si="18"/>
        <v>OK</v>
      </c>
    </row>
    <row r="1223" spans="1:4" x14ac:dyDescent="0.2">
      <c r="A1223" s="5">
        <v>1162</v>
      </c>
      <c r="B1223" s="1832">
        <f>'Expenditures 15-22'!C127</f>
        <v>230636</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230636</v>
      </c>
      <c r="C1225" s="2" t="s">
        <v>569</v>
      </c>
      <c r="D1225" s="2" t="str">
        <f t="shared" si="18"/>
        <v>Error?</v>
      </c>
    </row>
    <row r="1226" spans="1:4" x14ac:dyDescent="0.2">
      <c r="A1226" s="5">
        <v>1165</v>
      </c>
      <c r="B1226" s="1832">
        <f>'Expenditures 15-22'!C151</f>
        <v>230636</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42695</v>
      </c>
      <c r="D1229" s="2" t="str">
        <f t="shared" si="18"/>
        <v>Error?</v>
      </c>
    </row>
    <row r="1230" spans="1:4" x14ac:dyDescent="0.2">
      <c r="A1230" s="10">
        <v>1169</v>
      </c>
      <c r="B1230" s="1832"/>
      <c r="D1230" s="2" t="str">
        <f t="shared" si="18"/>
        <v>OK</v>
      </c>
    </row>
    <row r="1231" spans="1:4" x14ac:dyDescent="0.2">
      <c r="A1231" s="5">
        <v>1170</v>
      </c>
      <c r="B1231" s="1832">
        <f>'Expenditures 15-22'!D127</f>
        <v>42695</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42695</v>
      </c>
      <c r="C1233" s="2" t="s">
        <v>569</v>
      </c>
      <c r="D1233" s="2" t="str">
        <f t="shared" si="18"/>
        <v>Error?</v>
      </c>
    </row>
    <row r="1234" spans="1:4" x14ac:dyDescent="0.2">
      <c r="A1234" s="5">
        <v>1173</v>
      </c>
      <c r="B1234" s="1832">
        <f>'Expenditures 15-22'!D151</f>
        <v>42695</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187643</v>
      </c>
      <c r="D1237" s="2" t="str">
        <f t="shared" si="18"/>
        <v>Error?</v>
      </c>
    </row>
    <row r="1238" spans="1:4" x14ac:dyDescent="0.2">
      <c r="A1238" s="10">
        <v>1177</v>
      </c>
      <c r="B1238" s="1832"/>
      <c r="D1238" s="2" t="str">
        <f t="shared" si="18"/>
        <v>OK</v>
      </c>
    </row>
    <row r="1239" spans="1:4" x14ac:dyDescent="0.2">
      <c r="A1239" s="5">
        <v>1178</v>
      </c>
      <c r="B1239" s="1832">
        <f>'Expenditures 15-22'!E127</f>
        <v>187643</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187643</v>
      </c>
      <c r="C1241" s="2" t="s">
        <v>569</v>
      </c>
      <c r="D1241" s="2" t="str">
        <f t="shared" si="18"/>
        <v>Error?</v>
      </c>
    </row>
    <row r="1242" spans="1:4" x14ac:dyDescent="0.2">
      <c r="A1242" s="5">
        <v>1181</v>
      </c>
      <c r="B1242" s="1832">
        <f>'Expenditures 15-22'!E151</f>
        <v>187643</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160522</v>
      </c>
      <c r="D1245" s="2" t="str">
        <f t="shared" si="18"/>
        <v>Error?</v>
      </c>
    </row>
    <row r="1246" spans="1:4" x14ac:dyDescent="0.2">
      <c r="A1246" s="10">
        <v>1185</v>
      </c>
      <c r="B1246" s="1832"/>
      <c r="D1246" s="2" t="str">
        <f t="shared" si="18"/>
        <v>OK</v>
      </c>
    </row>
    <row r="1247" spans="1:4" x14ac:dyDescent="0.2">
      <c r="A1247" s="5">
        <v>1186</v>
      </c>
      <c r="B1247" s="1832">
        <f>'Expenditures 15-22'!F127</f>
        <v>160522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160522</v>
      </c>
      <c r="C1249" s="2" t="s">
        <v>569</v>
      </c>
      <c r="D1249" s="2" t="str">
        <f t="shared" si="18"/>
        <v>Error?</v>
      </c>
    </row>
    <row r="1250" spans="1:4" x14ac:dyDescent="0.2">
      <c r="A1250" s="5">
        <v>1189</v>
      </c>
      <c r="B1250" s="1832">
        <f>'Expenditures 15-22'!F151</f>
        <v>160522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5174</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5174</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5174</v>
      </c>
      <c r="C1258" s="2" t="s">
        <v>569</v>
      </c>
      <c r="D1258" s="2" t="str">
        <f t="shared" si="18"/>
        <v>Error?</v>
      </c>
    </row>
    <row r="1259" spans="1:4" x14ac:dyDescent="0.2">
      <c r="A1259" s="5">
        <v>1198</v>
      </c>
      <c r="B1259" s="1832">
        <f>'Expenditures 15-22'!G151</f>
        <v>5174</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68921</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68921</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626670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626670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626670</v>
      </c>
      <c r="C1281" s="2" t="s">
        <v>569</v>
      </c>
      <c r="D1281" s="2" t="str">
        <f t="shared" si="19"/>
        <v>Error?</v>
      </c>
    </row>
    <row r="1282" spans="1:4" x14ac:dyDescent="0.2">
      <c r="A1282" s="5">
        <v>1221</v>
      </c>
      <c r="B1282" s="1832">
        <f>'Expenditures 15-22'!K139</f>
        <v>68921</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695591</v>
      </c>
      <c r="C1288" s="2" t="s">
        <v>569</v>
      </c>
      <c r="D1288" s="2" t="str">
        <f t="shared" si="19"/>
        <v>Error?</v>
      </c>
    </row>
    <row r="1289" spans="1:4" x14ac:dyDescent="0.2">
      <c r="A1289" s="5">
        <v>1228</v>
      </c>
      <c r="B1289" s="1832">
        <f>'Expenditures 15-22'!K152</f>
        <v>-84862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171347</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886000</v>
      </c>
      <c r="D1315" s="2" t="str">
        <f t="shared" si="19"/>
        <v>Error?</v>
      </c>
    </row>
    <row r="1316" spans="1:4" x14ac:dyDescent="0.2">
      <c r="A1316" s="5">
        <v>1255</v>
      </c>
      <c r="B1316" s="1832">
        <f>'Expenditures 15-22'!H171</f>
        <v>31580</v>
      </c>
      <c r="D1316" s="2" t="str">
        <f t="shared" si="19"/>
        <v>Error?</v>
      </c>
    </row>
    <row r="1317" spans="1:4" x14ac:dyDescent="0.2">
      <c r="A1317" s="5">
        <v>1256</v>
      </c>
      <c r="B1317" s="1832">
        <f>'Expenditures 15-22'!H172</f>
        <v>1088927</v>
      </c>
      <c r="C1317" s="2" t="s">
        <v>569</v>
      </c>
      <c r="D1317" s="2" t="str">
        <f t="shared" si="19"/>
        <v>Error?</v>
      </c>
    </row>
    <row r="1318" spans="1:4" x14ac:dyDescent="0.2">
      <c r="A1318" s="5">
        <v>1257</v>
      </c>
      <c r="B1318" s="1832">
        <f>'Expenditures 15-22'!H174</f>
        <v>1088927</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171347</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886000</v>
      </c>
      <c r="C1329" s="2" t="s">
        <v>569</v>
      </c>
      <c r="D1329" s="2" t="str">
        <f t="shared" si="19"/>
        <v>Error?</v>
      </c>
    </row>
    <row r="1330" spans="1:4" x14ac:dyDescent="0.2">
      <c r="A1330" s="5">
        <v>1269</v>
      </c>
      <c r="B1330" s="1832">
        <f>'Expenditures 15-22'!K171</f>
        <v>31580</v>
      </c>
      <c r="C1330" s="2" t="s">
        <v>569</v>
      </c>
      <c r="D1330" s="2" t="str">
        <f t="shared" si="19"/>
        <v>Error?</v>
      </c>
    </row>
    <row r="1331" spans="1:4" x14ac:dyDescent="0.2">
      <c r="A1331" s="5">
        <v>1270</v>
      </c>
      <c r="B1331" s="1832">
        <f>'Expenditures 15-22'!K172</f>
        <v>1088927</v>
      </c>
      <c r="C1331" s="2" t="s">
        <v>569</v>
      </c>
      <c r="D1331" s="2" t="str">
        <f t="shared" si="19"/>
        <v>Error?</v>
      </c>
    </row>
    <row r="1332" spans="1:4" x14ac:dyDescent="0.2">
      <c r="A1332" s="5">
        <v>1271</v>
      </c>
      <c r="B1332" s="1832">
        <f>'Expenditures 15-22'!K174</f>
        <v>1088927</v>
      </c>
      <c r="C1332" s="2" t="s">
        <v>569</v>
      </c>
      <c r="D1332" s="2" t="str">
        <f t="shared" si="19"/>
        <v>Error?</v>
      </c>
    </row>
    <row r="1333" spans="1:4" x14ac:dyDescent="0.2">
      <c r="A1333" s="5">
        <v>1272</v>
      </c>
      <c r="B1333" s="1832">
        <f>'Expenditures 15-22'!K175</f>
        <v>-305797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141860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141860</v>
      </c>
      <c r="C1339" s="2" t="s">
        <v>569</v>
      </c>
      <c r="D1339" s="2" t="str">
        <f t="shared" si="19"/>
        <v>Error?</v>
      </c>
    </row>
    <row r="1340" spans="1:4" x14ac:dyDescent="0.2">
      <c r="A1340" s="5">
        <v>1279</v>
      </c>
      <c r="B1340" s="1832">
        <f>'Expenditures 15-22'!C210</f>
        <v>141860</v>
      </c>
      <c r="C1340" s="2" t="s">
        <v>569</v>
      </c>
      <c r="D1340" s="2" t="str">
        <f t="shared" si="19"/>
        <v>Error?</v>
      </c>
    </row>
    <row r="1341" spans="1:4" x14ac:dyDescent="0.2">
      <c r="A1341" s="5">
        <v>1280</v>
      </c>
      <c r="B1341" s="1832">
        <f>'Expenditures 15-22'!D182</f>
        <v>14578</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14578</v>
      </c>
      <c r="C1345" s="2" t="s">
        <v>569</v>
      </c>
      <c r="D1345" s="2" t="str">
        <f t="shared" si="20"/>
        <v>Error?</v>
      </c>
    </row>
    <row r="1346" spans="1:4" x14ac:dyDescent="0.2">
      <c r="A1346" s="5">
        <v>1285</v>
      </c>
      <c r="B1346" s="1832">
        <f>'Expenditures 15-22'!D210</f>
        <v>14578</v>
      </c>
      <c r="C1346" s="2" t="s">
        <v>569</v>
      </c>
      <c r="D1346" s="2" t="str">
        <f t="shared" si="20"/>
        <v>Error?</v>
      </c>
    </row>
    <row r="1347" spans="1:4" x14ac:dyDescent="0.2">
      <c r="A1347" s="5">
        <v>1286</v>
      </c>
      <c r="B1347" s="1832">
        <f>'Expenditures 15-22'!E182</f>
        <v>24171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24171</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24171</v>
      </c>
      <c r="C1353" s="2" t="s">
        <v>569</v>
      </c>
      <c r="D1353" s="2" t="str">
        <f t="shared" si="20"/>
        <v>Error?</v>
      </c>
    </row>
    <row r="1354" spans="1:4" x14ac:dyDescent="0.2">
      <c r="A1354" s="5">
        <v>1293</v>
      </c>
      <c r="B1354" s="1832">
        <f>'Expenditures 15-22'!F182</f>
        <v>43438</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43438</v>
      </c>
      <c r="C1358" s="2" t="s">
        <v>569</v>
      </c>
      <c r="D1358" s="2" t="str">
        <f t="shared" si="20"/>
        <v>Error?</v>
      </c>
    </row>
    <row r="1359" spans="1:4" x14ac:dyDescent="0.2">
      <c r="A1359" s="5">
        <v>1298</v>
      </c>
      <c r="B1359" s="1832">
        <f>'Expenditures 15-22'!F210</f>
        <v>43438</v>
      </c>
      <c r="C1359" s="2" t="s">
        <v>569</v>
      </c>
      <c r="D1359" s="2" t="str">
        <f t="shared" si="20"/>
        <v>Error?</v>
      </c>
    </row>
    <row r="1360" spans="1:4" x14ac:dyDescent="0.2">
      <c r="A1360" s="5">
        <v>1299</v>
      </c>
      <c r="B1360" s="1832">
        <f>'Expenditures 15-22'!G182</f>
        <v>158165</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158165</v>
      </c>
      <c r="C1364" s="2" t="s">
        <v>569</v>
      </c>
      <c r="D1364" s="2" t="str">
        <f t="shared" si="20"/>
        <v>Error?</v>
      </c>
    </row>
    <row r="1365" spans="1:4" x14ac:dyDescent="0.2">
      <c r="A1365" s="5">
        <v>1304</v>
      </c>
      <c r="B1365" s="1832">
        <f>'Expenditures 15-22'!G210</f>
        <v>158165</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21333</v>
      </c>
      <c r="C1376" s="2" t="s">
        <v>569</v>
      </c>
      <c r="D1376" s="2" t="str">
        <f t="shared" si="20"/>
        <v>Error?</v>
      </c>
    </row>
    <row r="1377" spans="1:4" x14ac:dyDescent="0.2">
      <c r="A1377" s="5">
        <v>1316</v>
      </c>
      <c r="B1377" s="1832">
        <f>'Expenditures 15-22'!K182</f>
        <v>382212</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382212</v>
      </c>
      <c r="C1381" s="2" t="s">
        <v>569</v>
      </c>
      <c r="D1381" s="2" t="str">
        <f t="shared" si="20"/>
        <v>Error?</v>
      </c>
    </row>
    <row r="1382" spans="1:4" x14ac:dyDescent="0.2">
      <c r="A1382" s="5">
        <v>1321</v>
      </c>
      <c r="B1382" s="1832">
        <f>'Expenditures 15-22'!K196</f>
        <v>21333</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403545</v>
      </c>
      <c r="C1388" s="2" t="s">
        <v>569</v>
      </c>
      <c r="D1388" s="2" t="str">
        <f t="shared" si="20"/>
        <v>Error?</v>
      </c>
    </row>
    <row r="1389" spans="1:4" x14ac:dyDescent="0.2">
      <c r="A1389" s="5">
        <v>1328</v>
      </c>
      <c r="B1389" s="1832">
        <f>'Expenditures 15-22'!K211</f>
        <v>-201361</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1318</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120583</v>
      </c>
      <c r="C1410" s="2" t="s">
        <v>569</v>
      </c>
      <c r="D1410" s="2" t="str">
        <f t="shared" si="21"/>
        <v>Error?</v>
      </c>
    </row>
    <row r="1411" spans="1:4" x14ac:dyDescent="0.2">
      <c r="A1411" s="5">
        <v>1350</v>
      </c>
      <c r="B1411" s="1832">
        <f>'Expenditures 15-22'!D232</f>
        <v>1020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6021</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7041</v>
      </c>
      <c r="C1417" s="2" t="s">
        <v>569</v>
      </c>
      <c r="D1417" s="2" t="str">
        <f t="shared" si="21"/>
        <v>Error?</v>
      </c>
    </row>
    <row r="1418" spans="1:4" x14ac:dyDescent="0.2">
      <c r="A1418" s="5">
        <v>1357</v>
      </c>
      <c r="B1418" s="1832">
        <f>'Expenditures 15-22'!D240</f>
        <v>83</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83</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261</v>
      </c>
      <c r="D1423" s="2" t="str">
        <f t="shared" si="21"/>
        <v>Error?</v>
      </c>
    </row>
    <row r="1424" spans="1:4" x14ac:dyDescent="0.2">
      <c r="A1424" s="5">
        <v>1363</v>
      </c>
      <c r="B1424" s="1832">
        <f>'Expenditures 15-22'!D257</f>
        <v>8877</v>
      </c>
      <c r="C1424" s="2" t="s">
        <v>569</v>
      </c>
      <c r="D1424" s="2" t="str">
        <f t="shared" si="21"/>
        <v>Error?</v>
      </c>
    </row>
    <row r="1425" spans="1:4" x14ac:dyDescent="0.2">
      <c r="A1425" s="5">
        <v>1364</v>
      </c>
      <c r="B1425" s="1832">
        <f>'Expenditures 15-22'!D259</f>
        <v>20381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20381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10073</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61735</v>
      </c>
      <c r="D1431" s="2" t="str">
        <f t="shared" si="21"/>
        <v>Error?</v>
      </c>
    </row>
    <row r="1432" spans="1:4" x14ac:dyDescent="0.2">
      <c r="A1432" s="5">
        <v>1371</v>
      </c>
      <c r="B1432" s="1832">
        <f>'Expenditures 15-22'!D267</f>
        <v>10396</v>
      </c>
      <c r="D1432" s="2" t="str">
        <f t="shared" si="21"/>
        <v>Error?</v>
      </c>
    </row>
    <row r="1433" spans="1:4" x14ac:dyDescent="0.2">
      <c r="A1433" s="5">
        <v>1372</v>
      </c>
      <c r="B1433" s="1832">
        <f>'Expenditures 15-22'!D268</f>
        <v>8643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90847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127229</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247812</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1318</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120583</v>
      </c>
      <c r="C1474" s="2" t="s">
        <v>569</v>
      </c>
      <c r="D1474" s="2" t="str">
        <f t="shared" si="22"/>
        <v>Error?</v>
      </c>
    </row>
    <row r="1475" spans="1:4" x14ac:dyDescent="0.2">
      <c r="A1475" s="5">
        <v>1414</v>
      </c>
      <c r="B1475" s="1832">
        <f>'Expenditures 15-22'!K232</f>
        <v>1020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6021</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7041</v>
      </c>
      <c r="C1481" s="2" t="s">
        <v>569</v>
      </c>
      <c r="D1481" s="2" t="str">
        <f t="shared" si="22"/>
        <v>Error?</v>
      </c>
    </row>
    <row r="1482" spans="1:4" x14ac:dyDescent="0.2">
      <c r="A1482" s="5">
        <v>1421</v>
      </c>
      <c r="B1482" s="1832">
        <f>'Expenditures 15-22'!K240</f>
        <v>83</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83</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261</v>
      </c>
      <c r="C1487" s="2" t="s">
        <v>569</v>
      </c>
      <c r="D1487" s="2" t="str">
        <f t="shared" si="22"/>
        <v>Error?</v>
      </c>
    </row>
    <row r="1488" spans="1:4" x14ac:dyDescent="0.2">
      <c r="A1488" s="5">
        <v>1427</v>
      </c>
      <c r="B1488" s="1832">
        <f>'Expenditures 15-22'!K257</f>
        <v>8877</v>
      </c>
      <c r="C1488" s="2" t="s">
        <v>569</v>
      </c>
      <c r="D1488" s="2" t="str">
        <f t="shared" si="22"/>
        <v>Error?</v>
      </c>
    </row>
    <row r="1489" spans="1:4" x14ac:dyDescent="0.2">
      <c r="A1489" s="5">
        <v>1428</v>
      </c>
      <c r="B1489" s="1832">
        <f>'Expenditures 15-22'!K259</f>
        <v>20381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20381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10073</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61735</v>
      </c>
      <c r="C1495" s="2" t="s">
        <v>569</v>
      </c>
      <c r="D1495" s="2" t="str">
        <f t="shared" si="22"/>
        <v>Error?</v>
      </c>
    </row>
    <row r="1496" spans="1:4" x14ac:dyDescent="0.2">
      <c r="A1496" s="5">
        <v>1435</v>
      </c>
      <c r="B1496" s="1832">
        <f>'Expenditures 15-22'!K267</f>
        <v>10396</v>
      </c>
      <c r="C1496" s="2" t="s">
        <v>569</v>
      </c>
      <c r="D1496" s="2" t="str">
        <f t="shared" si="22"/>
        <v>Error?</v>
      </c>
    </row>
    <row r="1497" spans="1:4" x14ac:dyDescent="0.2">
      <c r="A1497" s="5">
        <v>1436</v>
      </c>
      <c r="B1497" s="1832">
        <f>'Expenditures 15-22'!K268</f>
        <v>8643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90847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127229</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247812</v>
      </c>
      <c r="C1517" s="2" t="s">
        <v>569</v>
      </c>
      <c r="D1517" s="2" t="str">
        <f t="shared" si="22"/>
        <v>Error?</v>
      </c>
    </row>
    <row r="1518" spans="1:4" x14ac:dyDescent="0.2">
      <c r="A1518" s="5">
        <v>1457</v>
      </c>
      <c r="B1518" s="1832">
        <f>'Expenditures 15-22'!K296</f>
        <v>9896</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1231273</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526675</v>
      </c>
      <c r="C1630" s="2" t="s">
        <v>569</v>
      </c>
      <c r="D1630" s="2" t="str">
        <f t="shared" si="24"/>
        <v>Error?</v>
      </c>
    </row>
    <row r="1631" spans="1:4" x14ac:dyDescent="0.2">
      <c r="A1631" s="5">
        <v>1570</v>
      </c>
      <c r="B1631" s="1832">
        <f>'Acct Summary 7-8'!D79</f>
        <v>229042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322928</v>
      </c>
      <c r="C1644" s="2" t="s">
        <v>569</v>
      </c>
      <c r="D1644" s="2" t="str">
        <f t="shared" si="24"/>
        <v>Error?</v>
      </c>
    </row>
    <row r="1645" spans="1:4" x14ac:dyDescent="0.2">
      <c r="A1645" s="5">
        <v>1584</v>
      </c>
      <c r="B1645" s="1832">
        <f>'Acct Summary 7-8'!E79</f>
        <v>738178</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463378</v>
      </c>
      <c r="C1658" s="2" t="s">
        <v>569</v>
      </c>
      <c r="D1658" s="2" t="str">
        <f t="shared" si="24"/>
        <v>Error?</v>
      </c>
    </row>
    <row r="1659" spans="1:4" x14ac:dyDescent="0.2">
      <c r="A1659" s="5">
        <v>1598</v>
      </c>
      <c r="B1659" s="1832">
        <f>'Acct Summary 7-8'!F79</f>
        <v>1230959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1029598</v>
      </c>
      <c r="C1672" s="2" t="s">
        <v>569</v>
      </c>
      <c r="D1672" s="2" t="str">
        <f t="shared" si="25"/>
        <v>Error?</v>
      </c>
    </row>
    <row r="1673" spans="1:4" x14ac:dyDescent="0.2">
      <c r="A1673" s="5">
        <v>1612</v>
      </c>
      <c r="B1673" s="1832">
        <f>'Acct Summary 7-8'!G79</f>
        <v>228368</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238264</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2552425</v>
      </c>
      <c r="C1744" s="2" t="s">
        <v>569</v>
      </c>
      <c r="D1744" s="2" t="str">
        <f t="shared" si="26"/>
        <v>Error?</v>
      </c>
    </row>
    <row r="1745" spans="1:5" x14ac:dyDescent="0.2">
      <c r="A1745" s="5">
        <v>1684</v>
      </c>
      <c r="B1745" s="1832">
        <f>'Tax Sched 23'!B5</f>
        <v>362155</v>
      </c>
      <c r="C1745" s="2" t="s">
        <v>569</v>
      </c>
      <c r="D1745" s="2" t="str">
        <f t="shared" si="26"/>
        <v>Error?</v>
      </c>
    </row>
    <row r="1746" spans="1:5" x14ac:dyDescent="0.2">
      <c r="A1746" s="5">
        <v>1685</v>
      </c>
      <c r="B1746" s="1832">
        <f>'Tax Sched 23'!B6</f>
        <v>783130</v>
      </c>
      <c r="C1746" s="2" t="s">
        <v>569</v>
      </c>
      <c r="D1746" s="2" t="str">
        <f t="shared" si="26"/>
        <v>Error?</v>
      </c>
    </row>
    <row r="1747" spans="1:5" x14ac:dyDescent="0.2">
      <c r="A1747" s="5">
        <v>1686</v>
      </c>
      <c r="B1747" s="1832">
        <f>'Tax Sched 23'!B7</f>
        <v>173834</v>
      </c>
      <c r="C1747" s="2" t="s">
        <v>569</v>
      </c>
      <c r="D1747" s="2" t="str">
        <f t="shared" si="26"/>
        <v>Error?</v>
      </c>
    </row>
    <row r="1748" spans="1:5" x14ac:dyDescent="0.2">
      <c r="A1748" s="5">
        <v>1687</v>
      </c>
      <c r="B1748" s="1832">
        <f>'Tax Sched 23'!B8</f>
        <v>128491</v>
      </c>
      <c r="C1748" s="2" t="s">
        <v>569</v>
      </c>
      <c r="D1748" s="2" t="str">
        <f t="shared" si="26"/>
        <v>Error?</v>
      </c>
    </row>
    <row r="1749" spans="1:5" x14ac:dyDescent="0.2">
      <c r="A1749" s="5">
        <v>1688</v>
      </c>
      <c r="B1749" s="1832">
        <f>'Tax Sched 23'!B10</f>
        <v>72432</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437194</v>
      </c>
      <c r="C1752" s="2" t="s">
        <v>569</v>
      </c>
      <c r="D1752" s="2" t="str">
        <f t="shared" si="26"/>
        <v>Error?</v>
      </c>
    </row>
    <row r="1753" spans="1:5" x14ac:dyDescent="0.2">
      <c r="A1753" s="5">
        <v>1692</v>
      </c>
      <c r="B1753" s="1832">
        <f>'Tax Sched 23'!B12</f>
        <v>72432</v>
      </c>
      <c r="C1753" s="2" t="s">
        <v>569</v>
      </c>
      <c r="D1753" s="2" t="str">
        <f t="shared" si="26"/>
        <v>Error?</v>
      </c>
    </row>
    <row r="1754" spans="1:5" x14ac:dyDescent="0.2">
      <c r="A1754" s="5">
        <v>1693</v>
      </c>
      <c r="B1754" s="1832">
        <f>'Tax Sched 23'!B14</f>
        <v>28975</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4812717</v>
      </c>
      <c r="C1759" s="2" t="s">
        <v>569</v>
      </c>
      <c r="D1759" s="2" t="str">
        <f t="shared" si="26"/>
        <v>Error?</v>
      </c>
    </row>
    <row r="1760" spans="1:5" x14ac:dyDescent="0.2">
      <c r="A1760" s="5">
        <v>1699</v>
      </c>
      <c r="B1760" s="1832">
        <f>'Tax Sched 23'!D4</f>
        <v>2552425</v>
      </c>
      <c r="C1760" s="2" t="s">
        <v>569</v>
      </c>
      <c r="D1760" s="2" t="str">
        <f t="shared" si="26"/>
        <v>Error?</v>
      </c>
    </row>
    <row r="1761" spans="1:7" x14ac:dyDescent="0.2">
      <c r="A1761" s="5">
        <v>1700</v>
      </c>
      <c r="B1761" s="1832">
        <f>'Tax Sched 23'!D5</f>
        <v>362155</v>
      </c>
      <c r="C1761" s="2" t="s">
        <v>569</v>
      </c>
      <c r="D1761" s="2" t="str">
        <f t="shared" si="26"/>
        <v>Error?</v>
      </c>
    </row>
    <row r="1762" spans="1:7" s="8" customFormat="1" x14ac:dyDescent="0.2">
      <c r="A1762" s="5">
        <v>1701</v>
      </c>
      <c r="B1762" s="1832">
        <f>'Tax Sched 23'!D6</f>
        <v>783130</v>
      </c>
      <c r="C1762" s="2" t="s">
        <v>569</v>
      </c>
      <c r="D1762" s="2" t="str">
        <f t="shared" si="26"/>
        <v>Error?</v>
      </c>
      <c r="E1762" s="9"/>
      <c r="G1762"/>
    </row>
    <row r="1763" spans="1:7" x14ac:dyDescent="0.2">
      <c r="A1763" s="5">
        <v>1702</v>
      </c>
      <c r="B1763" s="1832">
        <f>'Tax Sched 23'!D7</f>
        <v>173834</v>
      </c>
      <c r="C1763" s="2" t="s">
        <v>569</v>
      </c>
      <c r="D1763" s="2" t="str">
        <f t="shared" si="26"/>
        <v>Error?</v>
      </c>
    </row>
    <row r="1764" spans="1:7" x14ac:dyDescent="0.2">
      <c r="A1764" s="5">
        <v>1703</v>
      </c>
      <c r="B1764" s="1832">
        <f>'Tax Sched 23'!D8</f>
        <v>128491</v>
      </c>
      <c r="C1764" s="2" t="s">
        <v>569</v>
      </c>
      <c r="D1764" s="2" t="str">
        <f t="shared" si="26"/>
        <v>Error?</v>
      </c>
    </row>
    <row r="1765" spans="1:7" x14ac:dyDescent="0.2">
      <c r="A1765" s="5">
        <v>1704</v>
      </c>
      <c r="B1765" s="1832">
        <f>'Tax Sched 23'!D10</f>
        <v>72432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437194</v>
      </c>
      <c r="C1768" s="2" t="s">
        <v>569</v>
      </c>
      <c r="D1768" s="2" t="str">
        <f t="shared" si="26"/>
        <v>Error?</v>
      </c>
    </row>
    <row r="1769" spans="1:7" x14ac:dyDescent="0.2">
      <c r="A1769" s="5">
        <v>1708</v>
      </c>
      <c r="B1769" s="1832">
        <f>'Tax Sched 23'!D12</f>
        <v>72432</v>
      </c>
      <c r="C1769" s="2" t="s">
        <v>569</v>
      </c>
      <c r="D1769" s="2" t="str">
        <f t="shared" si="26"/>
        <v>Error?</v>
      </c>
    </row>
    <row r="1770" spans="1:7" x14ac:dyDescent="0.2">
      <c r="A1770" s="5">
        <v>1709</v>
      </c>
      <c r="B1770" s="1832">
        <f>'Tax Sched 23'!D14</f>
        <v>28975</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4812717</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3442363</v>
      </c>
      <c r="C1792" s="2" t="s">
        <v>569</v>
      </c>
      <c r="D1792" s="2" t="str">
        <f t="shared" si="27"/>
        <v>Error?</v>
      </c>
    </row>
    <row r="1793" spans="1:4" x14ac:dyDescent="0.2">
      <c r="A1793" s="5">
        <v>1732</v>
      </c>
      <c r="B1793" s="1832">
        <f>'Tax Sched 23'!F5</f>
        <v>488972</v>
      </c>
      <c r="C1793" s="2" t="s">
        <v>569</v>
      </c>
      <c r="D1793" s="2" t="str">
        <f t="shared" si="27"/>
        <v>Error?</v>
      </c>
    </row>
    <row r="1794" spans="1:4" x14ac:dyDescent="0.2">
      <c r="A1794" s="5">
        <v>1733</v>
      </c>
      <c r="B1794" s="1832">
        <f>'Tax Sched 23'!F6</f>
        <v>1057353</v>
      </c>
      <c r="C1794" s="2" t="s">
        <v>569</v>
      </c>
      <c r="D1794" s="2" t="str">
        <f t="shared" si="27"/>
        <v>Error?</v>
      </c>
    </row>
    <row r="1795" spans="1:4" x14ac:dyDescent="0.2">
      <c r="A1795" s="5">
        <v>1734</v>
      </c>
      <c r="B1795" s="1832">
        <f>'Tax Sched 23'!F7</f>
        <v>234707</v>
      </c>
      <c r="C1795" s="2" t="s">
        <v>569</v>
      </c>
      <c r="D1795" s="2" t="str">
        <f t="shared" si="27"/>
        <v>Error?</v>
      </c>
    </row>
    <row r="1796" spans="1:4" x14ac:dyDescent="0.2">
      <c r="A1796" s="5">
        <v>1735</v>
      </c>
      <c r="B1796" s="1832">
        <f>'Tax Sched 23'!F8</f>
        <v>173487</v>
      </c>
      <c r="C1796" s="2" t="s">
        <v>569</v>
      </c>
      <c r="D1796" s="2" t="str">
        <f t="shared" si="27"/>
        <v>Error?</v>
      </c>
    </row>
    <row r="1797" spans="1:4" x14ac:dyDescent="0.2">
      <c r="A1797" s="5">
        <v>1736</v>
      </c>
      <c r="B1797" s="1832">
        <f>'Tax Sched 23'!F10</f>
        <v>97794</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590287</v>
      </c>
      <c r="C1800" s="2" t="s">
        <v>569</v>
      </c>
      <c r="D1800" s="2" t="str">
        <f t="shared" si="27"/>
        <v>Error?</v>
      </c>
    </row>
    <row r="1801" spans="1:4" x14ac:dyDescent="0.2">
      <c r="A1801" s="5">
        <v>1740</v>
      </c>
      <c r="B1801" s="1832">
        <f>'Tax Sched 23'!F12</f>
        <v>97794</v>
      </c>
      <c r="C1801" s="2" t="s">
        <v>569</v>
      </c>
      <c r="D1801" s="2" t="str">
        <f t="shared" si="27"/>
        <v>Error?</v>
      </c>
    </row>
    <row r="1802" spans="1:4" x14ac:dyDescent="0.2">
      <c r="A1802" s="5">
        <v>1741</v>
      </c>
      <c r="B1802" s="1832">
        <f>'Tax Sched 23'!F14</f>
        <v>39118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6494134</v>
      </c>
      <c r="C1807" s="2" t="s">
        <v>569</v>
      </c>
      <c r="D1807" s="2" t="str">
        <f t="shared" si="27"/>
        <v>Error?</v>
      </c>
    </row>
    <row r="1808" spans="1:4" x14ac:dyDescent="0.2">
      <c r="A1808" s="5">
        <v>1747</v>
      </c>
      <c r="B1808" s="1832">
        <f>'Tax Sched 23'!E4</f>
        <v>3442363</v>
      </c>
      <c r="D1808" s="2" t="str">
        <f t="shared" si="27"/>
        <v>Error?</v>
      </c>
    </row>
    <row r="1809" spans="1:4" x14ac:dyDescent="0.2">
      <c r="A1809" s="5">
        <v>1748</v>
      </c>
      <c r="B1809" s="1832">
        <f>'Tax Sched 23'!E5</f>
        <v>488972</v>
      </c>
      <c r="D1809" s="2" t="str">
        <f t="shared" si="27"/>
        <v>Error?</v>
      </c>
    </row>
    <row r="1810" spans="1:4" x14ac:dyDescent="0.2">
      <c r="A1810" s="5">
        <v>1749</v>
      </c>
      <c r="B1810" s="1832">
        <f>'Tax Sched 23'!E6</f>
        <v>1057353</v>
      </c>
      <c r="D1810" s="2" t="str">
        <f t="shared" si="27"/>
        <v>Error?</v>
      </c>
    </row>
    <row r="1811" spans="1:4" x14ac:dyDescent="0.2">
      <c r="A1811" s="5">
        <v>1750</v>
      </c>
      <c r="B1811" s="1832">
        <f>'Tax Sched 23'!E7</f>
        <v>234707</v>
      </c>
      <c r="D1811" s="2" t="str">
        <f t="shared" si="27"/>
        <v>Error?</v>
      </c>
    </row>
    <row r="1812" spans="1:4" x14ac:dyDescent="0.2">
      <c r="A1812" s="5">
        <v>1751</v>
      </c>
      <c r="B1812" s="1832">
        <f>'Tax Sched 23'!E8</f>
        <v>173487</v>
      </c>
      <c r="D1812" s="2" t="str">
        <f t="shared" si="27"/>
        <v>Error?</v>
      </c>
    </row>
    <row r="1813" spans="1:4" x14ac:dyDescent="0.2">
      <c r="A1813" s="5">
        <v>1752</v>
      </c>
      <c r="B1813" s="1832">
        <f>'Tax Sched 23'!E10</f>
        <v>97794</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590287</v>
      </c>
      <c r="D1816" s="2" t="str">
        <f t="shared" si="27"/>
        <v>Error?</v>
      </c>
    </row>
    <row r="1817" spans="1:4" x14ac:dyDescent="0.2">
      <c r="A1817" s="5">
        <v>1756</v>
      </c>
      <c r="B1817" s="1832">
        <f>'Tax Sched 23'!E12</f>
        <v>97794</v>
      </c>
      <c r="D1817" s="2" t="str">
        <f t="shared" si="27"/>
        <v>Error?</v>
      </c>
    </row>
    <row r="1818" spans="1:4" x14ac:dyDescent="0.2">
      <c r="A1818" s="5">
        <v>1757</v>
      </c>
      <c r="B1818" s="1832">
        <f>'Tax Sched 23'!E14</f>
        <v>39118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6494134</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7558000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28975</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28975</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28975</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474102</v>
      </c>
      <c r="D2008" s="2" t="str">
        <f t="shared" si="30"/>
        <v>Error?</v>
      </c>
    </row>
    <row r="2009" spans="1:4" x14ac:dyDescent="0.2">
      <c r="A2009" s="5">
        <v>1948</v>
      </c>
      <c r="B2009" s="1832">
        <f>'Cap Outlay Deprec 26'!C8</f>
        <v>17213903</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68709</v>
      </c>
      <c r="D2011" s="2" t="str">
        <f t="shared" si="30"/>
        <v>Error?</v>
      </c>
    </row>
    <row r="2012" spans="1:4" x14ac:dyDescent="0.2">
      <c r="A2012" s="5">
        <v>1951</v>
      </c>
      <c r="B2012" s="1832">
        <f>'Cap Outlay Deprec 26'!C13</f>
        <v>1110948</v>
      </c>
      <c r="D2012" s="2" t="str">
        <f t="shared" si="30"/>
        <v>Error?</v>
      </c>
    </row>
    <row r="2013" spans="1:4" x14ac:dyDescent="0.2">
      <c r="A2013" s="5">
        <v>1952</v>
      </c>
      <c r="B2013" s="1832">
        <f>'Cap Outlay Deprec 26'!C16</f>
        <v>18867662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116891</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154060</v>
      </c>
      <c r="D2018" s="2" t="str">
        <f t="shared" si="30"/>
        <v>Error?</v>
      </c>
    </row>
    <row r="2019" spans="1:4" x14ac:dyDescent="0.2">
      <c r="A2019" s="5">
        <v>1958</v>
      </c>
      <c r="B2019" s="1832">
        <f>'Cap Outlay Deprec 26'!D16</f>
        <v>270951</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116000</v>
      </c>
      <c r="D2024" s="2" t="str">
        <f t="shared" si="30"/>
        <v>Error?</v>
      </c>
    </row>
    <row r="2025" spans="1:4" x14ac:dyDescent="0.2">
      <c r="A2025" s="5">
        <v>1964</v>
      </c>
      <c r="B2025" s="1832">
        <f>'Cap Outlay Deprec 26'!E16</f>
        <v>116000</v>
      </c>
      <c r="C2025" s="2" t="s">
        <v>569</v>
      </c>
      <c r="D2025" s="2" t="str">
        <f t="shared" si="30"/>
        <v>Error?</v>
      </c>
    </row>
    <row r="2026" spans="1:4" x14ac:dyDescent="0.2">
      <c r="A2026" s="5">
        <v>1965</v>
      </c>
      <c r="B2026" s="1832">
        <f>'Cap Outlay Deprec 26'!F5</f>
        <v>474102</v>
      </c>
      <c r="C2026" s="2" t="s">
        <v>569</v>
      </c>
      <c r="D2026" s="2" t="str">
        <f t="shared" si="30"/>
        <v>Error?</v>
      </c>
    </row>
    <row r="2027" spans="1:4" x14ac:dyDescent="0.2">
      <c r="A2027" s="5">
        <v>1966</v>
      </c>
      <c r="B2027" s="1832">
        <f>'Cap Outlay Deprec 26'!F8</f>
        <v>17330794</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68709</v>
      </c>
      <c r="C2029" s="2" t="s">
        <v>569</v>
      </c>
      <c r="D2029" s="2" t="str">
        <f t="shared" si="30"/>
        <v>Error?</v>
      </c>
    </row>
    <row r="2030" spans="1:4" x14ac:dyDescent="0.2">
      <c r="A2030" s="5">
        <v>1969</v>
      </c>
      <c r="B2030" s="1832">
        <f>'Cap Outlay Deprec 26'!F13</f>
        <v>1149008</v>
      </c>
      <c r="C2030" s="2" t="s">
        <v>569</v>
      </c>
      <c r="D2030" s="2" t="str">
        <f t="shared" si="30"/>
        <v>Error?</v>
      </c>
    </row>
    <row r="2031" spans="1:4" x14ac:dyDescent="0.2">
      <c r="A2031" s="5">
        <v>1970</v>
      </c>
      <c r="B2031" s="1832">
        <f>'Cap Outlay Deprec 26'!F16</f>
        <v>19022613</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6434009</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68709</v>
      </c>
      <c r="D2035" s="2" t="str">
        <f t="shared" si="30"/>
        <v>Error?</v>
      </c>
    </row>
    <row r="2036" spans="1:4" x14ac:dyDescent="0.2">
      <c r="A2036" s="5">
        <v>1975</v>
      </c>
      <c r="B2036" s="1832">
        <f>'Cap Outlay Deprec 26'!H13</f>
        <v>945025</v>
      </c>
      <c r="D2036" s="2" t="str">
        <f t="shared" si="30"/>
        <v>Error?</v>
      </c>
    </row>
    <row r="2037" spans="1:4" x14ac:dyDescent="0.2">
      <c r="A2037" s="5">
        <v>1976</v>
      </c>
      <c r="B2037" s="1832">
        <f>'Cap Outlay Deprec 26'!H16</f>
        <v>7447743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368419</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0</v>
      </c>
      <c r="D2041" s="2" t="str">
        <f t="shared" si="30"/>
        <v>Error?</v>
      </c>
    </row>
    <row r="2042" spans="1:4" x14ac:dyDescent="0.2">
      <c r="A2042" s="5">
        <v>1981</v>
      </c>
      <c r="B2042" s="1832">
        <f>'Cap Outlay Deprec 26'!I13</f>
        <v>92824</v>
      </c>
      <c r="D2042" s="2" t="str">
        <f t="shared" si="30"/>
        <v>Error?</v>
      </c>
    </row>
    <row r="2043" spans="1:4" x14ac:dyDescent="0.2">
      <c r="A2043" s="5">
        <v>1982</v>
      </c>
      <c r="B2043" s="1832">
        <f>'Cap Outlay Deprec 26'!I16</f>
        <v>461243</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116000</v>
      </c>
      <c r="D2048" s="2" t="str">
        <f t="shared" si="31"/>
        <v>Error?</v>
      </c>
    </row>
    <row r="2049" spans="1:4" x14ac:dyDescent="0.2">
      <c r="A2049" s="5">
        <v>1988</v>
      </c>
      <c r="B2049" s="1832">
        <f>'Cap Outlay Deprec 26'!J16</f>
        <v>116000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6802428</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68709</v>
      </c>
      <c r="C2053" s="2" t="s">
        <v>569</v>
      </c>
      <c r="D2053" s="2" t="str">
        <f t="shared" si="31"/>
        <v>Error?</v>
      </c>
    </row>
    <row r="2054" spans="1:4" x14ac:dyDescent="0.2">
      <c r="A2054" s="5">
        <v>1993</v>
      </c>
      <c r="B2054" s="1832">
        <f>'Cap Outlay Deprec 26'!K13</f>
        <v>921849</v>
      </c>
      <c r="C2054" s="2" t="s">
        <v>569</v>
      </c>
      <c r="D2054" s="2" t="str">
        <f t="shared" si="31"/>
        <v>Error?</v>
      </c>
    </row>
    <row r="2055" spans="1:4" x14ac:dyDescent="0.2">
      <c r="A2055" s="5">
        <v>1994</v>
      </c>
      <c r="B2055" s="1832">
        <f>'Cap Outlay Deprec 26'!K16</f>
        <v>7792986</v>
      </c>
      <c r="C2055" s="2" t="s">
        <v>569</v>
      </c>
      <c r="D2055" s="2" t="str">
        <f t="shared" si="31"/>
        <v>Error?</v>
      </c>
    </row>
    <row r="2056" spans="1:4" x14ac:dyDescent="0.2">
      <c r="A2056" s="5">
        <v>1995</v>
      </c>
      <c r="B2056" s="1832">
        <f>'Cap Outlay Deprec 26'!L5</f>
        <v>474102</v>
      </c>
      <c r="C2056" s="2" t="s">
        <v>569</v>
      </c>
      <c r="D2056" s="2" t="str">
        <f t="shared" si="31"/>
        <v>Error?</v>
      </c>
    </row>
    <row r="2057" spans="1:4" x14ac:dyDescent="0.2">
      <c r="A2057" s="5">
        <v>1996</v>
      </c>
      <c r="B2057" s="1832">
        <f>'Cap Outlay Deprec 26'!L8</f>
        <v>10528366</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0</v>
      </c>
      <c r="C2059" s="2" t="s">
        <v>569</v>
      </c>
      <c r="D2059" s="2" t="str">
        <f t="shared" si="31"/>
        <v>Error?</v>
      </c>
    </row>
    <row r="2060" spans="1:4" x14ac:dyDescent="0.2">
      <c r="A2060" s="5">
        <v>1999</v>
      </c>
      <c r="B2060" s="1832">
        <f>'Cap Outlay Deprec 26'!L13</f>
        <v>227159</v>
      </c>
      <c r="C2060" s="2" t="s">
        <v>569</v>
      </c>
      <c r="D2060" s="2" t="str">
        <f t="shared" si="31"/>
        <v>Error?</v>
      </c>
    </row>
    <row r="2061" spans="1:4" x14ac:dyDescent="0.2">
      <c r="A2061" s="5">
        <v>2000</v>
      </c>
      <c r="B2061" s="1832">
        <f>'Cap Outlay Deprec 26'!L16</f>
        <v>11229627</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232796</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68921</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68921</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700000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1029598</v>
      </c>
      <c r="D2475" s="2" t="str">
        <f t="shared" si="37"/>
        <v>Error?</v>
      </c>
    </row>
    <row r="2476" spans="1:4" x14ac:dyDescent="0.2">
      <c r="A2476" s="10">
        <v>2415</v>
      </c>
      <c r="B2476" s="1832"/>
      <c r="D2476" s="2" t="str">
        <f t="shared" si="37"/>
        <v>OK</v>
      </c>
    </row>
    <row r="2477" spans="1:4" x14ac:dyDescent="0.2">
      <c r="A2477" s="5">
        <v>2416</v>
      </c>
      <c r="B2477" s="1832">
        <f>'Assets-Liab 5-6'!G38</f>
        <v>238264</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463378</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3208230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1064656</v>
      </c>
      <c r="C2553" s="2" t="s">
        <v>569</v>
      </c>
      <c r="D2553" s="2" t="str">
        <f t="shared" si="38"/>
        <v>Error?</v>
      </c>
    </row>
    <row r="2554" spans="1:4" x14ac:dyDescent="0.2">
      <c r="A2554" s="5">
        <v>2493</v>
      </c>
      <c r="B2554" s="1832">
        <f>'Acct Summary 7-8'!C7</f>
        <v>460108</v>
      </c>
      <c r="C2554" s="2" t="s">
        <v>569</v>
      </c>
      <c r="D2554" s="2" t="str">
        <f t="shared" si="38"/>
        <v>Error?</v>
      </c>
    </row>
    <row r="2555" spans="1:4" x14ac:dyDescent="0.2">
      <c r="A2555" s="5">
        <v>2494</v>
      </c>
      <c r="B2555" s="1832">
        <f>'Acct Summary 7-8'!C8</f>
        <v>4732994</v>
      </c>
      <c r="C2555" s="2" t="s">
        <v>569</v>
      </c>
      <c r="D2555" s="2" t="str">
        <f t="shared" si="38"/>
        <v>Error?</v>
      </c>
    </row>
    <row r="2556" spans="1:4" x14ac:dyDescent="0.2">
      <c r="A2556" s="5">
        <v>2495</v>
      </c>
      <c r="B2556" s="1832">
        <f>'Acct Summary 7-8'!C12</f>
        <v>4777696</v>
      </c>
      <c r="C2556" s="2" t="s">
        <v>569</v>
      </c>
      <c r="D2556" s="2" t="str">
        <f t="shared" si="38"/>
        <v>Error?</v>
      </c>
    </row>
    <row r="2557" spans="1:4" x14ac:dyDescent="0.2">
      <c r="A2557" s="5">
        <v>2496</v>
      </c>
      <c r="B2557" s="1832">
        <f>'Acct Summary 7-8'!C13</f>
        <v>927100</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232796</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5937592</v>
      </c>
      <c r="C2561" s="2" t="s">
        <v>569</v>
      </c>
      <c r="D2561" s="2" t="str">
        <f t="shared" si="39"/>
        <v>Error?</v>
      </c>
    </row>
    <row r="2562" spans="1:4" x14ac:dyDescent="0.2">
      <c r="A2562" s="5">
        <v>2501</v>
      </c>
      <c r="B2562" s="1832">
        <f>'Acct Summary 7-8'!C20</f>
        <v>-1204598</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560729</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610729</v>
      </c>
      <c r="C2568" s="2" t="s">
        <v>569</v>
      </c>
      <c r="D2568" s="2" t="str">
        <f t="shared" si="39"/>
        <v>Error?</v>
      </c>
    </row>
    <row r="2569" spans="1:4" x14ac:dyDescent="0.2">
      <c r="A2569" s="5">
        <v>2508</v>
      </c>
      <c r="B2569" s="1832">
        <f>'Acct Summary 7-8'!D13</f>
        <v>626670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68921</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695591</v>
      </c>
      <c r="C2573" s="2" t="s">
        <v>569</v>
      </c>
      <c r="D2573" s="2" t="str">
        <f t="shared" si="39"/>
        <v>Error?</v>
      </c>
    </row>
    <row r="2574" spans="1:4" x14ac:dyDescent="0.2">
      <c r="A2574" s="5">
        <v>2513</v>
      </c>
      <c r="B2574" s="1832">
        <f>'Acct Summary 7-8'!D20</f>
        <v>-84862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175896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26288</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202184</v>
      </c>
      <c r="C2595" s="2" t="s">
        <v>569</v>
      </c>
      <c r="D2595" s="2" t="str">
        <f t="shared" si="39"/>
        <v>Error?</v>
      </c>
    </row>
    <row r="2596" spans="1:4" x14ac:dyDescent="0.2">
      <c r="A2596" s="5">
        <v>2535</v>
      </c>
      <c r="B2596" s="1832">
        <f>'Acct Summary 7-8'!F13</f>
        <v>382212</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21333</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403545</v>
      </c>
      <c r="C2600" s="2" t="s">
        <v>569</v>
      </c>
      <c r="D2600" s="2" t="str">
        <f t="shared" si="39"/>
        <v>Error?</v>
      </c>
    </row>
    <row r="2601" spans="1:4" x14ac:dyDescent="0.2">
      <c r="A2601" s="5">
        <v>2540</v>
      </c>
      <c r="B2601" s="1832">
        <f>'Acct Summary 7-8'!F20</f>
        <v>-201361</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257708</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257708</v>
      </c>
      <c r="C2606" s="2" t="s">
        <v>569</v>
      </c>
      <c r="D2606" s="2" t="str">
        <f t="shared" si="39"/>
        <v>Error?</v>
      </c>
    </row>
    <row r="2607" spans="1:4" x14ac:dyDescent="0.2">
      <c r="A2607" s="5">
        <v>2546</v>
      </c>
      <c r="B2607" s="1832">
        <f>'Acct Summary 7-8'!G12</f>
        <v>120583</v>
      </c>
      <c r="C2607" s="2" t="s">
        <v>569</v>
      </c>
      <c r="D2607" s="2" t="str">
        <f t="shared" si="39"/>
        <v>Error?</v>
      </c>
    </row>
    <row r="2608" spans="1:4" x14ac:dyDescent="0.2">
      <c r="A2608" s="5">
        <v>2547</v>
      </c>
      <c r="B2608" s="1832">
        <f>'Acct Summary 7-8'!G13</f>
        <v>127229</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247812</v>
      </c>
      <c r="C2612" s="2" t="s">
        <v>569</v>
      </c>
      <c r="D2612" s="2" t="str">
        <f t="shared" si="39"/>
        <v>Error?</v>
      </c>
    </row>
    <row r="2613" spans="1:4" x14ac:dyDescent="0.2">
      <c r="A2613" s="5">
        <v>2552</v>
      </c>
      <c r="B2613" s="1832">
        <f>'Acct Summary 7-8'!G20</f>
        <v>9896</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783130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783130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1088927</v>
      </c>
      <c r="C2634" s="2" t="s">
        <v>569</v>
      </c>
      <c r="D2634" s="2" t="str">
        <f t="shared" si="40"/>
        <v>Error?</v>
      </c>
    </row>
    <row r="2635" spans="1:4" x14ac:dyDescent="0.2">
      <c r="A2635" s="5">
        <v>2574</v>
      </c>
      <c r="B2635" s="1832">
        <f>'Acct Summary 7-8'!E17</f>
        <v>1088927</v>
      </c>
      <c r="C2635" s="2" t="s">
        <v>569</v>
      </c>
      <c r="D2635" s="2" t="str">
        <f t="shared" si="40"/>
        <v>Error?</v>
      </c>
    </row>
    <row r="2636" spans="1:4" x14ac:dyDescent="0.2">
      <c r="A2636" s="5">
        <v>2575</v>
      </c>
      <c r="B2636" s="1832">
        <f>'Acct Summary 7-8'!E20</f>
        <v>-305797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8616</v>
      </c>
      <c r="D2725" s="2" t="str">
        <f t="shared" si="41"/>
        <v>Error?</v>
      </c>
    </row>
    <row r="2726" spans="1:4" x14ac:dyDescent="0.2">
      <c r="A2726" s="5">
        <v>2665</v>
      </c>
      <c r="B2726" s="1832">
        <f>'Expenditures 15-22'!K247</f>
        <v>8616</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232796</v>
      </c>
      <c r="C2789" s="2" t="s">
        <v>569</v>
      </c>
      <c r="D2789" s="2" t="str">
        <f t="shared" si="42"/>
        <v>Error?</v>
      </c>
    </row>
    <row r="2790" spans="1:4" x14ac:dyDescent="0.2">
      <c r="A2790" s="5">
        <v>2729</v>
      </c>
      <c r="B2790" s="1832">
        <f>'Expenditures 15-22'!E102</f>
        <v>232796</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21333</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21333</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21333</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880609</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82390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880609</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880609</v>
      </c>
      <c r="C2913" s="2" t="s">
        <v>569</v>
      </c>
      <c r="D2913" s="2" t="str">
        <f t="shared" si="44"/>
        <v>Error?</v>
      </c>
    </row>
    <row r="2914" spans="1:4" x14ac:dyDescent="0.2">
      <c r="A2914" s="5">
        <v>2853</v>
      </c>
      <c r="B2914" s="1832">
        <f>'Assets-Liab 5-6'!L33</f>
        <v>82390</v>
      </c>
      <c r="D2914" s="2" t="str">
        <f t="shared" si="44"/>
        <v>Error?</v>
      </c>
    </row>
    <row r="2915" spans="1:4" x14ac:dyDescent="0.2">
      <c r="A2915" s="10">
        <v>2854</v>
      </c>
      <c r="B2915" s="1832"/>
      <c r="D2915" s="2" t="str">
        <f t="shared" si="44"/>
        <v>OK</v>
      </c>
    </row>
    <row r="2916" spans="1:4" x14ac:dyDescent="0.2">
      <c r="A2916" s="5">
        <v>2855</v>
      </c>
      <c r="B2916" s="1832">
        <f>'Assets-Liab 5-6'!L34</f>
        <v>82390</v>
      </c>
      <c r="C2916" s="2" t="s">
        <v>569</v>
      </c>
      <c r="D2916" s="2" t="str">
        <f t="shared" si="44"/>
        <v>Error?</v>
      </c>
    </row>
    <row r="2917" spans="1:4" x14ac:dyDescent="0.2">
      <c r="A2917" s="5">
        <v>2856</v>
      </c>
      <c r="B2917" s="1832">
        <f>'Assets-Liab 5-6'!L41</f>
        <v>82390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232796</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232796</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68921</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68921</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21333</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21333</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258639</v>
      </c>
      <c r="D3055" s="2" t="str">
        <f t="shared" si="46"/>
        <v>Error?</v>
      </c>
    </row>
    <row r="3056" spans="1:4" x14ac:dyDescent="0.2">
      <c r="A3056" s="5">
        <v>2995</v>
      </c>
      <c r="B3056" s="1832">
        <f>'Expenditures 15-22'!D10</f>
        <v>39771</v>
      </c>
      <c r="D3056" s="2" t="str">
        <f t="shared" si="46"/>
        <v>Error?</v>
      </c>
    </row>
    <row r="3057" spans="1:4" x14ac:dyDescent="0.2">
      <c r="A3057" s="5">
        <v>2996</v>
      </c>
      <c r="B3057" s="1832">
        <f>'Expenditures 15-22'!E10</f>
        <v>13435</v>
      </c>
      <c r="D3057" s="2" t="str">
        <f t="shared" si="46"/>
        <v>Error?</v>
      </c>
    </row>
    <row r="3058" spans="1:4" x14ac:dyDescent="0.2">
      <c r="A3058" s="5">
        <v>2997</v>
      </c>
      <c r="B3058" s="1832">
        <f>'Expenditures 15-22'!F10</f>
        <v>8275</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320120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17848</v>
      </c>
      <c r="D3064" s="2" t="str">
        <f t="shared" si="46"/>
        <v>Error?</v>
      </c>
    </row>
    <row r="3065" spans="1:4" x14ac:dyDescent="0.2">
      <c r="A3065" s="5">
        <v>3004</v>
      </c>
      <c r="B3065" s="1832">
        <f>'Expenditures 15-22'!K219</f>
        <v>17848</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72432</v>
      </c>
      <c r="C3225" s="2" t="s">
        <v>569</v>
      </c>
      <c r="D3225" s="2" t="str">
        <f t="shared" si="49"/>
        <v>Error?</v>
      </c>
    </row>
    <row r="3226" spans="1:4" x14ac:dyDescent="0.2">
      <c r="A3226" s="5">
        <v>3165</v>
      </c>
      <c r="B3226" s="1832">
        <f>'Acct Summary 7-8'!I8</f>
        <v>72432</v>
      </c>
      <c r="C3226" s="2" t="s">
        <v>569</v>
      </c>
      <c r="D3226" s="2" t="str">
        <f t="shared" si="49"/>
        <v>Error?</v>
      </c>
    </row>
    <row r="3227" spans="1:4" x14ac:dyDescent="0.2">
      <c r="A3227" s="5">
        <v>3166</v>
      </c>
      <c r="B3227" s="1832">
        <f>'Acct Summary 7-8'!I20</f>
        <v>72432</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500000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500000</v>
      </c>
      <c r="C3232" s="2" t="s">
        <v>569</v>
      </c>
      <c r="D3232" s="2" t="str">
        <f t="shared" si="49"/>
        <v>Error?</v>
      </c>
    </row>
    <row r="3233" spans="1:4" x14ac:dyDescent="0.2">
      <c r="A3233" s="5">
        <v>3172</v>
      </c>
      <c r="B3233" s="1832">
        <f>'Acct Summary 7-8'!C78</f>
        <v>-704598</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200000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21252</v>
      </c>
      <c r="C3237" s="2" t="s">
        <v>569</v>
      </c>
      <c r="D3237" s="2" t="str">
        <f t="shared" si="49"/>
        <v>Error?</v>
      </c>
    </row>
    <row r="3238" spans="1:4" x14ac:dyDescent="0.2">
      <c r="A3238" s="5">
        <v>3177</v>
      </c>
      <c r="B3238" s="1832">
        <f>'Acct Summary 7-8'!D77</f>
        <v>178748</v>
      </c>
      <c r="C3238" s="2" t="s">
        <v>569</v>
      </c>
      <c r="D3238" s="2" t="str">
        <f t="shared" si="49"/>
        <v>Error?</v>
      </c>
    </row>
    <row r="3239" spans="1:4" x14ac:dyDescent="0.2">
      <c r="A3239" s="5">
        <v>3178</v>
      </c>
      <c r="B3239" s="1832">
        <f>'Acct Summary 7-8'!D78</f>
        <v>93886</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-201361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9896</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9745</v>
      </c>
      <c r="D3273" s="2" t="str">
        <f t="shared" si="50"/>
        <v>Error?</v>
      </c>
    </row>
    <row r="3274" spans="1:4" x14ac:dyDescent="0.2">
      <c r="A3274" s="5">
        <v>3213</v>
      </c>
      <c r="B3274" s="1832">
        <f>'Acct Summary 7-8'!E44</f>
        <v>30997</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30997</v>
      </c>
      <c r="C3277" s="2" t="s">
        <v>569</v>
      </c>
      <c r="D3277" s="2" t="str">
        <f t="shared" si="50"/>
        <v>Error?</v>
      </c>
    </row>
    <row r="3278" spans="1:4" x14ac:dyDescent="0.2">
      <c r="A3278" s="5">
        <v>3217</v>
      </c>
      <c r="B3278" s="1832">
        <f>'Acct Summary 7-8'!E78</f>
        <v>-274800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700000</v>
      </c>
      <c r="C3318" s="2" t="s">
        <v>569</v>
      </c>
      <c r="D3318" s="2" t="str">
        <f t="shared" si="50"/>
        <v>Error?</v>
      </c>
    </row>
    <row r="3319" spans="1:4" x14ac:dyDescent="0.2">
      <c r="A3319" s="5">
        <v>3258</v>
      </c>
      <c r="B3319" s="1832">
        <f>'Acct Summary 7-8'!I77</f>
        <v>-700000</v>
      </c>
      <c r="C3319" s="2" t="s">
        <v>569</v>
      </c>
      <c r="D3319" s="2" t="str">
        <f t="shared" si="50"/>
        <v>Error?</v>
      </c>
    </row>
    <row r="3320" spans="1:4" x14ac:dyDescent="0.2">
      <c r="A3320" s="5">
        <v>3259</v>
      </c>
      <c r="B3320" s="1832">
        <f>'Acct Summary 7-8'!I78</f>
        <v>-627568</v>
      </c>
      <c r="C3320" s="2" t="s">
        <v>569</v>
      </c>
      <c r="D3320" s="2" t="str">
        <f t="shared" si="50"/>
        <v>Error?</v>
      </c>
    </row>
    <row r="3321" spans="1:4" x14ac:dyDescent="0.2">
      <c r="A3321" s="5">
        <v>3260</v>
      </c>
      <c r="B3321" s="1832">
        <f>'Acct Summary 7-8'!I79</f>
        <v>1508177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880609</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864297</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141462</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2030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1007789</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55921</v>
      </c>
      <c r="D3387" s="2" t="str">
        <f t="shared" si="51"/>
        <v>Error?</v>
      </c>
    </row>
    <row r="3388" spans="1:4" x14ac:dyDescent="0.2">
      <c r="A3388" s="5">
        <v>3327</v>
      </c>
      <c r="B3388" s="1832">
        <f>'Expenditures 15-22'!D217</f>
        <v>22169</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55921</v>
      </c>
      <c r="C3390" s="2" t="s">
        <v>569</v>
      </c>
      <c r="D3390" s="2" t="str">
        <f t="shared" si="51"/>
        <v>Error?</v>
      </c>
    </row>
    <row r="3391" spans="1:4" x14ac:dyDescent="0.2">
      <c r="A3391" s="5">
        <v>3330</v>
      </c>
      <c r="B3391" s="1832">
        <f>'Expenditures 15-22'!K217</f>
        <v>22169</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526675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322928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463378</v>
      </c>
      <c r="D3417" s="2" t="str">
        <f t="shared" si="52"/>
        <v>Error?</v>
      </c>
    </row>
    <row r="3418" spans="1:4" x14ac:dyDescent="0.2">
      <c r="A3418" s="10">
        <v>3357</v>
      </c>
      <c r="B3418" s="1832"/>
      <c r="D3418" s="2" t="str">
        <f t="shared" si="52"/>
        <v>OK</v>
      </c>
    </row>
    <row r="3419" spans="1:4" x14ac:dyDescent="0.2">
      <c r="A3419" s="5">
        <v>3358</v>
      </c>
      <c r="B3419" s="1832">
        <f>'Assets-Liab 5-6'!F4</f>
        <v>1029598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238264</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880609</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82390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129217</v>
      </c>
      <c r="C3446" s="2" t="s">
        <v>569</v>
      </c>
      <c r="D3446" s="2" t="str">
        <f t="shared" si="52"/>
        <v>Error?</v>
      </c>
    </row>
    <row r="3447" spans="1:4" x14ac:dyDescent="0.2">
      <c r="A3447" s="5">
        <v>3386</v>
      </c>
      <c r="B3447" s="1832">
        <f>'Tax Sched 23'!D16</f>
        <v>129217</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174465</v>
      </c>
      <c r="C3449" s="2" t="s">
        <v>569</v>
      </c>
      <c r="D3449" s="2" t="str">
        <f t="shared" si="52"/>
        <v>Error?</v>
      </c>
    </row>
    <row r="3450" spans="1:4" x14ac:dyDescent="0.2">
      <c r="A3450" s="5">
        <v>3389</v>
      </c>
      <c r="B3450" s="1832">
        <f>'Tax Sched 23'!E16</f>
        <v>174465</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64045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64045</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64045</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64045</v>
      </c>
      <c r="C3568" s="2" t="s">
        <v>569</v>
      </c>
      <c r="D3568" s="2" t="str">
        <f t="shared" si="54"/>
        <v>Error?</v>
      </c>
    </row>
    <row r="3569" spans="1:4" x14ac:dyDescent="0.2">
      <c r="A3569" s="5">
        <v>3508</v>
      </c>
      <c r="B3569" s="1832">
        <f>'Acct Summary 7-8'!K4</f>
        <v>72432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72432</v>
      </c>
      <c r="C3571" s="2" t="s">
        <v>569</v>
      </c>
      <c r="D3571" s="2" t="str">
        <f t="shared" si="54"/>
        <v>Error?</v>
      </c>
    </row>
    <row r="3572" spans="1:4" x14ac:dyDescent="0.2">
      <c r="A3572" s="5">
        <v>3511</v>
      </c>
      <c r="B3572" s="1832">
        <f>'Acct Summary 7-8'!K13</f>
        <v>135649</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135649</v>
      </c>
      <c r="C3575" s="2" t="s">
        <v>569</v>
      </c>
      <c r="D3575" s="2" t="str">
        <f t="shared" si="54"/>
        <v>Error?</v>
      </c>
    </row>
    <row r="3576" spans="1:4" x14ac:dyDescent="0.2">
      <c r="A3576" s="5">
        <v>3515</v>
      </c>
      <c r="B3576" s="1832">
        <f>'Acct Summary 7-8'!K20</f>
        <v>-63217</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-63217</v>
      </c>
      <c r="C3588" s="2" t="s">
        <v>569</v>
      </c>
      <c r="D3588" s="2" t="str">
        <f t="shared" si="55"/>
        <v>Error?</v>
      </c>
    </row>
    <row r="3589" spans="1:4" x14ac:dyDescent="0.2">
      <c r="A3589" s="5">
        <v>3528</v>
      </c>
      <c r="B3589" s="1832">
        <f>'Acct Summary 7-8'!K79</f>
        <v>127262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64045</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17231</v>
      </c>
      <c r="D3632" s="2" t="str">
        <f t="shared" si="55"/>
        <v>Error?</v>
      </c>
    </row>
    <row r="3633" spans="1:4" x14ac:dyDescent="0.2">
      <c r="A3633" s="5">
        <v>3572</v>
      </c>
      <c r="B3633" s="1832">
        <f>'Expenditures 15-22'!E350</f>
        <v>17231</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17231</v>
      </c>
      <c r="C3635" s="2" t="s">
        <v>569</v>
      </c>
      <c r="D3635" s="2" t="str">
        <f t="shared" si="55"/>
        <v>Error?</v>
      </c>
    </row>
    <row r="3636" spans="1:4" x14ac:dyDescent="0.2">
      <c r="A3636" s="5">
        <v>3575</v>
      </c>
      <c r="B3636" s="1832">
        <f>'Expenditures 15-22'!E367</f>
        <v>17231</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118418</v>
      </c>
      <c r="D3646" s="2" t="str">
        <f t="shared" si="55"/>
        <v>Error?</v>
      </c>
    </row>
    <row r="3647" spans="1:4" x14ac:dyDescent="0.2">
      <c r="A3647" s="5">
        <v>3586</v>
      </c>
      <c r="B3647" s="1832">
        <f>'Expenditures 15-22'!G350</f>
        <v>118418</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118418</v>
      </c>
      <c r="C3649" s="2" t="s">
        <v>569</v>
      </c>
      <c r="D3649" s="2" t="str">
        <f t="shared" si="56"/>
        <v>Error?</v>
      </c>
    </row>
    <row r="3650" spans="1:4" x14ac:dyDescent="0.2">
      <c r="A3650" s="5">
        <v>3589</v>
      </c>
      <c r="B3650" s="1832">
        <f>'Expenditures 15-22'!G367</f>
        <v>118418</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135649</v>
      </c>
      <c r="C3669" s="2" t="s">
        <v>569</v>
      </c>
      <c r="D3669" s="2" t="str">
        <f t="shared" si="56"/>
        <v>Error?</v>
      </c>
    </row>
    <row r="3670" spans="1:4" x14ac:dyDescent="0.2">
      <c r="A3670" s="5">
        <v>3609</v>
      </c>
      <c r="B3670" s="1832">
        <f>'Expenditures 15-22'!K350</f>
        <v>135649</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135649</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135649</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-63217</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72432</v>
      </c>
      <c r="C3725" s="2" t="s">
        <v>569</v>
      </c>
      <c r="D3725" s="2" t="str">
        <f t="shared" si="57"/>
        <v>Error?</v>
      </c>
    </row>
    <row r="3726" spans="1:4" x14ac:dyDescent="0.2">
      <c r="A3726" s="5">
        <v>3665</v>
      </c>
      <c r="B3726" s="1832">
        <f>'Tax Sched 23'!D13</f>
        <v>72432</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97794</v>
      </c>
      <c r="C3728" s="2" t="s">
        <v>569</v>
      </c>
      <c r="D3728" s="2" t="str">
        <f t="shared" si="57"/>
        <v>Error?</v>
      </c>
    </row>
    <row r="3729" spans="1:4" x14ac:dyDescent="0.2">
      <c r="A3729" s="5">
        <v>3668</v>
      </c>
      <c r="B3729" s="1832">
        <f>'Tax Sched 23'!E13</f>
        <v>97794</v>
      </c>
      <c r="D3729" s="2" t="str">
        <f t="shared" si="57"/>
        <v>Error?</v>
      </c>
    </row>
    <row r="3730" spans="1:4" x14ac:dyDescent="0.2">
      <c r="A3730" s="5">
        <v>3669</v>
      </c>
      <c r="B3730" s="1832">
        <f>'ICR Computation 30'!E10</f>
        <v>251542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3318018</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8051012</v>
      </c>
      <c r="C4122" s="2" t="s">
        <v>569</v>
      </c>
      <c r="D4122" s="2" t="str">
        <f t="shared" si="63"/>
        <v>Error?</v>
      </c>
    </row>
    <row r="4123" spans="1:4" x14ac:dyDescent="0.2">
      <c r="A4123" s="5">
        <v>4062</v>
      </c>
      <c r="B4123" s="1832">
        <f>'Acct Summary 7-8'!D10</f>
        <v>610729</v>
      </c>
      <c r="C4123" s="2" t="s">
        <v>569</v>
      </c>
      <c r="D4123" s="2" t="str">
        <f t="shared" si="63"/>
        <v>Error?</v>
      </c>
    </row>
    <row r="4124" spans="1:4" x14ac:dyDescent="0.2">
      <c r="A4124" s="5">
        <v>4063</v>
      </c>
      <c r="B4124" s="1832">
        <f>'Acct Summary 7-8'!E10</f>
        <v>783130</v>
      </c>
      <c r="C4124" s="2" t="s">
        <v>569</v>
      </c>
      <c r="D4124" s="2" t="str">
        <f t="shared" si="63"/>
        <v>Error?</v>
      </c>
    </row>
    <row r="4125" spans="1:4" x14ac:dyDescent="0.2">
      <c r="A4125" s="5">
        <v>4064</v>
      </c>
      <c r="B4125" s="1832">
        <f>'Acct Summary 7-8'!F10</f>
        <v>202184</v>
      </c>
      <c r="C4125" s="2" t="s">
        <v>569</v>
      </c>
      <c r="D4125" s="2" t="str">
        <f t="shared" si="63"/>
        <v>Error?</v>
      </c>
    </row>
    <row r="4126" spans="1:4" x14ac:dyDescent="0.2">
      <c r="A4126" s="5">
        <v>4065</v>
      </c>
      <c r="B4126" s="1832">
        <f>'Acct Summary 7-8'!G10</f>
        <v>257708</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72432</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72432</v>
      </c>
      <c r="C4130" s="2" t="s">
        <v>569</v>
      </c>
      <c r="D4130" s="2" t="str">
        <f t="shared" si="63"/>
        <v>Error?</v>
      </c>
    </row>
    <row r="4131" spans="1:4" x14ac:dyDescent="0.2">
      <c r="A4131" s="5">
        <v>4070</v>
      </c>
      <c r="B4131" s="1832">
        <f>'Acct Summary 7-8'!C18</f>
        <v>3318018</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9255610</v>
      </c>
      <c r="C4136" s="2" t="s">
        <v>569</v>
      </c>
      <c r="D4136" s="2" t="str">
        <f t="shared" si="63"/>
        <v>Error?</v>
      </c>
    </row>
    <row r="4137" spans="1:4" x14ac:dyDescent="0.2">
      <c r="A4137" s="5">
        <v>4076</v>
      </c>
      <c r="B4137" s="1832">
        <f>'Acct Summary 7-8'!D19</f>
        <v>695591</v>
      </c>
      <c r="C4137" s="2" t="s">
        <v>569</v>
      </c>
      <c r="D4137" s="2" t="str">
        <f t="shared" si="63"/>
        <v>Error?</v>
      </c>
    </row>
    <row r="4138" spans="1:4" x14ac:dyDescent="0.2">
      <c r="A4138" s="5">
        <v>4077</v>
      </c>
      <c r="B4138" s="1832">
        <f>'Acct Summary 7-8'!E19</f>
        <v>1088927</v>
      </c>
      <c r="C4138" s="2" t="s">
        <v>569</v>
      </c>
      <c r="D4138" s="2" t="str">
        <f t="shared" si="63"/>
        <v>Error?</v>
      </c>
    </row>
    <row r="4139" spans="1:4" x14ac:dyDescent="0.2">
      <c r="A4139" s="5">
        <v>4078</v>
      </c>
      <c r="B4139" s="1832">
        <f>'Acct Summary 7-8'!F19</f>
        <v>403545</v>
      </c>
      <c r="C4139" s="2" t="s">
        <v>569</v>
      </c>
      <c r="D4139" s="2" t="str">
        <f t="shared" si="63"/>
        <v>Error?</v>
      </c>
    </row>
    <row r="4140" spans="1:4" x14ac:dyDescent="0.2">
      <c r="A4140" s="5">
        <v>4079</v>
      </c>
      <c r="B4140" s="1832">
        <f>'Acct Summary 7-8'!G19</f>
        <v>247812</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135649</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6672000</v>
      </c>
      <c r="C4171" s="2" t="s">
        <v>569</v>
      </c>
      <c r="D4171" s="2" t="str">
        <f t="shared" si="64"/>
        <v>Error?</v>
      </c>
    </row>
    <row r="4172" spans="1:4" x14ac:dyDescent="0.2">
      <c r="A4172" s="5">
        <v>4111</v>
      </c>
      <c r="B4172" s="1832">
        <f>'Short-Term Long-Term Debt 24'!J49</f>
        <v>6208622</v>
      </c>
      <c r="C4172" s="2" t="s">
        <v>569</v>
      </c>
      <c r="D4172" s="2" t="str">
        <f t="shared" si="64"/>
        <v>Error?</v>
      </c>
    </row>
    <row r="4173" spans="1:4" x14ac:dyDescent="0.2">
      <c r="A4173" s="5">
        <v>4112</v>
      </c>
      <c r="B4173" s="1832">
        <f>'Short-Term Long-Term Debt 24'!H49</f>
        <v>886000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1752.7</v>
      </c>
      <c r="C4265" s="2" t="s">
        <v>569</v>
      </c>
      <c r="D4265" s="2" t="str">
        <f t="shared" si="65"/>
        <v>Error?</v>
      </c>
      <c r="E4265" s="125"/>
    </row>
    <row r="4266" spans="1:5" x14ac:dyDescent="0.2">
      <c r="A4266" s="12">
        <v>4205</v>
      </c>
      <c r="B4266" s="1832">
        <f>('FP Info 3'!F10)*100000</f>
        <v>249</v>
      </c>
      <c r="C4266" s="2" t="s">
        <v>569</v>
      </c>
      <c r="D4266" s="2" t="str">
        <f t="shared" si="65"/>
        <v>Error?</v>
      </c>
      <c r="E4266" s="125"/>
    </row>
    <row r="4267" spans="1:5" x14ac:dyDescent="0.2">
      <c r="A4267" s="12">
        <v>4206</v>
      </c>
      <c r="B4267" s="1832">
        <f>('FP Info 3'!H10)*100000</f>
        <v>119.50000000000001</v>
      </c>
      <c r="C4267" s="2" t="s">
        <v>569</v>
      </c>
      <c r="D4267" s="2" t="str">
        <f t="shared" si="65"/>
        <v>Error?</v>
      </c>
      <c r="E4267" s="125"/>
    </row>
    <row r="4268" spans="1:5" x14ac:dyDescent="0.2">
      <c r="A4268" s="12">
        <v>4207</v>
      </c>
      <c r="B4268" s="1832">
        <f>('FP Info 3'!J10)*100000</f>
        <v>2121</v>
      </c>
      <c r="C4268" s="2" t="s">
        <v>569</v>
      </c>
      <c r="D4268" s="2" t="str">
        <f t="shared" si="65"/>
        <v>Error?</v>
      </c>
    </row>
    <row r="4269" spans="1:5" x14ac:dyDescent="0.2">
      <c r="A4269" s="12">
        <v>4208</v>
      </c>
      <c r="B4269" s="1832">
        <f>'FP Info 3'!J16</f>
        <v>2759810</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80352</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30114</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8067</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4823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49.8</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205036421</v>
      </c>
      <c r="D4995" s="2" t="str">
        <f t="shared" si="77"/>
        <v>Error?</v>
      </c>
    </row>
    <row r="4996" spans="1:4" x14ac:dyDescent="0.2">
      <c r="A4996" s="12">
        <v>4935</v>
      </c>
      <c r="B4996" s="1832">
        <f>'FP Info 3'!H31</f>
        <v>14147513.049000001</v>
      </c>
      <c r="D4996" s="2" t="str">
        <f t="shared" si="77"/>
        <v>Error?</v>
      </c>
    </row>
    <row r="4997" spans="1:4" x14ac:dyDescent="0.2">
      <c r="A4997" s="12">
        <v>4936</v>
      </c>
      <c r="B4997" s="1832">
        <f>'FP Info 3'!H37</f>
        <v>6672000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2552425</v>
      </c>
      <c r="D5061" s="2" t="str">
        <f t="shared" si="78"/>
        <v>Error?</v>
      </c>
    </row>
    <row r="5062" spans="1:4" x14ac:dyDescent="0.2">
      <c r="A5062" s="10">
        <v>5001</v>
      </c>
      <c r="B5062" s="1832"/>
      <c r="D5062" s="2" t="str">
        <f t="shared" si="78"/>
        <v>OK</v>
      </c>
    </row>
    <row r="5063" spans="1:4" x14ac:dyDescent="0.2">
      <c r="A5063" s="5">
        <v>5002</v>
      </c>
      <c r="B5063" s="1832">
        <f>'Revenues 9-14'!C7</f>
        <v>28975</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2581400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71622</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71622</v>
      </c>
      <c r="C5071" s="2" t="s">
        <v>569</v>
      </c>
      <c r="D5071" s="2" t="str">
        <f t="shared" si="78"/>
        <v>Error?</v>
      </c>
    </row>
    <row r="5072" spans="1:4" x14ac:dyDescent="0.2">
      <c r="A5072" s="5">
        <v>5011</v>
      </c>
      <c r="B5072" s="1832">
        <f>'Revenues 9-14'!C20</f>
        <v>172099</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297250</v>
      </c>
      <c r="C5087" s="2" t="s">
        <v>569</v>
      </c>
      <c r="D5087" s="2" t="str">
        <f t="shared" si="78"/>
        <v>Error?</v>
      </c>
    </row>
    <row r="5088" spans="1:4" x14ac:dyDescent="0.2">
      <c r="A5088" s="5">
        <v>5027</v>
      </c>
      <c r="B5088" s="1832">
        <f>'Revenues 9-14'!C65</f>
        <v>67816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67816</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122772</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122772</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12815</v>
      </c>
      <c r="D5101" s="2" t="str">
        <f t="shared" si="78"/>
        <v>Error?</v>
      </c>
    </row>
    <row r="5102" spans="1:4" x14ac:dyDescent="0.2">
      <c r="A5102" s="5">
        <v>5041</v>
      </c>
      <c r="B5102" s="1832">
        <f>'Revenues 9-14'!C82</f>
        <v>12815</v>
      </c>
      <c r="C5102" s="2" t="s">
        <v>569</v>
      </c>
      <c r="D5102" s="2" t="str">
        <f t="shared" si="78"/>
        <v>Error?</v>
      </c>
    </row>
    <row r="5103" spans="1:4" x14ac:dyDescent="0.2">
      <c r="A5103" s="5">
        <v>5042</v>
      </c>
      <c r="B5103" s="1832">
        <f>'Revenues 9-14'!C84</f>
        <v>51650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51650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2905</v>
      </c>
      <c r="D5119" s="2" t="str">
        <f t="shared" ref="D5119:D5182" si="79">IF(ISBLANK(B5119),"OK",IF(A5119-B5119=0,"OK","Error?"))</f>
        <v>Error?</v>
      </c>
    </row>
    <row r="5120" spans="1:4" x14ac:dyDescent="0.2">
      <c r="A5120" s="5">
        <v>5059</v>
      </c>
      <c r="B5120" s="1832">
        <f>'Revenues 9-14'!C108</f>
        <v>2905</v>
      </c>
      <c r="C5120" s="2" t="s">
        <v>569</v>
      </c>
      <c r="D5120" s="2" t="str">
        <f t="shared" si="79"/>
        <v>Error?</v>
      </c>
    </row>
    <row r="5121" spans="1:4" x14ac:dyDescent="0.2">
      <c r="A5121" s="5">
        <v>5060</v>
      </c>
      <c r="B5121" s="1832">
        <f>'Revenues 9-14'!C109</f>
        <v>3208230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1062319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1062319</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1477</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1477</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860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2337</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1064656</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50789</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14816</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145957</v>
      </c>
      <c r="C5246" s="2" t="s">
        <v>569</v>
      </c>
      <c r="D5246" s="2" t="str">
        <f t="shared" si="80"/>
        <v>Error?</v>
      </c>
    </row>
    <row r="5247" spans="1:4" x14ac:dyDescent="0.2">
      <c r="A5247" s="5">
        <v>5186</v>
      </c>
      <c r="B5247" s="1832">
        <f>'Revenues 9-14'!C200</f>
        <v>87736</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8067</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87736</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183411</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183411</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460108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460108</v>
      </c>
      <c r="C5326" s="2" t="s">
        <v>569</v>
      </c>
      <c r="D5326" s="2" t="str">
        <f t="shared" si="82"/>
        <v>Error?</v>
      </c>
    </row>
    <row r="5327" spans="1:5" x14ac:dyDescent="0.2">
      <c r="A5327" s="5">
        <v>5266</v>
      </c>
      <c r="B5327" s="1832">
        <f>'Revenues 9-14'!C268</f>
        <v>4732994</v>
      </c>
      <c r="C5327" s="2" t="s">
        <v>569</v>
      </c>
      <c r="D5327" s="2" t="str">
        <f t="shared" si="82"/>
        <v>Error?</v>
      </c>
    </row>
    <row r="5328" spans="1:5" x14ac:dyDescent="0.2">
      <c r="A5328" s="5">
        <v>5267</v>
      </c>
      <c r="B5328" s="1832">
        <f>'Revenues 9-14'!D5</f>
        <v>362155</v>
      </c>
      <c r="D5328" s="2" t="str">
        <f t="shared" si="82"/>
        <v>Error?</v>
      </c>
    </row>
    <row r="5329" spans="1:4" x14ac:dyDescent="0.2">
      <c r="A5329" s="10">
        <v>5268</v>
      </c>
      <c r="B5329" s="1832"/>
      <c r="D5329" s="2" t="str">
        <f t="shared" si="82"/>
        <v>OK</v>
      </c>
    </row>
    <row r="5330" spans="1:4" x14ac:dyDescent="0.2">
      <c r="A5330" s="5">
        <v>5269</v>
      </c>
      <c r="B5330" s="1832">
        <f>'Revenues 9-14'!D6</f>
        <v>72432</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434587</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126142</v>
      </c>
      <c r="D5354" s="2" t="str">
        <f t="shared" si="82"/>
        <v>Error?</v>
      </c>
    </row>
    <row r="5355" spans="1:4" x14ac:dyDescent="0.2">
      <c r="A5355" s="5">
        <v>5294</v>
      </c>
      <c r="B5355" s="1832">
        <f>'Revenues 9-14'!D108</f>
        <v>126142</v>
      </c>
      <c r="C5355" s="2" t="s">
        <v>569</v>
      </c>
      <c r="D5355" s="2" t="str">
        <f t="shared" si="82"/>
        <v>Error?</v>
      </c>
    </row>
    <row r="5356" spans="1:4" x14ac:dyDescent="0.2">
      <c r="A5356" s="5">
        <v>5295</v>
      </c>
      <c r="B5356" s="1832">
        <f>'Revenues 9-14'!D109</f>
        <v>560729</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610729</v>
      </c>
      <c r="C5508" s="2" t="s">
        <v>569</v>
      </c>
      <c r="D5508" s="2" t="str">
        <f t="shared" si="85"/>
        <v>Error?</v>
      </c>
    </row>
    <row r="5509" spans="1:4" x14ac:dyDescent="0.2">
      <c r="A5509" s="5">
        <v>5448</v>
      </c>
      <c r="B5509" s="1832">
        <f>'Revenues 9-14'!E5</f>
        <v>783130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783130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783130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783130</v>
      </c>
      <c r="C5552" s="2" t="s">
        <v>569</v>
      </c>
      <c r="D5552" s="2" t="str">
        <f t="shared" si="85"/>
        <v>Error?</v>
      </c>
    </row>
    <row r="5553" spans="1:4" x14ac:dyDescent="0.2">
      <c r="A5553" s="5">
        <v>5492</v>
      </c>
      <c r="B5553" s="1832">
        <f>'Revenues 9-14'!F5</f>
        <v>173834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173834</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2012</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50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2062</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175896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6790</v>
      </c>
      <c r="D5615" s="2" t="str">
        <f t="shared" si="86"/>
        <v>Error?</v>
      </c>
    </row>
    <row r="5616" spans="1:4" x14ac:dyDescent="0.2">
      <c r="A5616" s="10">
        <v>5555</v>
      </c>
      <c r="B5616" s="1832"/>
      <c r="D5616" s="2" t="str">
        <f t="shared" si="86"/>
        <v>OK</v>
      </c>
    </row>
    <row r="5617" spans="1:5" x14ac:dyDescent="0.2">
      <c r="A5617" s="5">
        <v>5556</v>
      </c>
      <c r="B5617" s="1832">
        <f>'Revenues 9-14'!F153</f>
        <v>19498</v>
      </c>
      <c r="D5617" s="2" t="str">
        <f t="shared" si="86"/>
        <v>Error?</v>
      </c>
    </row>
    <row r="5618" spans="1:5" x14ac:dyDescent="0.2">
      <c r="A5618" s="5">
        <v>5557</v>
      </c>
      <c r="B5618" s="1832">
        <f>'Revenues 9-14'!F155</f>
        <v>26288</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26288</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26288</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202184</v>
      </c>
      <c r="C5720" s="2" t="s">
        <v>569</v>
      </c>
      <c r="D5720" s="2" t="str">
        <f t="shared" si="88"/>
        <v>Error?</v>
      </c>
    </row>
    <row r="5721" spans="1:4" x14ac:dyDescent="0.2">
      <c r="A5721" s="5">
        <v>5660</v>
      </c>
      <c r="B5721" s="1832">
        <f>'Revenues 9-14'!G5</f>
        <v>128491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129217</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257708</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257708</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72432</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72432</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72432</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72432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72432</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72432</v>
      </c>
      <c r="C6023" s="2" t="s">
        <v>569</v>
      </c>
      <c r="D6023" s="2" t="str">
        <f t="shared" si="93"/>
        <v>Error?</v>
      </c>
    </row>
    <row r="6024" spans="1:5" x14ac:dyDescent="0.2">
      <c r="A6024" s="5">
        <v>5963</v>
      </c>
      <c r="B6024" s="1832">
        <f>'Revenues 9-14'!G109</f>
        <v>257708</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72432</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72432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23330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719.51599999999996</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293945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293945</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293945</v>
      </c>
      <c r="D6216" s="2" t="str">
        <f t="shared" si="96"/>
        <v>Error?</v>
      </c>
      <c r="E6216" s="2" t="s">
        <v>189</v>
      </c>
    </row>
    <row r="6217" spans="1:5" x14ac:dyDescent="0.2">
      <c r="A6217">
        <v>6156</v>
      </c>
      <c r="B6217" s="1832">
        <f>'Assets-Liab 5-6'!J4</f>
        <v>293945</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442216</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442216</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442216</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503204</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503204</v>
      </c>
      <c r="D6229" s="2" t="str">
        <f t="shared" si="96"/>
        <v>Error?</v>
      </c>
      <c r="E6229" s="2" t="s">
        <v>189</v>
      </c>
    </row>
    <row r="6230" spans="1:5" x14ac:dyDescent="0.2">
      <c r="A6230">
        <v>6169</v>
      </c>
      <c r="B6230" s="1832">
        <f>'Acct Summary 7-8'!J20</f>
        <v>-60988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9745</v>
      </c>
      <c r="D6260" s="2" t="str">
        <f t="shared" si="96"/>
        <v>Error?</v>
      </c>
      <c r="E6260" s="2" t="s">
        <v>189</v>
      </c>
    </row>
    <row r="6261" spans="1:5" x14ac:dyDescent="0.2">
      <c r="A6261">
        <v>6200</v>
      </c>
      <c r="B6261" s="1832">
        <f>'Acct Summary 7-8'!J76</f>
        <v>9745</v>
      </c>
      <c r="D6261" s="2" t="str">
        <f t="shared" si="96"/>
        <v>Error?</v>
      </c>
      <c r="E6261" s="2" t="s">
        <v>189</v>
      </c>
    </row>
    <row r="6262" spans="1:5" x14ac:dyDescent="0.2">
      <c r="A6262">
        <v>6201</v>
      </c>
      <c r="B6262" s="1832">
        <f>'Acct Summary 7-8'!J77</f>
        <v>-9745</v>
      </c>
      <c r="D6262" s="2" t="str">
        <f t="shared" si="96"/>
        <v>Error?</v>
      </c>
      <c r="E6262" s="2" t="s">
        <v>189</v>
      </c>
    </row>
    <row r="6263" spans="1:5" x14ac:dyDescent="0.2">
      <c r="A6263">
        <v>6202</v>
      </c>
      <c r="B6263" s="1832">
        <f>'Acct Summary 7-8'!J78</f>
        <v>-70733</v>
      </c>
      <c r="D6263" s="2" t="str">
        <f t="shared" si="96"/>
        <v>Error?</v>
      </c>
      <c r="E6263" s="2" t="s">
        <v>189</v>
      </c>
    </row>
    <row r="6264" spans="1:5" x14ac:dyDescent="0.2">
      <c r="A6264">
        <v>6203</v>
      </c>
      <c r="B6264" s="1832">
        <f>'Acct Summary 7-8'!J79</f>
        <v>364678</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293945</v>
      </c>
      <c r="D6266" s="2" t="str">
        <f t="shared" si="96"/>
        <v>Error?</v>
      </c>
      <c r="E6266" s="2" t="s">
        <v>189</v>
      </c>
    </row>
    <row r="6267" spans="1:5" x14ac:dyDescent="0.2">
      <c r="A6267">
        <v>6206</v>
      </c>
      <c r="B6267" s="1832">
        <f>'Acct Summary 7-8'!C82</f>
        <v>-704598</v>
      </c>
      <c r="D6267" s="2" t="str">
        <f t="shared" si="96"/>
        <v>Error?</v>
      </c>
      <c r="E6267" s="2" t="s">
        <v>189</v>
      </c>
    </row>
    <row r="6268" spans="1:5" x14ac:dyDescent="0.2">
      <c r="A6268">
        <v>6207</v>
      </c>
      <c r="B6268" s="1832">
        <f>'Acct Summary 7-8'!D82</f>
        <v>93886</v>
      </c>
      <c r="D6268" s="2" t="str">
        <f t="shared" si="96"/>
        <v>Error?</v>
      </c>
      <c r="E6268" s="2" t="s">
        <v>189</v>
      </c>
    </row>
    <row r="6269" spans="1:5" x14ac:dyDescent="0.2">
      <c r="A6269">
        <v>6208</v>
      </c>
      <c r="B6269" s="1832">
        <f>'Acct Summary 7-8'!E82</f>
        <v>-274800</v>
      </c>
      <c r="D6269" s="2" t="str">
        <f t="shared" si="96"/>
        <v>Error?</v>
      </c>
      <c r="E6269" s="2" t="s">
        <v>189</v>
      </c>
    </row>
    <row r="6270" spans="1:5" x14ac:dyDescent="0.2">
      <c r="A6270">
        <v>6209</v>
      </c>
      <c r="B6270" s="1832">
        <f>'Acct Summary 7-8'!F82</f>
        <v>-201361</v>
      </c>
      <c r="D6270" s="2" t="str">
        <f t="shared" si="96"/>
        <v>Error?</v>
      </c>
      <c r="E6270" s="2" t="s">
        <v>189</v>
      </c>
    </row>
    <row r="6271" spans="1:5" x14ac:dyDescent="0.2">
      <c r="A6271">
        <v>6210</v>
      </c>
      <c r="B6271" s="1832">
        <f>'Acct Summary 7-8'!G82</f>
        <v>9896</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-627568</v>
      </c>
      <c r="D6273" s="2" t="str">
        <f t="shared" si="97"/>
        <v>Error?</v>
      </c>
      <c r="E6273" s="2" t="s">
        <v>189</v>
      </c>
    </row>
    <row r="6274" spans="1:5" x14ac:dyDescent="0.2">
      <c r="A6274">
        <v>6213</v>
      </c>
      <c r="B6274" s="1832">
        <f>'Acct Summary 7-8'!J82</f>
        <v>-70733</v>
      </c>
      <c r="D6274" s="2" t="str">
        <f t="shared" si="97"/>
        <v>Error?</v>
      </c>
      <c r="E6274" s="2" t="s">
        <v>189</v>
      </c>
    </row>
    <row r="6275" spans="1:5" x14ac:dyDescent="0.2">
      <c r="A6275">
        <v>6214</v>
      </c>
      <c r="B6275" s="1832">
        <f>'Acct Summary 7-8'!K82</f>
        <v>-63217</v>
      </c>
      <c r="D6275" s="2" t="str">
        <f t="shared" si="97"/>
        <v>Error?</v>
      </c>
      <c r="E6275" s="2" t="s">
        <v>189</v>
      </c>
    </row>
    <row r="6276" spans="1:5" x14ac:dyDescent="0.2">
      <c r="A6276">
        <v>6215</v>
      </c>
      <c r="B6276" s="1832">
        <f>'Acct Summary 7-8'!C83</f>
        <v>-1.337823135709878</v>
      </c>
      <c r="D6276" s="2" t="str">
        <f t="shared" si="97"/>
        <v>Error?</v>
      </c>
      <c r="E6276" s="2" t="s">
        <v>189</v>
      </c>
    </row>
    <row r="6277" spans="1:5" x14ac:dyDescent="0.2">
      <c r="A6277">
        <v>6216</v>
      </c>
      <c r="B6277" s="1832">
        <f>'Acct Summary 7-8'!D83</f>
        <v>0.29073353812614577</v>
      </c>
      <c r="D6277" s="2" t="str">
        <f t="shared" si="97"/>
        <v>Error?</v>
      </c>
      <c r="E6277" s="2" t="s">
        <v>189</v>
      </c>
    </row>
    <row r="6278" spans="1:5" x14ac:dyDescent="0.2">
      <c r="A6278">
        <v>6217</v>
      </c>
      <c r="B6278" s="1832">
        <f>'Acct Summary 7-8'!E83</f>
        <v>-0.593036354768677</v>
      </c>
      <c r="D6278" s="2" t="str">
        <f t="shared" si="97"/>
        <v>Error?</v>
      </c>
      <c r="E6278" s="2" t="s">
        <v>189</v>
      </c>
    </row>
    <row r="6279" spans="1:5" x14ac:dyDescent="0.2">
      <c r="A6279">
        <v>6218</v>
      </c>
      <c r="B6279" s="1832">
        <f>'Acct Summary 7-8'!F83</f>
        <v>-0.19557244672192448</v>
      </c>
      <c r="D6279" s="2" t="str">
        <f t="shared" si="97"/>
        <v>Error?</v>
      </c>
      <c r="E6279" s="2" t="s">
        <v>189</v>
      </c>
    </row>
    <row r="6280" spans="1:5" x14ac:dyDescent="0.2">
      <c r="A6280">
        <v>6219</v>
      </c>
      <c r="B6280" s="1832">
        <f>'Acct Summary 7-8'!G83</f>
        <v>4.1533760870295137E-2</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-0.71265226678355542</v>
      </c>
      <c r="D6282" s="2" t="str">
        <f t="shared" si="97"/>
        <v>Error?</v>
      </c>
      <c r="E6282" s="2" t="s">
        <v>189</v>
      </c>
    </row>
    <row r="6283" spans="1:5" x14ac:dyDescent="0.2">
      <c r="A6283">
        <v>6222</v>
      </c>
      <c r="B6283" s="1832">
        <f>'Acct Summary 7-8'!J83</f>
        <v>-0.24063345183622786</v>
      </c>
      <c r="D6283" s="2" t="str">
        <f t="shared" si="97"/>
        <v>Error?</v>
      </c>
      <c r="E6283" s="2" t="s">
        <v>189</v>
      </c>
    </row>
    <row r="6284" spans="1:5" x14ac:dyDescent="0.2">
      <c r="A6284">
        <v>6223</v>
      </c>
      <c r="B6284" s="1832">
        <f>'Acct Summary 7-8'!K83</f>
        <v>-0.98707159028807867</v>
      </c>
      <c r="D6284" s="2" t="str">
        <f t="shared" si="97"/>
        <v>Error?</v>
      </c>
      <c r="E6284" s="2" t="s">
        <v>189</v>
      </c>
    </row>
    <row r="6285" spans="1:5" x14ac:dyDescent="0.2">
      <c r="A6285">
        <v>6224</v>
      </c>
      <c r="B6285" s="1832">
        <f>'Acct Summary 7-8'!E37</f>
        <v>21252</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437194</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437194</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125151</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5022</v>
      </c>
      <c r="D6350" s="2" t="str">
        <f t="shared" si="98"/>
        <v>Error?</v>
      </c>
      <c r="E6350" s="2" t="s">
        <v>189</v>
      </c>
    </row>
    <row r="6351" spans="1:5" x14ac:dyDescent="0.2">
      <c r="A6351">
        <v>6290</v>
      </c>
      <c r="B6351" s="1832">
        <f>'Revenues 9-14'!J108</f>
        <v>5022</v>
      </c>
      <c r="D6351" s="2" t="str">
        <f t="shared" si="98"/>
        <v>Error?</v>
      </c>
      <c r="E6351" s="2" t="s">
        <v>189</v>
      </c>
    </row>
    <row r="6352" spans="1:5" x14ac:dyDescent="0.2">
      <c r="A6352">
        <v>6291</v>
      </c>
      <c r="B6352" s="1832">
        <f>'Revenues 9-14'!J109</f>
        <v>442216</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82423</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112090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135212</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503204</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442216</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14217</v>
      </c>
      <c r="D7073" s="2" t="str">
        <f t="shared" si="109"/>
        <v>Error?</v>
      </c>
    </row>
    <row r="7074" spans="1:4" x14ac:dyDescent="0.2">
      <c r="A7074">
        <v>7013</v>
      </c>
      <c r="B7074" s="1832">
        <f>'Expenditures 15-22'!K216</f>
        <v>14217</v>
      </c>
      <c r="D7074" s="2" t="str">
        <f t="shared" si="109"/>
        <v>Error?</v>
      </c>
    </row>
    <row r="7075" spans="1:4" x14ac:dyDescent="0.2">
      <c r="A7075">
        <v>7014</v>
      </c>
      <c r="B7075" s="1832">
        <f>'Expenditures 15-22'!D218</f>
        <v>9110</v>
      </c>
      <c r="D7075" s="2" t="str">
        <f t="shared" si="109"/>
        <v>Error?</v>
      </c>
    </row>
    <row r="7076" spans="1:4" x14ac:dyDescent="0.2">
      <c r="A7076">
        <v>7015</v>
      </c>
      <c r="B7076" s="1832">
        <f>'Expenditures 15-22'!K218</f>
        <v>9110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8263</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8263</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84615</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84615</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406398</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406398</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3928</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3928</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503204</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503204</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503204</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503204</v>
      </c>
      <c r="D7224" s="2" t="str">
        <f t="shared" si="111"/>
        <v>Error?</v>
      </c>
    </row>
    <row r="7225" spans="1:4" x14ac:dyDescent="0.2">
      <c r="A7225">
        <v>7164</v>
      </c>
      <c r="B7225" s="1832">
        <f>'Expenditures 15-22'!K343</f>
        <v>-60988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27374</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2293</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115195</v>
      </c>
      <c r="D7251" s="2" t="str">
        <f t="shared" si="112"/>
        <v>Error?</v>
      </c>
    </row>
    <row r="7252" spans="1:4" x14ac:dyDescent="0.2">
      <c r="A7252">
        <f t="shared" si="113"/>
        <v>7191</v>
      </c>
      <c r="B7252" s="1832">
        <f>'Expenditures 15-22'!D9</f>
        <v>8621</v>
      </c>
      <c r="D7252" s="2" t="str">
        <f t="shared" si="112"/>
        <v>Error?</v>
      </c>
    </row>
    <row r="7253" spans="1:4" x14ac:dyDescent="0.2">
      <c r="A7253">
        <f t="shared" si="113"/>
        <v>7192</v>
      </c>
      <c r="B7253" s="1832">
        <f>'Expenditures 15-22'!E9</f>
        <v>11396</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461243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21252</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28975</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500000</v>
      </c>
      <c r="D7748" s="2" t="str">
        <f t="shared" si="127"/>
        <v>Error?</v>
      </c>
      <c r="E7748" s="4" t="s">
        <v>1322</v>
      </c>
    </row>
    <row r="7749" spans="1:6" x14ac:dyDescent="0.2">
      <c r="A7749">
        <v>7688</v>
      </c>
      <c r="B7749" s="1832">
        <f>'Acct Summary 7-8'!D25</f>
        <v>200000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8803000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-313106</v>
      </c>
      <c r="D7820" s="2" t="str">
        <f t="shared" si="128"/>
        <v>Error?</v>
      </c>
    </row>
    <row r="7821" spans="1:5" x14ac:dyDescent="0.2">
      <c r="A7821">
        <v>7760</v>
      </c>
      <c r="B7821" s="1832">
        <f>'ICR Computation 30'!G40</f>
        <v>-313106</v>
      </c>
      <c r="D7821" s="2" t="str">
        <f t="shared" si="128"/>
        <v>Error?</v>
      </c>
    </row>
    <row r="7822" spans="1:5" x14ac:dyDescent="0.2">
      <c r="A7822" s="1">
        <v>7761</v>
      </c>
      <c r="B7822" s="1832">
        <f>'PCTC-OEPP 27-28'!F14</f>
        <v>8876671</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112090</v>
      </c>
      <c r="D7826" s="2" t="str">
        <f t="shared" si="129"/>
        <v>Error?</v>
      </c>
      <c r="E7826" s="4" t="s">
        <v>1998</v>
      </c>
    </row>
    <row r="7827" spans="1:5" x14ac:dyDescent="0.2">
      <c r="A7827">
        <v>7766</v>
      </c>
      <c r="B7827" s="1832">
        <f>'PCTC-OEPP 27-28'!F35</f>
        <v>135212</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1647753</v>
      </c>
      <c r="D7834" s="2" t="str">
        <f t="shared" si="129"/>
        <v>Error?</v>
      </c>
      <c r="E7834" s="4" t="s">
        <v>1998</v>
      </c>
    </row>
    <row r="7835" spans="1:5" x14ac:dyDescent="0.2">
      <c r="A7835">
        <v>7774</v>
      </c>
      <c r="B7835" s="1832">
        <f>'PCTC-OEPP 27-28'!F78</f>
        <v>7228918</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10046.917650198189</v>
      </c>
      <c r="D7837" s="2" t="str">
        <f t="shared" si="129"/>
        <v>Error?</v>
      </c>
      <c r="E7837" s="4" t="s">
        <v>1998</v>
      </c>
    </row>
    <row r="7838" spans="1:5" x14ac:dyDescent="0.2">
      <c r="A7838">
        <v>7777</v>
      </c>
      <c r="B7838" s="1832">
        <f>'PCTC-OEPP 27-28'!F96</f>
        <v>12815</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1477</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26288</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145957</v>
      </c>
      <c r="D7858" s="2" t="str">
        <f t="shared" si="129"/>
        <v>Error?</v>
      </c>
      <c r="E7858" s="4" t="s">
        <v>1998</v>
      </c>
    </row>
    <row r="7859" spans="1:5" x14ac:dyDescent="0.2">
      <c r="A7859">
        <v>7798</v>
      </c>
      <c r="B7859" s="1832">
        <f>'PCTC-OEPP 27-28'!F127</f>
        <v>87736</v>
      </c>
      <c r="D7859" s="2" t="str">
        <f t="shared" si="129"/>
        <v>Error?</v>
      </c>
      <c r="E7859" s="4" t="s">
        <v>1998</v>
      </c>
    </row>
    <row r="7860" spans="1:5" x14ac:dyDescent="0.2">
      <c r="A7860">
        <v>7799</v>
      </c>
      <c r="B7860" s="1832">
        <f>'PCTC-OEPP 27-28'!F128</f>
        <v>8067</v>
      </c>
      <c r="D7860" s="2" t="str">
        <f t="shared" si="129"/>
        <v>Error?</v>
      </c>
      <c r="E7860" s="4" t="s">
        <v>1998</v>
      </c>
    </row>
    <row r="7861" spans="1:5" x14ac:dyDescent="0.2">
      <c r="A7861">
        <v>7800</v>
      </c>
      <c r="B7861" s="1832">
        <f>'PCTC-OEPP 27-28'!F129</f>
        <v>183411</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4823</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30114</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727982</v>
      </c>
      <c r="D7877" s="2" t="str">
        <f t="shared" si="129"/>
        <v>Error?</v>
      </c>
      <c r="E7877" s="4" t="s">
        <v>1998</v>
      </c>
    </row>
    <row r="7878" spans="1:5" x14ac:dyDescent="0.2">
      <c r="A7878">
        <v>7817</v>
      </c>
      <c r="B7878" s="1832">
        <f>'PCTC-OEPP 27-28'!F176</f>
        <v>6500936</v>
      </c>
      <c r="D7878" s="2" t="str">
        <f t="shared" si="129"/>
        <v>Error?</v>
      </c>
      <c r="E7878" s="4" t="s">
        <v>1998</v>
      </c>
    </row>
    <row r="7879" spans="1:5" x14ac:dyDescent="0.2">
      <c r="A7879">
        <v>7818</v>
      </c>
      <c r="B7879" s="1832">
        <f>'PCTC-OEPP 27-28'!F178</f>
        <v>6962179</v>
      </c>
      <c r="D7879" s="2" t="str">
        <f t="shared" si="129"/>
        <v>Error?</v>
      </c>
      <c r="E7879" s="4" t="s">
        <v>1998</v>
      </c>
    </row>
    <row r="7880" spans="1:5" x14ac:dyDescent="0.2">
      <c r="A7880">
        <v>7819</v>
      </c>
      <c r="B7880" s="1832">
        <f>'PCTC-OEPP 27-28'!F180</f>
        <v>9676.1976106160255</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R28" sqref="R28"/>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Millstadt CCSD #160</v>
      </c>
      <c r="B7" s="2516"/>
      <c r="C7" s="2516"/>
      <c r="D7" s="2554"/>
      <c r="E7" s="2555">
        <f>COVER!A13</f>
        <v>50082160004</v>
      </c>
      <c r="F7" s="2556"/>
      <c r="G7" s="2522" t="str">
        <f>COVER!T23</f>
        <v>060-008105</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Fcik, Eggemeyer &amp; Williamson</v>
      </c>
      <c r="H9" s="2529"/>
      <c r="I9" s="2529"/>
      <c r="J9" s="2529"/>
      <c r="K9" s="2529"/>
      <c r="L9" s="2530"/>
    </row>
    <row r="10" spans="1:29" ht="13.5" customHeight="1" x14ac:dyDescent="0.2">
      <c r="A10" s="2512">
        <f>COVER!A38</f>
        <v>0</v>
      </c>
      <c r="B10" s="2513"/>
      <c r="C10" s="2513"/>
      <c r="D10" s="2513"/>
      <c r="E10" s="2513"/>
      <c r="F10" s="2514"/>
      <c r="G10" s="2528" t="str">
        <f>COVER!T17</f>
        <v>205 S. Main</v>
      </c>
      <c r="H10" s="2541"/>
      <c r="I10" s="2541"/>
      <c r="J10" s="2541"/>
      <c r="K10" s="2541"/>
      <c r="L10" s="2542"/>
    </row>
    <row r="11" spans="1:29" ht="13.5" customHeight="1" x14ac:dyDescent="0.2">
      <c r="A11" s="963" t="s">
        <v>1502</v>
      </c>
      <c r="B11" s="964"/>
      <c r="C11" s="965"/>
      <c r="D11" s="970"/>
      <c r="E11" s="965"/>
      <c r="F11" s="969"/>
      <c r="G11" s="2528" t="str">
        <f>COVER!T19</f>
        <v>Columbia</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keith@afewcpas.com</v>
      </c>
      <c r="J13" s="2550"/>
      <c r="K13" s="2550"/>
      <c r="L13" s="2551"/>
    </row>
    <row r="14" spans="1:29" ht="13.5" customHeight="1" x14ac:dyDescent="0.2">
      <c r="A14" s="2528" t="str">
        <f>COVER!A19</f>
        <v>211 West Mill</v>
      </c>
      <c r="B14" s="2541"/>
      <c r="C14" s="2541"/>
      <c r="D14" s="2541"/>
      <c r="E14" s="2541"/>
      <c r="F14" s="2542"/>
      <c r="G14" s="974" t="s">
        <v>1175</v>
      </c>
      <c r="H14" s="972"/>
      <c r="I14" s="972"/>
      <c r="J14" s="972"/>
      <c r="K14" s="972"/>
      <c r="L14" s="973"/>
    </row>
    <row r="15" spans="1:29" ht="13.5" customHeight="1" x14ac:dyDescent="0.2">
      <c r="A15" s="2528" t="str">
        <f>COVER!A21</f>
        <v>Millstadt</v>
      </c>
      <c r="B15" s="2541"/>
      <c r="C15" s="2541"/>
      <c r="D15" s="2541"/>
      <c r="E15" s="2541"/>
      <c r="F15" s="2542"/>
      <c r="G15" s="2538" t="str">
        <f>COVER!T15</f>
        <v>Keith Slusser</v>
      </c>
      <c r="H15" s="2539"/>
      <c r="I15" s="2539"/>
      <c r="J15" s="2539"/>
      <c r="K15" s="2539"/>
      <c r="L15" s="2540"/>
    </row>
    <row r="16" spans="1:29" ht="12.2" customHeight="1" x14ac:dyDescent="0.2">
      <c r="A16" s="2518">
        <f>COVER!A25</f>
        <v>62260</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314-845-7999</v>
      </c>
      <c r="H18" s="2516"/>
      <c r="I18" s="2516"/>
      <c r="J18" s="2516"/>
      <c r="K18" s="2515" t="str">
        <f>COVER!X21</f>
        <v>314-845-7770</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Millstadt CCSD #160</v>
      </c>
      <c r="B1" s="2558"/>
      <c r="C1" s="2558"/>
      <c r="D1" s="2558"/>
    </row>
    <row r="2" spans="1:11" s="991" customFormat="1" ht="12.75" x14ac:dyDescent="0.2">
      <c r="A2" s="2559">
        <f>'Single Audit Cover'!E7</f>
        <v>50082160004</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Millstadt CCSD #160</v>
      </c>
      <c r="B1" s="2562"/>
      <c r="C1" s="2562"/>
      <c r="D1" s="2562"/>
      <c r="E1" s="2562"/>
    </row>
    <row r="2" spans="1:5" x14ac:dyDescent="0.2">
      <c r="A2" s="2563">
        <f>'Single Audit Cover'!E7</f>
        <v>50082160004</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460108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23330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483438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483438</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483438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Millstadt CCSD #160</v>
      </c>
      <c r="C1" s="2566"/>
      <c r="D1" s="2566"/>
      <c r="E1" s="2566"/>
      <c r="F1" s="2566"/>
      <c r="G1" s="2566"/>
      <c r="H1" s="2566"/>
      <c r="I1" s="2566"/>
      <c r="J1" s="2566"/>
      <c r="K1" s="2566"/>
      <c r="L1" s="2566"/>
      <c r="M1" s="2566"/>
    </row>
    <row r="2" spans="2:14" ht="15" x14ac:dyDescent="0.2">
      <c r="B2" s="2567">
        <f>'Single Audit Cover'!E7</f>
        <v>50082160004</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7"/>
      <c r="J5" s="1917"/>
    </row>
    <row r="6" spans="2:14" x14ac:dyDescent="0.2">
      <c r="B6" s="1079"/>
      <c r="C6" s="1080"/>
      <c r="D6" s="1081" t="s">
        <v>1254</v>
      </c>
      <c r="E6" s="1082" t="s">
        <v>524</v>
      </c>
      <c r="F6" s="1083"/>
      <c r="G6" s="1084" t="s">
        <v>1711</v>
      </c>
      <c r="H6" s="1082"/>
      <c r="I6" s="1082"/>
      <c r="J6" s="1918"/>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6" t="str">
        <f>"7/1/"&amp;MID('AFR20'!$E$2,3,2)-2&amp;"-6/30/"&amp;MID('AFR20'!$E$2,3,2)-1</f>
        <v>7/1/18-6/30/19</v>
      </c>
      <c r="F9" s="1916" t="str">
        <f>"7/1/"&amp;MID('AFR20'!$E$2,3,2)-1&amp;"-6/30/"&amp;MID('AFR20'!$E$2,3,2)</f>
        <v>7/1/19-6/30/20</v>
      </c>
      <c r="G9" s="1916" t="str">
        <f>"7/1/"&amp;MID('AFR20'!$E$2,3,2)-2&amp;"-6/30/"&amp;MID('AFR20'!$E$2,3,2)-1</f>
        <v>7/1/18-6/30/19</v>
      </c>
      <c r="H9" s="1093" t="s">
        <v>1565</v>
      </c>
      <c r="I9" s="1916"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Millstadt CCSD #160</v>
      </c>
      <c r="B1" s="2571"/>
      <c r="C1" s="2571"/>
      <c r="D1" s="2571"/>
      <c r="E1" s="2571"/>
      <c r="F1" s="2571"/>
    </row>
    <row r="2" spans="1:7" ht="13.5" customHeight="1" x14ac:dyDescent="0.2">
      <c r="A2" s="2567">
        <f>'Single Audit Cover'!E7</f>
        <v>50082160004</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Millstadt CCSD #160</v>
      </c>
      <c r="C1" s="2587"/>
      <c r="D1" s="2587"/>
      <c r="E1" s="2587"/>
      <c r="F1" s="2587"/>
      <c r="G1" s="2587"/>
      <c r="H1" s="2587"/>
      <c r="I1" s="2587"/>
      <c r="J1" s="1178"/>
    </row>
    <row r="2" spans="2:10" s="295" customFormat="1" ht="12.75" customHeight="1" x14ac:dyDescent="0.2">
      <c r="B2" s="2588">
        <f>'Single Audit Cover'!E7</f>
        <v>50082160004</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9" t="str">
        <f>"Total Federal Expenditures for 7/1/"&amp;MID('AFR20'!E2,3,2)-1&amp;"-6/30/"&amp;MID('AFR20'!E2,3,2)</f>
        <v>Total Federal Expenditures for 7/1/19-6/30/20</v>
      </c>
      <c r="C45" s="1920"/>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Millstadt CCSD #160</v>
      </c>
      <c r="C1" s="2586"/>
      <c r="D1" s="2586"/>
      <c r="E1" s="2586"/>
      <c r="F1" s="2586"/>
      <c r="G1" s="2586"/>
      <c r="H1" s="2586"/>
      <c r="I1" s="2586"/>
      <c r="J1" s="2586"/>
      <c r="K1" s="2586"/>
      <c r="L1" s="1144"/>
      <c r="M1" s="1144"/>
    </row>
    <row r="2" spans="1:13" ht="12" customHeight="1" x14ac:dyDescent="0.2">
      <c r="B2" s="2588">
        <f>'Single Audit Cover'!E7</f>
        <v>50082160004</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1"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Millstadt CCSD #160</v>
      </c>
      <c r="C1" s="2613"/>
      <c r="D1" s="2613"/>
      <c r="E1" s="2613"/>
      <c r="F1" s="2613"/>
      <c r="G1" s="2613"/>
      <c r="H1" s="2613"/>
      <c r="I1" s="2613"/>
      <c r="J1" s="2613"/>
      <c r="K1" s="2613"/>
      <c r="L1" s="1221"/>
    </row>
    <row r="2" spans="1:12" ht="12.75" customHeight="1" x14ac:dyDescent="0.2">
      <c r="B2" s="2614">
        <f>'Single Audit Cover'!E7</f>
        <v>50082160004</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1"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Millstadt CCSD #160</v>
      </c>
      <c r="C1" s="2586"/>
      <c r="D1" s="2586"/>
      <c r="E1" s="1240"/>
    </row>
    <row r="2" spans="2:5" s="1058" customFormat="1" ht="12.75" customHeight="1" x14ac:dyDescent="0.2">
      <c r="B2" s="2588">
        <f>'Single Audit Cover'!E7</f>
        <v>50082160004</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purl.org/dc/terms/"/>
    <ds:schemaRef ds:uri="d21dc803-237d-4c68-8692-8d731fd29118"/>
    <ds:schemaRef ds:uri="http://schemas.openxmlformats.org/package/2006/metadata/core-properties"/>
    <ds:schemaRef ds:uri="http://schemas.microsoft.com/office/infopath/2007/PartnerControls"/>
    <ds:schemaRef ds:uri="http://purl.org/dc/dcmitype/"/>
    <ds:schemaRef ds:uri="6ce3111e-7420-4802-b50a-75d4e9a0b980"/>
    <ds:schemaRef ds:uri="http://www.w3.org/XML/1998/namespace"/>
    <ds:schemaRef ds:uri="http://schemas.microsoft.com/office/2006/documentManagement/types"/>
    <ds:schemaRef ds:uri="4d435f69-8686-490b-bd6d-b153bf22ab5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2020-09-23T20:00:44Z</cp:lastPrinted>
  <dcterms:created xsi:type="dcterms:W3CDTF">2003-10-29T19:06:34Z</dcterms:created>
  <dcterms:modified xsi:type="dcterms:W3CDTF">2020-09-28T14:21:28Z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